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29" documentId="8_{0AA4D482-162D-4BE5-9832-0F771FE2A36A}" xr6:coauthVersionLast="47" xr6:coauthVersionMax="47" xr10:uidLastSave="{BC6D3E8D-2E97-4A0A-917C-5FDDD154C4E3}"/>
  <bookViews>
    <workbookView xWindow="-108" yWindow="-108" windowWidth="23256" windowHeight="12576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Div 3 (2)...b7db256a_40ITCB" sheetId="17" state="hidden" r:id="rId14"/>
    <sheet name="OSR_300 &amp; 317_1C00ID4" sheetId="19" state="hidden" r:id="rId15"/>
    <sheet name="OSR_300 (2)_c...79cd3046_1TJM0H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0...c51cc666_QIOT67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...09141158_1BG9FGV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6" sheetId="63" r:id="rId52"/>
    <sheet name="330" sheetId="24" r:id="rId53"/>
    <sheet name="307" sheetId="64" r:id="rId54"/>
    <sheet name="308" sheetId="27" r:id="rId55"/>
    <sheet name="311" sheetId="66" r:id="rId56"/>
    <sheet name="324" sheetId="75" r:id="rId57"/>
    <sheet name="331" sheetId="30" r:id="rId58"/>
    <sheet name="315" sheetId="69" r:id="rId59"/>
    <sheet name="326" sheetId="77" r:id="rId60"/>
    <sheet name="332" sheetId="33" r:id="rId61"/>
    <sheet name="316" sheetId="70" r:id="rId62"/>
    <sheet name="Div 6" sheetId="51" r:id="rId63"/>
    <sheet name="317" sheetId="71" r:id="rId64"/>
    <sheet name="310" sheetId="21" r:id="rId65"/>
    <sheet name="309" sheetId="65" r:id="rId66"/>
    <sheet name="313" sheetId="67" r:id="rId67"/>
    <sheet name="321" sheetId="73" r:id="rId68"/>
    <sheet name="322" sheetId="74" r:id="rId69"/>
    <sheet name="325" sheetId="76" r:id="rId70"/>
    <sheet name="327" sheetId="78" r:id="rId71"/>
    <sheet name="Div 4" sheetId="36" r:id="rId72"/>
    <sheet name="310 &amp; 491" sheetId="39" r:id="rId73"/>
    <sheet name="491" sheetId="42" r:id="rId74"/>
    <sheet name="405" sheetId="79" r:id="rId75"/>
    <sheet name="406" sheetId="80" r:id="rId76"/>
    <sheet name="411" sheetId="81" r:id="rId77"/>
    <sheet name="412" sheetId="82" r:id="rId78"/>
    <sheet name="413" sheetId="83" r:id="rId79"/>
    <sheet name="414" sheetId="84" r:id="rId80"/>
    <sheet name="415" sheetId="85" r:id="rId81"/>
    <sheet name="418" sheetId="86" r:id="rId82"/>
    <sheet name="420" sheetId="87" r:id="rId83"/>
    <sheet name="423" sheetId="88" r:id="rId84"/>
    <sheet name="424" sheetId="89" r:id="rId85"/>
    <sheet name="425" sheetId="90" r:id="rId86"/>
    <sheet name="455" sheetId="96" r:id="rId87"/>
    <sheet name="492" sheetId="45" r:id="rId88"/>
    <sheet name="430" sheetId="91" r:id="rId89"/>
    <sheet name="433" sheetId="92" r:id="rId90"/>
    <sheet name="435" sheetId="93" r:id="rId91"/>
    <sheet name="444" sheetId="94" r:id="rId92"/>
    <sheet name="450" sheetId="95" r:id="rId93"/>
    <sheet name="Div 5" sheetId="48" r:id="rId94"/>
    <sheet name="501" sheetId="97" r:id="rId95"/>
    <sheet name="Dept" sheetId="98" state="hidden" r:id="rId96"/>
    <sheet name="OSR_Dept_Y0WUKY" sheetId="99" state="hidden" r:id="rId97"/>
    <sheet name="OSR_Summary (...56e5d78f_5JEYZH" sheetId="100" state="hidden" r:id="rId98"/>
  </sheets>
  <definedNames>
    <definedName name="OSRRefD13x_0" localSheetId="48">'300'!$D$13:$D$77</definedName>
    <definedName name="OSRRefD13x_0" localSheetId="49">'300 &amp; 317'!$D$13:$D$91</definedName>
    <definedName name="OSRRefD13x_0" localSheetId="53">'307'!$D$13:$D$25</definedName>
    <definedName name="OSRRefD13x_0" localSheetId="54">'308'!$D$13:$D$36</definedName>
    <definedName name="OSRRefD13x_0" localSheetId="64">'310'!$D$13:$D$21</definedName>
    <definedName name="OSRRefD13x_0" localSheetId="72">'310 &amp; 491'!$D$13:$D$25</definedName>
    <definedName name="OSRRefD13x_0" localSheetId="55">'311'!$D$13:$D$36</definedName>
    <definedName name="OSRRefD13x_0" localSheetId="66">'313'!$D$13:$D$16</definedName>
    <definedName name="OSRRefD13x_0" localSheetId="58">'315'!$D$13:$D$54</definedName>
    <definedName name="OSRRefD13x_0" localSheetId="61">'316'!$D$13:$D$23</definedName>
    <definedName name="OSRRefD13x_0" localSheetId="63">'317'!$D$13:$D$33</definedName>
    <definedName name="OSRRefD13x_0" localSheetId="67">'321'!$D$13:$D$14</definedName>
    <definedName name="OSRRefD13x_0" localSheetId="56">'324'!$D$13:$D$16</definedName>
    <definedName name="OSRRefD13x_0" localSheetId="69">'325'!$D$13:$D$14</definedName>
    <definedName name="OSRRefD13x_0" localSheetId="59">'326'!$D$13:$D$36</definedName>
    <definedName name="OSRRefD13x_0" localSheetId="70">'327'!$D$13:$D$14</definedName>
    <definedName name="OSRRefD13x_0" localSheetId="52">'330'!$D$13:$D$28</definedName>
    <definedName name="OSRRefD13x_0" localSheetId="57">'331'!$D$13:$D$54</definedName>
    <definedName name="OSRRefD13x_0" localSheetId="60">'332'!$D$13:$D$23</definedName>
    <definedName name="OSRRefD13x_0" localSheetId="74">'405'!$D$13:$D$14</definedName>
    <definedName name="OSRRefD13x_0" localSheetId="79">'414'!$D$13</definedName>
    <definedName name="OSRRefD13x_0" localSheetId="80">'415'!$D$13:$D$14</definedName>
    <definedName name="OSRRefD13x_0" localSheetId="82">'420'!$D$13</definedName>
    <definedName name="OSRRefD13x_0" localSheetId="85">'425'!$D$13</definedName>
    <definedName name="OSRRefD13x_0" localSheetId="89">'433'!$D$13:$D$15</definedName>
    <definedName name="OSRRefD13x_0" localSheetId="91">'444'!$D$13:$D$15</definedName>
    <definedName name="OSRRefD13x_0" localSheetId="92">'450'!$D$13:$D$15</definedName>
    <definedName name="OSRRefD13x_0" localSheetId="73">'491'!$D$13:$D$17</definedName>
    <definedName name="OSRRefD13x_0" localSheetId="87">'492'!$D$13:$D$15</definedName>
    <definedName name="OSRRefD13x_0" localSheetId="94">'501'!$D$13</definedName>
    <definedName name="OSRRefD13x_0" localSheetId="47">'Div 3'!$D$13:$D$80</definedName>
    <definedName name="OSRRefD13x_0" localSheetId="71">'Div 4'!$D$13:$D$18</definedName>
    <definedName name="OSRRefD13x_0" localSheetId="93">'Div 5'!$D$13</definedName>
    <definedName name="OSRRefD13x_0" localSheetId="62">'Div 6'!$D$13:$D$33</definedName>
    <definedName name="OSRRefD13x_0" localSheetId="2">Summary!$D$13:$D$98</definedName>
    <definedName name="OSRRefD16x_0" localSheetId="48">'300'!$D$80:$D$119</definedName>
    <definedName name="OSRRefD16x_0" localSheetId="49">'300 &amp; 317'!$D$94:$D$142</definedName>
    <definedName name="OSRRefD16x_0" localSheetId="50">'301'!$D$15</definedName>
    <definedName name="OSRRefD16x_0" localSheetId="53">'307'!$D$28:$D$37</definedName>
    <definedName name="OSRRefD16x_0" localSheetId="54">'308'!$D$39:$D$55</definedName>
    <definedName name="OSRRefD16x_0" localSheetId="64">'310'!$D$24:$D$25</definedName>
    <definedName name="OSRRefD16x_0" localSheetId="72">'310 &amp; 491'!$D$28:$D$29</definedName>
    <definedName name="OSRRefD16x_0" localSheetId="55">'311'!$D$39:$D$55</definedName>
    <definedName name="OSRRefD16x_0" localSheetId="66">'313'!$D$19</definedName>
    <definedName name="OSRRefD16x_0" localSheetId="58">'315'!$D$57:$D$81</definedName>
    <definedName name="OSRRefD16x_0" localSheetId="61">'316'!$D$26</definedName>
    <definedName name="OSRRefD16x_0" localSheetId="63">'317'!$D$36:$D$48</definedName>
    <definedName name="OSRRefD16x_0" localSheetId="67">'321'!$D$17:$D$18</definedName>
    <definedName name="OSRRefD16x_0" localSheetId="68">'322'!$D$15</definedName>
    <definedName name="OSRRefD16x_0" localSheetId="56">'324'!$D$19:$D$21</definedName>
    <definedName name="OSRRefD16x_0" localSheetId="69">'325'!$D$17:$D$18</definedName>
    <definedName name="OSRRefD16x_0" localSheetId="59">'326'!$D$39:$D$45</definedName>
    <definedName name="OSRRefD16x_0" localSheetId="70">'327'!$D$17:$D$18</definedName>
    <definedName name="OSRRefD16x_0" localSheetId="52">'330'!$D$31:$D$40</definedName>
    <definedName name="OSRRefD16x_0" localSheetId="57">'331'!$D$57:$D$81</definedName>
    <definedName name="OSRRefD16x_0" localSheetId="60">'332'!$D$26:$D$28</definedName>
    <definedName name="OSRRefD16x_0" localSheetId="74">'405'!$D$17:$D$18</definedName>
    <definedName name="OSRRefD16x_0" localSheetId="80">'415'!$D$17:$D$18</definedName>
    <definedName name="OSRRefD16x_0" localSheetId="81">'418'!$D$15</definedName>
    <definedName name="OSRRefD16x_0" localSheetId="85">'425'!$D$16</definedName>
    <definedName name="OSRRefD16x_0" localSheetId="89">'433'!$D$18:$D$19</definedName>
    <definedName name="OSRRefD16x_0" localSheetId="91">'444'!$D$18:$D$19</definedName>
    <definedName name="OSRRefD16x_0" localSheetId="92">'450'!$D$18:$D$19</definedName>
    <definedName name="OSRRefD16x_0" localSheetId="73">'491'!$D$20:$D$21</definedName>
    <definedName name="OSRRefD16x_0" localSheetId="87">'492'!$D$18:$D$19</definedName>
    <definedName name="OSRRefD16x_0" localSheetId="47">'Div 3'!$D$83:$D$124</definedName>
    <definedName name="OSRRefD16x_0" localSheetId="71">'Div 4'!$D$21:$D$22</definedName>
    <definedName name="OSRRefD16x_0" localSheetId="62">'Div 6'!$D$36:$D$48</definedName>
    <definedName name="OSRRefD16x_0" localSheetId="2">Summary!$D$101:$D$151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'203'!$D$20:$D$29</definedName>
    <definedName name="OSRRefD22_0x_0" localSheetId="44">'204'!$D$20:$D$28</definedName>
    <definedName name="OSRRefD22_0x_0" localSheetId="45">'205'!$D$20:$D$27</definedName>
    <definedName name="OSRRefD22_0x_0" localSheetId="46">'206'!$D$20:$D$26</definedName>
    <definedName name="OSRRefD22_0x_0" localSheetId="48">'300'!$D$125:$D$134</definedName>
    <definedName name="OSRRefD22_0x_0" localSheetId="49">'300 &amp; 317'!$D$148:$D$157</definedName>
    <definedName name="OSRRefD22_0x_0" localSheetId="50">'301'!$D$21:$D$30</definedName>
    <definedName name="OSRRefD22_0x_0" localSheetId="51">'306'!$D$20:$D$23</definedName>
    <definedName name="OSRRefD22_0x_0" localSheetId="53">'307'!$D$43:$D$45</definedName>
    <definedName name="OSRRefD22_0x_0" localSheetId="54">'308'!$D$61:$D$69</definedName>
    <definedName name="OSRRefD22_0x_0" localSheetId="65">'309'!$D$20</definedName>
    <definedName name="OSRRefD22_0x_0" localSheetId="64">'310'!$D$31:$D$38</definedName>
    <definedName name="OSRRefD22_0x_0" localSheetId="72">'310 &amp; 491'!$D$35:$D$42</definedName>
    <definedName name="OSRRefD22_0x_0" localSheetId="55">'311'!$D$61:$D$69</definedName>
    <definedName name="OSRRefD22_0x_0" localSheetId="66">'313'!$D$25:$D$32</definedName>
    <definedName name="OSRRefD22_0x_0" localSheetId="58">'315'!$D$87:$D$94</definedName>
    <definedName name="OSRRefD22_0x_0" localSheetId="61">'316'!$D$32:$D$39</definedName>
    <definedName name="OSRRefD22_0x_0" localSheetId="63">'317'!$D$54:$D$62</definedName>
    <definedName name="OSRRefD22_0x_0" localSheetId="67">'321'!$D$24:$D$31</definedName>
    <definedName name="OSRRefD22_0x_0" localSheetId="68">'322'!$D$21:$D$25</definedName>
    <definedName name="OSRRefD22_0x_0" localSheetId="69">'325'!$D$24:$D$31</definedName>
    <definedName name="OSRRefD22_0x_0" localSheetId="59">'326'!$D$51:$D$58</definedName>
    <definedName name="OSRRefD22_0x_0" localSheetId="70">'327'!$D$24</definedName>
    <definedName name="OSRRefD22_0x_0" localSheetId="52">'330'!$D$46:$D$49</definedName>
    <definedName name="OSRRefD22_0x_0" localSheetId="57">'331'!$D$87:$D$94</definedName>
    <definedName name="OSRRefD22_0x_0" localSheetId="60">'332'!$D$34:$D$41</definedName>
    <definedName name="OSRRefD22_0x_0" localSheetId="74">'405'!$D$24:$D$31</definedName>
    <definedName name="OSRRefD22_0x_0" localSheetId="75">'406'!$D$20</definedName>
    <definedName name="OSRRefD22_0x_0" localSheetId="76">'411'!$D$20:$D$27</definedName>
    <definedName name="OSRRefD22_0x_0" localSheetId="77">'412'!$D$20</definedName>
    <definedName name="OSRRefD22_0x_0" localSheetId="78">'413'!$D$20:$D$24</definedName>
    <definedName name="OSRRefD22_0x_0" localSheetId="79">'414'!$D$21</definedName>
    <definedName name="OSRRefD22_0x_0" localSheetId="80">'415'!$D$24:$D$31</definedName>
    <definedName name="OSRRefD22_0x_0" localSheetId="81">'418'!$D$21:$D$28</definedName>
    <definedName name="OSRRefD22_0x_0" localSheetId="82">'420'!$D$21</definedName>
    <definedName name="OSRRefD22_0x_0" localSheetId="83">'423'!$D$20:$D$21</definedName>
    <definedName name="OSRRefD22_0x_0" localSheetId="84">'424'!$D$20</definedName>
    <definedName name="OSRRefD22_0x_0" localSheetId="85">'425'!$D$22:$D$26</definedName>
    <definedName name="OSRRefD22_0x_0" localSheetId="88">'430'!$D$20:$D$27</definedName>
    <definedName name="OSRRefD22_0x_0" localSheetId="89">'433'!$D$25:$D$33</definedName>
    <definedName name="OSRRefD22_0x_0" localSheetId="90">'435'!$D$20</definedName>
    <definedName name="OSRRefD22_0x_0" localSheetId="91">'444'!$D$25:$D$33</definedName>
    <definedName name="OSRRefD22_0x_0" localSheetId="92">'450'!$D$25:$D$33</definedName>
    <definedName name="OSRRefD22_0x_0" localSheetId="73">'491'!$D$27:$D$34</definedName>
    <definedName name="OSRRefD22_0x_0" localSheetId="87">'492'!$D$25:$D$33</definedName>
    <definedName name="OSRRefD22_0x_0" localSheetId="94">'501'!$D$21:$D$29</definedName>
    <definedName name="OSRRefD22_0x_0" localSheetId="39">'Div 2'!$D$20:$D$30</definedName>
    <definedName name="OSRRefD22_0x_0" localSheetId="47">'Div 3'!$D$130:$D$139</definedName>
    <definedName name="OSRRefD22_0x_0" localSheetId="71">'Div 4'!$D$28:$D$36</definedName>
    <definedName name="OSRRefD22_0x_0" localSheetId="93">'Div 5'!$D$21:$D$29</definedName>
    <definedName name="OSRRefD22_0x_0" localSheetId="62">'Div 6'!$D$54:$D$62</definedName>
    <definedName name="OSRRefD22_0x_0" localSheetId="2">Summary!$D$157:$D$166</definedName>
    <definedName name="OSRRefD22_10x_0" localSheetId="41">'201'!$D$52</definedName>
    <definedName name="OSRRefD22_10x_0" localSheetId="42">'202'!$D$53</definedName>
    <definedName name="OSRRefD22_10x_0" localSheetId="43">'203'!$D$55:$D$58</definedName>
    <definedName name="OSRRefD22_10x_0" localSheetId="48">'300'!$D$162:$D$163</definedName>
    <definedName name="OSRRefD22_10x_0" localSheetId="49">'300 &amp; 317'!$D$185:$D$186</definedName>
    <definedName name="OSRRefD22_10x_0" localSheetId="50">'301'!$D$58</definedName>
    <definedName name="OSRRefD22_10x_0" localSheetId="53">'307'!$D$71:$D$74</definedName>
    <definedName name="OSRRefD22_10x_0" localSheetId="54">'308'!$D$98</definedName>
    <definedName name="OSRRefD22_10x_0" localSheetId="64">'310'!$D$62</definedName>
    <definedName name="OSRRefD22_10x_0" localSheetId="72">'310 &amp; 491'!$D$68</definedName>
    <definedName name="OSRRefD22_10x_0" localSheetId="55">'311'!$D$98</definedName>
    <definedName name="OSRRefD22_10x_0" localSheetId="58">'315'!$D$122:$D$123</definedName>
    <definedName name="OSRRefD22_10x_0" localSheetId="61">'316'!$D$64:$D$68</definedName>
    <definedName name="OSRRefD22_10x_0" localSheetId="63">'317'!$D$89</definedName>
    <definedName name="OSRRefD22_10x_0" localSheetId="67">'321'!$D$60</definedName>
    <definedName name="OSRRefD22_10x_0" localSheetId="69">'325'!$D$54:$D$55</definedName>
    <definedName name="OSRRefD22_10x_0" localSheetId="59">'326'!$D$82</definedName>
    <definedName name="OSRRefD22_10x_0" localSheetId="52">'330'!$D$76:$D$79</definedName>
    <definedName name="OSRRefD22_10x_0" localSheetId="57">'331'!$D$120</definedName>
    <definedName name="OSRRefD22_10x_0" localSheetId="60">'332'!$D$66:$D$70</definedName>
    <definedName name="OSRRefD22_10x_0" localSheetId="74">'405'!$D$55:$D$56</definedName>
    <definedName name="OSRRefD22_10x_0" localSheetId="76">'411'!$D$54:$D$56</definedName>
    <definedName name="OSRRefD22_10x_0" localSheetId="80">'415'!$D$55</definedName>
    <definedName name="OSRRefD22_10x_0" localSheetId="81">'418'!$D$53</definedName>
    <definedName name="OSRRefD22_10x_0" localSheetId="89">'433'!$D$57</definedName>
    <definedName name="OSRRefD22_10x_0" localSheetId="91">'444'!$D$57</definedName>
    <definedName name="OSRRefD22_10x_0" localSheetId="92">'450'!$D$57</definedName>
    <definedName name="OSRRefD22_10x_0" localSheetId="73">'491'!$D$59</definedName>
    <definedName name="OSRRefD22_10x_0" localSheetId="87">'492'!$D$58</definedName>
    <definedName name="OSRRefD22_10x_0" localSheetId="94">'501'!$D$57</definedName>
    <definedName name="OSRRefD22_10x_0" localSheetId="39">'Div 2'!$D$56</definedName>
    <definedName name="OSRRefD22_10x_0" localSheetId="47">'Div 3'!$D$167:$D$168</definedName>
    <definedName name="OSRRefD22_10x_0" localSheetId="71">'Div 4'!$D$62</definedName>
    <definedName name="OSRRefD22_10x_0" localSheetId="93">'Div 5'!$D$57</definedName>
    <definedName name="OSRRefD22_10x_0" localSheetId="62">'Div 6'!$D$89</definedName>
    <definedName name="OSRRefD22_10x_0" localSheetId="2">Summary!$D$194:$D$195</definedName>
    <definedName name="OSRRefD22_11x_0" localSheetId="41">'201'!$D$54:$D$55</definedName>
    <definedName name="OSRRefD22_11x_0" localSheetId="42">'202'!$D$55</definedName>
    <definedName name="OSRRefD22_11x_0" localSheetId="43">'203'!$D$60</definedName>
    <definedName name="OSRRefD22_11x_0" localSheetId="48">'300'!$D$165</definedName>
    <definedName name="OSRRefD22_11x_0" localSheetId="49">'300 &amp; 317'!$D$188</definedName>
    <definedName name="OSRRefD22_11x_0" localSheetId="50">'301'!$D$60</definedName>
    <definedName name="OSRRefD22_11x_0" localSheetId="53">'307'!$D$76</definedName>
    <definedName name="OSRRefD22_11x_0" localSheetId="54">'308'!$D$100:$D$101</definedName>
    <definedName name="OSRRefD22_11x_0" localSheetId="64">'310'!$D$64:$D$65</definedName>
    <definedName name="OSRRefD22_11x_0" localSheetId="72">'310 &amp; 491'!$D$70</definedName>
    <definedName name="OSRRefD22_11x_0" localSheetId="55">'311'!$D$100:$D$101</definedName>
    <definedName name="OSRRefD22_11x_0" localSheetId="58">'315'!$D$125:$D$126</definedName>
    <definedName name="OSRRefD22_11x_0" localSheetId="61">'316'!$D$70</definedName>
    <definedName name="OSRRefD22_11x_0" localSheetId="67">'321'!$D$62</definedName>
    <definedName name="OSRRefD22_11x_0" localSheetId="69">'325'!$D$57:$D$60</definedName>
    <definedName name="OSRRefD22_11x_0" localSheetId="59">'326'!$D$84:$D$86</definedName>
    <definedName name="OSRRefD22_11x_0" localSheetId="52">'330'!$D$81</definedName>
    <definedName name="OSRRefD22_11x_0" localSheetId="57">'331'!$D$122:$D$123</definedName>
    <definedName name="OSRRefD22_11x_0" localSheetId="60">'332'!$D$72</definedName>
    <definedName name="OSRRefD22_11x_0" localSheetId="74">'405'!$D$58:$D$61</definedName>
    <definedName name="OSRRefD22_11x_0" localSheetId="76">'411'!$D$58:$D$59</definedName>
    <definedName name="OSRRefD22_11x_0" localSheetId="80">'415'!$D$57:$D$58</definedName>
    <definedName name="OSRRefD22_11x_0" localSheetId="81">'418'!$D$55:$D$59</definedName>
    <definedName name="OSRRefD22_11x_0" localSheetId="89">'433'!$D$59:$D$60</definedName>
    <definedName name="OSRRefD22_11x_0" localSheetId="91">'444'!$D$59:$D$60</definedName>
    <definedName name="OSRRefD22_11x_0" localSheetId="92">'450'!$D$59</definedName>
    <definedName name="OSRRefD22_11x_0" localSheetId="73">'491'!$D$61</definedName>
    <definedName name="OSRRefD22_11x_0" localSheetId="87">'492'!$D$60</definedName>
    <definedName name="OSRRefD22_11x_0" localSheetId="39">'Div 2'!$D$58</definedName>
    <definedName name="OSRRefD22_11x_0" localSheetId="47">'Div 3'!$D$170</definedName>
    <definedName name="OSRRefD22_11x_0" localSheetId="71">'Div 4'!$D$64</definedName>
    <definedName name="OSRRefD22_11x_0" localSheetId="2">Summary!$D$197</definedName>
    <definedName name="OSRRefD22_12x_0" localSheetId="41">'201'!$D$57</definedName>
    <definedName name="OSRRefD22_12x_0" localSheetId="42">'202'!$D$57</definedName>
    <definedName name="OSRRefD22_12x_0" localSheetId="43">'203'!$D$62</definedName>
    <definedName name="OSRRefD22_12x_0" localSheetId="48">'300'!$D$167</definedName>
    <definedName name="OSRRefD22_12x_0" localSheetId="49">'300 &amp; 317'!$D$190</definedName>
    <definedName name="OSRRefD22_12x_0" localSheetId="50">'301'!$D$62</definedName>
    <definedName name="OSRRefD22_12x_0" localSheetId="53">'307'!$D$78</definedName>
    <definedName name="OSRRefD22_12x_0" localSheetId="54">'308'!$D$103:$D$104</definedName>
    <definedName name="OSRRefD22_12x_0" localSheetId="64">'310'!$D$67</definedName>
    <definedName name="OSRRefD22_12x_0" localSheetId="72">'310 &amp; 491'!$D$72</definedName>
    <definedName name="OSRRefD22_12x_0" localSheetId="55">'311'!$D$103:$D$104</definedName>
    <definedName name="OSRRefD22_12x_0" localSheetId="58">'315'!$D$128:$D$131</definedName>
    <definedName name="OSRRefD22_12x_0" localSheetId="61">'316'!$D$72</definedName>
    <definedName name="OSRRefD22_12x_0" localSheetId="69">'325'!$D$62:$D$65</definedName>
    <definedName name="OSRRefD22_12x_0" localSheetId="59">'326'!$D$88:$D$90</definedName>
    <definedName name="OSRRefD22_12x_0" localSheetId="52">'330'!$D$83</definedName>
    <definedName name="OSRRefD22_12x_0" localSheetId="57">'331'!$D$125</definedName>
    <definedName name="OSRRefD22_12x_0" localSheetId="60">'332'!$D$74</definedName>
    <definedName name="OSRRefD22_12x_0" localSheetId="74">'405'!$D$63</definedName>
    <definedName name="OSRRefD22_12x_0" localSheetId="76">'411'!$D$61</definedName>
    <definedName name="OSRRefD22_12x_0" localSheetId="80">'415'!$D$60:$D$63</definedName>
    <definedName name="OSRRefD22_12x_0" localSheetId="81">'418'!$D$61</definedName>
    <definedName name="OSRRefD22_12x_0" localSheetId="89">'433'!$D$62:$D$64</definedName>
    <definedName name="OSRRefD22_12x_0" localSheetId="91">'444'!$D$62:$D$65</definedName>
    <definedName name="OSRRefD22_12x_0" localSheetId="92">'450'!$D$61:$D$62</definedName>
    <definedName name="OSRRefD22_12x_0" localSheetId="73">'491'!$D$63</definedName>
    <definedName name="OSRRefD22_12x_0" localSheetId="87">'492'!$D$62:$D$64</definedName>
    <definedName name="OSRRefD22_12x_0" localSheetId="39">'Div 2'!$D$60:$D$62</definedName>
    <definedName name="OSRRefD22_12x_0" localSheetId="47">'Div 3'!$D$172</definedName>
    <definedName name="OSRRefD22_12x_0" localSheetId="71">'Div 4'!$D$66</definedName>
    <definedName name="OSRRefD22_12x_0" localSheetId="2">Summary!$D$199</definedName>
    <definedName name="OSRRefD22_13x_0" localSheetId="41">'201'!$D$59</definedName>
    <definedName name="OSRRefD22_13x_0" localSheetId="43">'203'!$D$64</definedName>
    <definedName name="OSRRefD22_13x_0" localSheetId="48">'300'!$D$169:$D$170</definedName>
    <definedName name="OSRRefD22_13x_0" localSheetId="49">'300 &amp; 317'!$D$192:$D$193</definedName>
    <definedName name="OSRRefD22_13x_0" localSheetId="50">'301'!$D$64</definedName>
    <definedName name="OSRRefD22_13x_0" localSheetId="54">'308'!$D$106</definedName>
    <definedName name="OSRRefD22_13x_0" localSheetId="64">'310'!$D$69:$D$72</definedName>
    <definedName name="OSRRefD22_13x_0" localSheetId="72">'310 &amp; 491'!$D$74:$D$76</definedName>
    <definedName name="OSRRefD22_13x_0" localSheetId="55">'311'!$D$106</definedName>
    <definedName name="OSRRefD22_13x_0" localSheetId="58">'315'!$D$133</definedName>
    <definedName name="OSRRefD22_13x_0" localSheetId="69">'325'!$D$67</definedName>
    <definedName name="OSRRefD22_13x_0" localSheetId="59">'326'!$D$92:$D$93</definedName>
    <definedName name="OSRRefD22_13x_0" localSheetId="57">'331'!$D$127</definedName>
    <definedName name="OSRRefD22_13x_0" localSheetId="74">'405'!$D$65:$D$72</definedName>
    <definedName name="OSRRefD22_13x_0" localSheetId="76">'411'!$D$63:$D$64</definedName>
    <definedName name="OSRRefD22_13x_0" localSheetId="80">'415'!$D$65</definedName>
    <definedName name="OSRRefD22_13x_0" localSheetId="89">'433'!$D$66:$D$73</definedName>
    <definedName name="OSRRefD22_13x_0" localSheetId="91">'444'!$D$67</definedName>
    <definedName name="OSRRefD22_13x_0" localSheetId="92">'450'!$D$64:$D$66</definedName>
    <definedName name="OSRRefD22_13x_0" localSheetId="73">'491'!$D$65:$D$67</definedName>
    <definedName name="OSRRefD22_13x_0" localSheetId="87">'492'!$D$66:$D$69</definedName>
    <definedName name="OSRRefD22_13x_0" localSheetId="39">'Div 2'!$D$64:$D$67</definedName>
    <definedName name="OSRRefD22_13x_0" localSheetId="47">'Div 3'!$D$174</definedName>
    <definedName name="OSRRefD22_13x_0" localSheetId="71">'Div 4'!$D$68</definedName>
    <definedName name="OSRRefD22_13x_0" localSheetId="2">Summary!$D$201</definedName>
    <definedName name="OSRRefD22_14x_0" localSheetId="48">'300'!$D$172</definedName>
    <definedName name="OSRRefD22_14x_0" localSheetId="49">'300 &amp; 317'!$D$195</definedName>
    <definedName name="OSRRefD22_14x_0" localSheetId="50">'301'!$D$66</definedName>
    <definedName name="OSRRefD22_14x_0" localSheetId="64">'310'!$D$74:$D$78</definedName>
    <definedName name="OSRRefD22_14x_0" localSheetId="72">'310 &amp; 491'!$D$78</definedName>
    <definedName name="OSRRefD22_14x_0" localSheetId="58">'315'!$D$135</definedName>
    <definedName name="OSRRefD22_14x_0" localSheetId="69">'325'!$D$69</definedName>
    <definedName name="OSRRefD22_14x_0" localSheetId="59">'326'!$D$95:$D$98</definedName>
    <definedName name="OSRRefD22_14x_0" localSheetId="57">'331'!$D$129:$D$131</definedName>
    <definedName name="OSRRefD22_14x_0" localSheetId="74">'405'!$D$74</definedName>
    <definedName name="OSRRefD22_14x_0" localSheetId="76">'411'!$D$66</definedName>
    <definedName name="OSRRefD22_14x_0" localSheetId="80">'415'!$D$67:$D$72</definedName>
    <definedName name="OSRRefD22_14x_0" localSheetId="89">'433'!$D$75</definedName>
    <definedName name="OSRRefD22_14x_0" localSheetId="91">'444'!$D$69:$D$76</definedName>
    <definedName name="OSRRefD22_14x_0" localSheetId="92">'450'!$D$68:$D$73</definedName>
    <definedName name="OSRRefD22_14x_0" localSheetId="73">'491'!$D$69</definedName>
    <definedName name="OSRRefD22_14x_0" localSheetId="87">'492'!$D$71</definedName>
    <definedName name="OSRRefD22_14x_0" localSheetId="39">'Div 2'!$D$69</definedName>
    <definedName name="OSRRefD22_14x_0" localSheetId="47">'Div 3'!$D$176:$D$177</definedName>
    <definedName name="OSRRefD22_14x_0" localSheetId="71">'Div 4'!$D$70</definedName>
    <definedName name="OSRRefD22_14x_0" localSheetId="2">Summary!$D$203:$D$204</definedName>
    <definedName name="OSRRefD22_15x_0" localSheetId="48">'300'!$D$174</definedName>
    <definedName name="OSRRefD22_15x_0" localSheetId="49">'300 &amp; 317'!$D$197</definedName>
    <definedName name="OSRRefD22_15x_0" localSheetId="50">'301'!$D$68:$D$71</definedName>
    <definedName name="OSRRefD22_15x_0" localSheetId="64">'310'!$D$80</definedName>
    <definedName name="OSRRefD22_15x_0" localSheetId="72">'310 &amp; 491'!$D$80:$D$83</definedName>
    <definedName name="OSRRefD22_15x_0" localSheetId="59">'326'!$D$100</definedName>
    <definedName name="OSRRefD22_15x_0" localSheetId="57">'331'!$D$133:$D$134</definedName>
    <definedName name="OSRRefD22_15x_0" localSheetId="74">'405'!$D$76</definedName>
    <definedName name="OSRRefD22_15x_0" localSheetId="80">'415'!$D$74</definedName>
    <definedName name="OSRRefD22_15x_0" localSheetId="91">'444'!$D$78</definedName>
    <definedName name="OSRRefD22_15x_0" localSheetId="92">'450'!$D$75</definedName>
    <definedName name="OSRRefD22_15x_0" localSheetId="73">'491'!$D$71:$D$74</definedName>
    <definedName name="OSRRefD22_15x_0" localSheetId="87">'492'!$D$73:$D$80</definedName>
    <definedName name="OSRRefD22_15x_0" localSheetId="39">'Div 2'!$D$71</definedName>
    <definedName name="OSRRefD22_15x_0" localSheetId="47">'Div 3'!$D$179</definedName>
    <definedName name="OSRRefD22_15x_0" localSheetId="71">'Div 4'!$D$72:$D$74</definedName>
    <definedName name="OSRRefD22_15x_0" localSheetId="2">Summary!$D$206</definedName>
    <definedName name="OSRRefD22_16x_0" localSheetId="48">'300'!$D$176:$D$179</definedName>
    <definedName name="OSRRefD22_16x_0" localSheetId="49">'300 &amp; 317'!$D$199:$D$202</definedName>
    <definedName name="OSRRefD22_16x_0" localSheetId="50">'301'!$D$73:$D$75</definedName>
    <definedName name="OSRRefD22_16x_0" localSheetId="64">'310'!$D$82</definedName>
    <definedName name="OSRRefD22_16x_0" localSheetId="72">'310 &amp; 491'!$D$85</definedName>
    <definedName name="OSRRefD22_16x_0" localSheetId="59">'326'!$D$102</definedName>
    <definedName name="OSRRefD22_16x_0" localSheetId="57">'331'!$D$136:$D$138</definedName>
    <definedName name="OSRRefD22_16x_0" localSheetId="80">'415'!$D$76</definedName>
    <definedName name="OSRRefD22_16x_0" localSheetId="91">'444'!$D$80</definedName>
    <definedName name="OSRRefD22_16x_0" localSheetId="92">'450'!$D$77</definedName>
    <definedName name="OSRRefD22_16x_0" localSheetId="73">'491'!$D$76</definedName>
    <definedName name="OSRRefD22_16x_0" localSheetId="87">'492'!$D$82</definedName>
    <definedName name="OSRRefD22_16x_0" localSheetId="39">'Div 2'!$D$73:$D$77</definedName>
    <definedName name="OSRRefD22_16x_0" localSheetId="47">'Div 3'!$D$181</definedName>
    <definedName name="OSRRefD22_16x_0" localSheetId="71">'Div 4'!$D$76</definedName>
    <definedName name="OSRRefD22_16x_0" localSheetId="2">Summary!$D$208</definedName>
    <definedName name="OSRRefD22_17x_0" localSheetId="48">'300'!$D$181:$D$183</definedName>
    <definedName name="OSRRefD22_17x_0" localSheetId="49">'300 &amp; 317'!$D$204:$D$206</definedName>
    <definedName name="OSRRefD22_17x_0" localSheetId="50">'301'!$D$77</definedName>
    <definedName name="OSRRefD22_17x_0" localSheetId="72">'310 &amp; 491'!$D$87:$D$95</definedName>
    <definedName name="OSRRefD22_17x_0" localSheetId="59">'326'!$D$104</definedName>
    <definedName name="OSRRefD22_17x_0" localSheetId="57">'331'!$D$140:$D$141</definedName>
    <definedName name="OSRRefD22_17x_0" localSheetId="80">'415'!$D$78</definedName>
    <definedName name="OSRRefD22_17x_0" localSheetId="73">'491'!$D$78:$D$86</definedName>
    <definedName name="OSRRefD22_17x_0" localSheetId="87">'492'!$D$84</definedName>
    <definedName name="OSRRefD22_17x_0" localSheetId="39">'Div 2'!$D$79:$D$80</definedName>
    <definedName name="OSRRefD22_17x_0" localSheetId="47">'Div 3'!$D$183:$D$186</definedName>
    <definedName name="OSRRefD22_17x_0" localSheetId="71">'Div 4'!$D$78:$D$81</definedName>
    <definedName name="OSRRefD22_17x_0" localSheetId="2">Summary!$D$210</definedName>
    <definedName name="OSRRefD22_18x_0" localSheetId="48">'300'!$D$185:$D$188</definedName>
    <definedName name="OSRRefD22_18x_0" localSheetId="49">'300 &amp; 317'!$D$208:$D$211</definedName>
    <definedName name="OSRRefD22_18x_0" localSheetId="50">'301'!$D$79:$D$84</definedName>
    <definedName name="OSRRefD22_18x_0" localSheetId="72">'310 &amp; 491'!$D$97</definedName>
    <definedName name="OSRRefD22_18x_0" localSheetId="57">'331'!$D$143:$D$147</definedName>
    <definedName name="OSRRefD22_18x_0" localSheetId="73">'491'!$D$88</definedName>
    <definedName name="OSRRefD22_18x_0" localSheetId="87">'492'!$D$86:$D$87</definedName>
    <definedName name="OSRRefD22_18x_0" localSheetId="39">'Div 2'!$D$82</definedName>
    <definedName name="OSRRefD22_18x_0" localSheetId="47">'Div 3'!$D$188:$D$190</definedName>
    <definedName name="OSRRefD22_18x_0" localSheetId="71">'Div 4'!$D$83:$D$84</definedName>
    <definedName name="OSRRefD22_18x_0" localSheetId="2">Summary!$D$212:$D$215</definedName>
    <definedName name="OSRRefD22_19x_0" localSheetId="48">'300'!$D$190:$D$191</definedName>
    <definedName name="OSRRefD22_19x_0" localSheetId="49">'300 &amp; 317'!$D$213:$D$214</definedName>
    <definedName name="OSRRefD22_19x_0" localSheetId="50">'301'!$D$86</definedName>
    <definedName name="OSRRefD22_19x_0" localSheetId="72">'310 &amp; 491'!$D$99</definedName>
    <definedName name="OSRRefD22_19x_0" localSheetId="57">'331'!$D$149</definedName>
    <definedName name="OSRRefD22_19x_0" localSheetId="73">'491'!$D$90</definedName>
    <definedName name="OSRRefD22_19x_0" localSheetId="39">'Div 2'!$D$84:$D$85</definedName>
    <definedName name="OSRRefD22_19x_0" localSheetId="47">'Div 3'!$D$192:$D$196</definedName>
    <definedName name="OSRRefD22_19x_0" localSheetId="71">'Div 4'!$D$86:$D$94</definedName>
    <definedName name="OSRRefD22_19x_0" localSheetId="2">Summary!$D$217:$D$219</definedName>
    <definedName name="OSRRefD22_1x_0" localSheetId="40">'200'!$D$22</definedName>
    <definedName name="OSRRefD22_1x_0" localSheetId="41">'201'!$D$29:$D$31</definedName>
    <definedName name="OSRRefD22_1x_0" localSheetId="42">'202'!$D$29:$D$31</definedName>
    <definedName name="OSRRefD22_1x_0" localSheetId="43">'203'!$D$31:$D$35</definedName>
    <definedName name="OSRRefD22_1x_0" localSheetId="44">'204'!$D$30:$D$32</definedName>
    <definedName name="OSRRefD22_1x_0" localSheetId="45">'205'!$D$29</definedName>
    <definedName name="OSRRefD22_1x_0" localSheetId="46">'206'!$D$28:$D$30</definedName>
    <definedName name="OSRRefD22_1x_0" localSheetId="48">'300'!$D$136:$D$142</definedName>
    <definedName name="OSRRefD22_1x_0" localSheetId="49">'300 &amp; 317'!$D$159:$D$165</definedName>
    <definedName name="OSRRefD22_1x_0" localSheetId="50">'301'!$D$32:$D$38</definedName>
    <definedName name="OSRRefD22_1x_0" localSheetId="51">'306'!$D$25:$D$26</definedName>
    <definedName name="OSRRefD22_1x_0" localSheetId="53">'307'!$D$47:$D$50</definedName>
    <definedName name="OSRRefD22_1x_0" localSheetId="54">'308'!$D$71:$D$77</definedName>
    <definedName name="OSRRefD22_1x_0" localSheetId="65">'309'!$D$22</definedName>
    <definedName name="OSRRefD22_1x_0" localSheetId="64">'310'!$D$40:$D$43</definedName>
    <definedName name="OSRRefD22_1x_0" localSheetId="72">'310 &amp; 491'!$D$44:$D$48</definedName>
    <definedName name="OSRRefD22_1x_0" localSheetId="55">'311'!$D$71:$D$77</definedName>
    <definedName name="OSRRefD22_1x_0" localSheetId="66">'313'!$D$34</definedName>
    <definedName name="OSRRefD22_1x_0" localSheetId="58">'315'!$D$96:$D$100</definedName>
    <definedName name="OSRRefD22_1x_0" localSheetId="61">'316'!$D$41:$D$43</definedName>
    <definedName name="OSRRefD22_1x_0" localSheetId="63">'317'!$D$64:$D$68</definedName>
    <definedName name="OSRRefD22_1x_0" localSheetId="67">'321'!$D$33:$D$36</definedName>
    <definedName name="OSRRefD22_1x_0" localSheetId="68">'322'!$D$27</definedName>
    <definedName name="OSRRefD22_1x_0" localSheetId="69">'325'!$D$33:$D$35</definedName>
    <definedName name="OSRRefD22_1x_0" localSheetId="59">'326'!$D$60:$D$64</definedName>
    <definedName name="OSRRefD22_1x_0" localSheetId="52">'330'!$D$51:$D$54</definedName>
    <definedName name="OSRRefD22_1x_0" localSheetId="57">'331'!$D$96:$D$100</definedName>
    <definedName name="OSRRefD22_1x_0" localSheetId="60">'332'!$D$43:$D$45</definedName>
    <definedName name="OSRRefD22_1x_0" localSheetId="74">'405'!$D$33:$D$36</definedName>
    <definedName name="OSRRefD22_1x_0" localSheetId="75">'406'!$D$22</definedName>
    <definedName name="OSRRefD22_1x_0" localSheetId="76">'411'!$D$29:$D$33</definedName>
    <definedName name="OSRRefD22_1x_0" localSheetId="77">'412'!$D$22</definedName>
    <definedName name="OSRRefD22_1x_0" localSheetId="78">'413'!$D$26</definedName>
    <definedName name="OSRRefD22_1x_0" localSheetId="79">'414'!$D$23</definedName>
    <definedName name="OSRRefD22_1x_0" localSheetId="80">'415'!$D$33:$D$36</definedName>
    <definedName name="OSRRefD22_1x_0" localSheetId="81">'418'!$D$30:$D$33</definedName>
    <definedName name="OSRRefD22_1x_0" localSheetId="83">'423'!$D$23</definedName>
    <definedName name="OSRRefD22_1x_0" localSheetId="84">'424'!$D$22</definedName>
    <definedName name="OSRRefD22_1x_0" localSheetId="85">'425'!$D$28</definedName>
    <definedName name="OSRRefD22_1x_0" localSheetId="88">'430'!$D$29</definedName>
    <definedName name="OSRRefD22_1x_0" localSheetId="89">'433'!$D$35:$D$39</definedName>
    <definedName name="OSRRefD22_1x_0" localSheetId="91">'444'!$D$35:$D$39</definedName>
    <definedName name="OSRRefD22_1x_0" localSheetId="92">'450'!$D$35:$D$39</definedName>
    <definedName name="OSRRefD22_1x_0" localSheetId="73">'491'!$D$36:$D$40</definedName>
    <definedName name="OSRRefD22_1x_0" localSheetId="87">'492'!$D$35:$D$40</definedName>
    <definedName name="OSRRefD22_1x_0" localSheetId="94">'501'!$D$31:$D$36</definedName>
    <definedName name="OSRRefD22_1x_0" localSheetId="39">'Div 2'!$D$32:$D$37</definedName>
    <definedName name="OSRRefD22_1x_0" localSheetId="47">'Div 3'!$D$141:$D$147</definedName>
    <definedName name="OSRRefD22_1x_0" localSheetId="71">'Div 4'!$D$38:$D$43</definedName>
    <definedName name="OSRRefD22_1x_0" localSheetId="93">'Div 5'!$D$31:$D$36</definedName>
    <definedName name="OSRRefD22_1x_0" localSheetId="62">'Div 6'!$D$64:$D$68</definedName>
    <definedName name="OSRRefD22_1x_0" localSheetId="2">Summary!$D$168:$D$174</definedName>
    <definedName name="OSRRefD22_20x_0" localSheetId="48">'300'!$D$193:$D$199</definedName>
    <definedName name="OSRRefD22_20x_0" localSheetId="49">'300 &amp; 317'!$D$216:$D$222</definedName>
    <definedName name="OSRRefD22_20x_0" localSheetId="50">'301'!$D$88</definedName>
    <definedName name="OSRRefD22_20x_0" localSheetId="72">'310 &amp; 491'!$D$101:$D$102</definedName>
    <definedName name="OSRRefD22_20x_0" localSheetId="57">'331'!$D$151</definedName>
    <definedName name="OSRRefD22_20x_0" localSheetId="73">'491'!$D$92:$D$93</definedName>
    <definedName name="OSRRefD22_20x_0" localSheetId="47">'Div 3'!$D$198:$D$199</definedName>
    <definedName name="OSRRefD22_20x_0" localSheetId="71">'Div 4'!$D$96</definedName>
    <definedName name="OSRRefD22_20x_0" localSheetId="2">Summary!$D$221:$D$225</definedName>
    <definedName name="OSRRefD22_21x_0" localSheetId="48">'300'!$D$201:$D$202</definedName>
    <definedName name="OSRRefD22_21x_0" localSheetId="49">'300 &amp; 317'!$D$224:$D$225</definedName>
    <definedName name="OSRRefD22_21x_0" localSheetId="50">'301'!$D$90:$D$91</definedName>
    <definedName name="OSRRefD22_21x_0" localSheetId="72">'310 &amp; 491'!$D$104</definedName>
    <definedName name="OSRRefD22_21x_0" localSheetId="57">'331'!$D$153</definedName>
    <definedName name="OSRRefD22_21x_0" localSheetId="73">'491'!$D$95</definedName>
    <definedName name="OSRRefD22_21x_0" localSheetId="47">'Div 3'!$D$201:$D$207</definedName>
    <definedName name="OSRRefD22_21x_0" localSheetId="71">'Div 4'!$D$98</definedName>
    <definedName name="OSRRefD22_21x_0" localSheetId="2">Summary!$D$227:$D$228</definedName>
    <definedName name="OSRRefD22_22x_0" localSheetId="48">'300'!$D$204</definedName>
    <definedName name="OSRRefD22_22x_0" localSheetId="49">'300 &amp; 317'!$D$227</definedName>
    <definedName name="OSRRefD22_22x_0" localSheetId="50">'301'!$D$93</definedName>
    <definedName name="OSRRefD22_22x_0" localSheetId="47">'Div 3'!$D$209:$D$210</definedName>
    <definedName name="OSRRefD22_22x_0" localSheetId="71">'Div 4'!$D$100:$D$101</definedName>
    <definedName name="OSRRefD22_22x_0" localSheetId="2">Summary!$D$230:$D$238</definedName>
    <definedName name="OSRRefD22_23x_0" localSheetId="48">'300'!$D$206:$D$208</definedName>
    <definedName name="OSRRefD22_23x_0" localSheetId="49">'300 &amp; 317'!$D$229:$D$231</definedName>
    <definedName name="OSRRefD22_23x_0" localSheetId="47">'Div 3'!$D$212</definedName>
    <definedName name="OSRRefD22_23x_0" localSheetId="71">'Div 4'!$D$103</definedName>
    <definedName name="OSRRefD22_23x_0" localSheetId="2">Summary!$D$240:$D$241</definedName>
    <definedName name="OSRRefD22_24x_0" localSheetId="48">'300'!$D$210</definedName>
    <definedName name="OSRRefD22_24x_0" localSheetId="49">'300 &amp; 317'!$D$233</definedName>
    <definedName name="OSRRefD22_24x_0" localSheetId="47">'Div 3'!$D$214:$D$216</definedName>
    <definedName name="OSRRefD22_24x_0" localSheetId="2">Summary!$D$243</definedName>
    <definedName name="OSRRefD22_25x_0" localSheetId="47">'Div 3'!$D$218</definedName>
    <definedName name="OSRRefD22_25x_0" localSheetId="2">Summary!$D$245:$D$247</definedName>
    <definedName name="OSRRefD22_26x_0" localSheetId="2">Summary!$D$249</definedName>
    <definedName name="OSRRefD22_2x_0" localSheetId="40">'200'!$D$24</definedName>
    <definedName name="OSRRefD22_2x_0" localSheetId="41">'201'!$D$33</definedName>
    <definedName name="OSRRefD22_2x_0" localSheetId="42">'202'!$D$33</definedName>
    <definedName name="OSRRefD22_2x_0" localSheetId="43">'203'!$D$37</definedName>
    <definedName name="OSRRefD22_2x_0" localSheetId="44">'204'!$D$34</definedName>
    <definedName name="OSRRefD22_2x_0" localSheetId="45">'205'!$D$31</definedName>
    <definedName name="OSRRefD22_2x_0" localSheetId="46">'206'!$D$32</definedName>
    <definedName name="OSRRefD22_2x_0" localSheetId="48">'300'!$D$144</definedName>
    <definedName name="OSRRefD22_2x_0" localSheetId="49">'300 &amp; 317'!$D$167</definedName>
    <definedName name="OSRRefD22_2x_0" localSheetId="50">'301'!$D$40</definedName>
    <definedName name="OSRRefD22_2x_0" localSheetId="51">'306'!$D$28</definedName>
    <definedName name="OSRRefD22_2x_0" localSheetId="53">'307'!$D$52</definedName>
    <definedName name="OSRRefD22_2x_0" localSheetId="54">'308'!$D$79</definedName>
    <definedName name="OSRRefD22_2x_0" localSheetId="65">'309'!$D$24</definedName>
    <definedName name="OSRRefD22_2x_0" localSheetId="64">'310'!$D$45</definedName>
    <definedName name="OSRRefD22_2x_0" localSheetId="72">'310 &amp; 491'!$D$50</definedName>
    <definedName name="OSRRefD22_2x_0" localSheetId="55">'311'!$D$79</definedName>
    <definedName name="OSRRefD22_2x_0" localSheetId="66">'313'!$D$36</definedName>
    <definedName name="OSRRefD22_2x_0" localSheetId="58">'315'!$D$102</definedName>
    <definedName name="OSRRefD22_2x_0" localSheetId="61">'316'!$D$45</definedName>
    <definedName name="OSRRefD22_2x_0" localSheetId="63">'317'!$D$70</definedName>
    <definedName name="OSRRefD22_2x_0" localSheetId="67">'321'!$D$38</definedName>
    <definedName name="OSRRefD22_2x_0" localSheetId="68">'322'!$D$29</definedName>
    <definedName name="OSRRefD22_2x_0" localSheetId="69">'325'!$D$37</definedName>
    <definedName name="OSRRefD22_2x_0" localSheetId="59">'326'!$D$66</definedName>
    <definedName name="OSRRefD22_2x_0" localSheetId="52">'330'!$D$56</definedName>
    <definedName name="OSRRefD22_2x_0" localSheetId="57">'331'!$D$102</definedName>
    <definedName name="OSRRefD22_2x_0" localSheetId="60">'332'!$D$47</definedName>
    <definedName name="OSRRefD22_2x_0" localSheetId="74">'405'!$D$38</definedName>
    <definedName name="OSRRefD22_2x_0" localSheetId="75">'406'!$D$24</definedName>
    <definedName name="OSRRefD22_2x_0" localSheetId="76">'411'!$D$35</definedName>
    <definedName name="OSRRefD22_2x_0" localSheetId="77">'412'!$D$24:$D$25</definedName>
    <definedName name="OSRRefD22_2x_0" localSheetId="78">'413'!$D$28</definedName>
    <definedName name="OSRRefD22_2x_0" localSheetId="79">'414'!$D$25</definedName>
    <definedName name="OSRRefD22_2x_0" localSheetId="80">'415'!$D$38</definedName>
    <definedName name="OSRRefD22_2x_0" localSheetId="81">'418'!$D$35</definedName>
    <definedName name="OSRRefD22_2x_0" localSheetId="83">'423'!$D$25</definedName>
    <definedName name="OSRRefD22_2x_0" localSheetId="84">'424'!$D$24</definedName>
    <definedName name="OSRRefD22_2x_0" localSheetId="85">'425'!$D$30</definedName>
    <definedName name="OSRRefD22_2x_0" localSheetId="88">'430'!$D$31</definedName>
    <definedName name="OSRRefD22_2x_0" localSheetId="89">'433'!$D$41</definedName>
    <definedName name="OSRRefD22_2x_0" localSheetId="91">'444'!$D$41</definedName>
    <definedName name="OSRRefD22_2x_0" localSheetId="92">'450'!$D$41</definedName>
    <definedName name="OSRRefD22_2x_0" localSheetId="73">'491'!$D$42</definedName>
    <definedName name="OSRRefD22_2x_0" localSheetId="87">'492'!$D$42</definedName>
    <definedName name="OSRRefD22_2x_0" localSheetId="94">'501'!$D$38</definedName>
    <definedName name="OSRRefD22_2x_0" localSheetId="39">'Div 2'!$D$39</definedName>
    <definedName name="OSRRefD22_2x_0" localSheetId="47">'Div 3'!$D$149</definedName>
    <definedName name="OSRRefD22_2x_0" localSheetId="71">'Div 4'!$D$45</definedName>
    <definedName name="OSRRefD22_2x_0" localSheetId="93">'Div 5'!$D$38</definedName>
    <definedName name="OSRRefD22_2x_0" localSheetId="62">'Div 6'!$D$70</definedName>
    <definedName name="OSRRefD22_2x_0" localSheetId="2">Summary!$D$176</definedName>
    <definedName name="OSRRefD22_3x_0" localSheetId="40">'200'!$D$26</definedName>
    <definedName name="OSRRefD22_3x_0" localSheetId="41">'201'!$D$35</definedName>
    <definedName name="OSRRefD22_3x_0" localSheetId="42">'202'!$D$35</definedName>
    <definedName name="OSRRefD22_3x_0" localSheetId="43">'203'!$D$39</definedName>
    <definedName name="OSRRefD22_3x_0" localSheetId="44">'204'!$D$36</definedName>
    <definedName name="OSRRefD22_3x_0" localSheetId="45">'205'!$D$33</definedName>
    <definedName name="OSRRefD22_3x_0" localSheetId="46">'206'!$D$34</definedName>
    <definedName name="OSRRefD22_3x_0" localSheetId="48">'300'!$D$146</definedName>
    <definedName name="OSRRefD22_3x_0" localSheetId="49">'300 &amp; 317'!$D$169</definedName>
    <definedName name="OSRRefD22_3x_0" localSheetId="50">'301'!$D$42</definedName>
    <definedName name="OSRRefD22_3x_0" localSheetId="51">'306'!$D$30</definedName>
    <definedName name="OSRRefD22_3x_0" localSheetId="53">'307'!$D$54</definedName>
    <definedName name="OSRRefD22_3x_0" localSheetId="54">'308'!$D$81</definedName>
    <definedName name="OSRRefD22_3x_0" localSheetId="65">'309'!$D$26:$D$27</definedName>
    <definedName name="OSRRefD22_3x_0" localSheetId="64">'310'!$D$47</definedName>
    <definedName name="OSRRefD22_3x_0" localSheetId="72">'310 &amp; 491'!$D$52</definedName>
    <definedName name="OSRRefD22_3x_0" localSheetId="55">'311'!$D$81</definedName>
    <definedName name="OSRRefD22_3x_0" localSheetId="66">'313'!$D$38</definedName>
    <definedName name="OSRRefD22_3x_0" localSheetId="58">'315'!$D$104:$D$105</definedName>
    <definedName name="OSRRefD22_3x_0" localSheetId="61">'316'!$D$47</definedName>
    <definedName name="OSRRefD22_3x_0" localSheetId="63">'317'!$D$72</definedName>
    <definedName name="OSRRefD22_3x_0" localSheetId="67">'321'!$D$40</definedName>
    <definedName name="OSRRefD22_3x_0" localSheetId="68">'322'!$D$31</definedName>
    <definedName name="OSRRefD22_3x_0" localSheetId="69">'325'!$D$39</definedName>
    <definedName name="OSRRefD22_3x_0" localSheetId="59">'326'!$D$68</definedName>
    <definedName name="OSRRefD22_3x_0" localSheetId="52">'330'!$D$58</definedName>
    <definedName name="OSRRefD22_3x_0" localSheetId="57">'331'!$D$104</definedName>
    <definedName name="OSRRefD22_3x_0" localSheetId="60">'332'!$D$49</definedName>
    <definedName name="OSRRefD22_3x_0" localSheetId="74">'405'!$D$40</definedName>
    <definedName name="OSRRefD22_3x_0" localSheetId="75">'406'!$D$26</definedName>
    <definedName name="OSRRefD22_3x_0" localSheetId="76">'411'!$D$37:$D$38</definedName>
    <definedName name="OSRRefD22_3x_0" localSheetId="77">'412'!$D$27</definedName>
    <definedName name="OSRRefD22_3x_0" localSheetId="78">'413'!$D$30</definedName>
    <definedName name="OSRRefD22_3x_0" localSheetId="79">'414'!$D$27</definedName>
    <definedName name="OSRRefD22_3x_0" localSheetId="80">'415'!$D$40</definedName>
    <definedName name="OSRRefD22_3x_0" localSheetId="81">'418'!$D$37</definedName>
    <definedName name="OSRRefD22_3x_0" localSheetId="83">'423'!$D$27</definedName>
    <definedName name="OSRRefD22_3x_0" localSheetId="84">'424'!$D$26</definedName>
    <definedName name="OSRRefD22_3x_0" localSheetId="85">'425'!$D$32</definedName>
    <definedName name="OSRRefD22_3x_0" localSheetId="88">'430'!$D$33</definedName>
    <definedName name="OSRRefD22_3x_0" localSheetId="89">'433'!$D$43</definedName>
    <definedName name="OSRRefD22_3x_0" localSheetId="91">'444'!$D$43</definedName>
    <definedName name="OSRRefD22_3x_0" localSheetId="92">'450'!$D$43</definedName>
    <definedName name="OSRRefD22_3x_0" localSheetId="73">'491'!$D$44</definedName>
    <definedName name="OSRRefD22_3x_0" localSheetId="87">'492'!$D$44</definedName>
    <definedName name="OSRRefD22_3x_0" localSheetId="94">'501'!$D$40</definedName>
    <definedName name="OSRRefD22_3x_0" localSheetId="39">'Div 2'!$D$41</definedName>
    <definedName name="OSRRefD22_3x_0" localSheetId="47">'Div 3'!$D$151</definedName>
    <definedName name="OSRRefD22_3x_0" localSheetId="71">'Div 4'!$D$47</definedName>
    <definedName name="OSRRefD22_3x_0" localSheetId="93">'Div 5'!$D$40</definedName>
    <definedName name="OSRRefD22_3x_0" localSheetId="62">'Div 6'!$D$72</definedName>
    <definedName name="OSRRefD22_3x_0" localSheetId="2">Summary!$D$178</definedName>
    <definedName name="OSRRefD22_4x_0" localSheetId="41">'201'!$D$37</definedName>
    <definedName name="OSRRefD22_4x_0" localSheetId="42">'202'!$D$37</definedName>
    <definedName name="OSRRefD22_4x_0" localSheetId="43">'203'!$D$41</definedName>
    <definedName name="OSRRefD22_4x_0" localSheetId="44">'204'!$D$38</definedName>
    <definedName name="OSRRefD22_4x_0" localSheetId="45">'205'!$D$35:$D$36</definedName>
    <definedName name="OSRRefD22_4x_0" localSheetId="46">'206'!$D$36</definedName>
    <definedName name="OSRRefD22_4x_0" localSheetId="48">'300'!$D$148</definedName>
    <definedName name="OSRRefD22_4x_0" localSheetId="49">'300 &amp; 317'!$D$171</definedName>
    <definedName name="OSRRefD22_4x_0" localSheetId="50">'301'!$D$44</definedName>
    <definedName name="OSRRefD22_4x_0" localSheetId="51">'306'!$D$32</definedName>
    <definedName name="OSRRefD22_4x_0" localSheetId="53">'307'!$D$56:$D$57</definedName>
    <definedName name="OSRRefD22_4x_0" localSheetId="54">'308'!$D$83</definedName>
    <definedName name="OSRRefD22_4x_0" localSheetId="65">'309'!$D$29:$D$30</definedName>
    <definedName name="OSRRefD22_4x_0" localSheetId="64">'310'!$D$49</definedName>
    <definedName name="OSRRefD22_4x_0" localSheetId="72">'310 &amp; 491'!$D$54</definedName>
    <definedName name="OSRRefD22_4x_0" localSheetId="55">'311'!$D$83</definedName>
    <definedName name="OSRRefD22_4x_0" localSheetId="66">'313'!$D$40</definedName>
    <definedName name="OSRRefD22_4x_0" localSheetId="58">'315'!$D$107</definedName>
    <definedName name="OSRRefD22_4x_0" localSheetId="61">'316'!$D$49</definedName>
    <definedName name="OSRRefD22_4x_0" localSheetId="63">'317'!$D$74</definedName>
    <definedName name="OSRRefD22_4x_0" localSheetId="67">'321'!$D$42</definedName>
    <definedName name="OSRRefD22_4x_0" localSheetId="68">'322'!$D$33:$D$34</definedName>
    <definedName name="OSRRefD22_4x_0" localSheetId="69">'325'!$D$41</definedName>
    <definedName name="OSRRefD22_4x_0" localSheetId="59">'326'!$D$70</definedName>
    <definedName name="OSRRefD22_4x_0" localSheetId="52">'330'!$D$60:$D$61</definedName>
    <definedName name="OSRRefD22_4x_0" localSheetId="57">'331'!$D$106</definedName>
    <definedName name="OSRRefD22_4x_0" localSheetId="60">'332'!$D$51</definedName>
    <definedName name="OSRRefD22_4x_0" localSheetId="74">'405'!$D$42</definedName>
    <definedName name="OSRRefD22_4x_0" localSheetId="75">'406'!$D$28</definedName>
    <definedName name="OSRRefD22_4x_0" localSheetId="76">'411'!$D$40</definedName>
    <definedName name="OSRRefD22_4x_0" localSheetId="77">'412'!$D$29</definedName>
    <definedName name="OSRRefD22_4x_0" localSheetId="78">'413'!$D$32</definedName>
    <definedName name="OSRRefD22_4x_0" localSheetId="79">'414'!$D$29:$D$30</definedName>
    <definedName name="OSRRefD22_4x_0" localSheetId="80">'415'!$D$42</definedName>
    <definedName name="OSRRefD22_4x_0" localSheetId="81">'418'!$D$39:$D$40</definedName>
    <definedName name="OSRRefD22_4x_0" localSheetId="85">'425'!$D$34</definedName>
    <definedName name="OSRRefD22_4x_0" localSheetId="88">'430'!$D$35</definedName>
    <definedName name="OSRRefD22_4x_0" localSheetId="89">'433'!$D$45</definedName>
    <definedName name="OSRRefD22_4x_0" localSheetId="91">'444'!$D$45</definedName>
    <definedName name="OSRRefD22_4x_0" localSheetId="92">'450'!$D$45</definedName>
    <definedName name="OSRRefD22_4x_0" localSheetId="73">'491'!$D$46</definedName>
    <definedName name="OSRRefD22_4x_0" localSheetId="87">'492'!$D$46</definedName>
    <definedName name="OSRRefD22_4x_0" localSheetId="94">'501'!$D$42:$D$43</definedName>
    <definedName name="OSRRefD22_4x_0" localSheetId="39">'Div 2'!$D$43</definedName>
    <definedName name="OSRRefD22_4x_0" localSheetId="47">'Div 3'!$D$153</definedName>
    <definedName name="OSRRefD22_4x_0" localSheetId="71">'Div 4'!$D$49</definedName>
    <definedName name="OSRRefD22_4x_0" localSheetId="93">'Div 5'!$D$42:$D$43</definedName>
    <definedName name="OSRRefD22_4x_0" localSheetId="62">'Div 6'!$D$74</definedName>
    <definedName name="OSRRefD22_4x_0" localSheetId="2">Summary!$D$180</definedName>
    <definedName name="OSRRefD22_5x_0" localSheetId="41">'201'!$D$39</definedName>
    <definedName name="OSRRefD22_5x_0" localSheetId="42">'202'!$D$39:$D$40</definedName>
    <definedName name="OSRRefD22_5x_0" localSheetId="43">'203'!$D$43</definedName>
    <definedName name="OSRRefD22_5x_0" localSheetId="44">'204'!$D$40:$D$43</definedName>
    <definedName name="OSRRefD22_5x_0" localSheetId="45">'205'!$D$38:$D$40</definedName>
    <definedName name="OSRRefD22_5x_0" localSheetId="46">'206'!$D$38</definedName>
    <definedName name="OSRRefD22_5x_0" localSheetId="48">'300'!$D$150:$D$151</definedName>
    <definedName name="OSRRefD22_5x_0" localSheetId="49">'300 &amp; 317'!$D$173:$D$174</definedName>
    <definedName name="OSRRefD22_5x_0" localSheetId="50">'301'!$D$46:$D$47</definedName>
    <definedName name="OSRRefD22_5x_0" localSheetId="51">'306'!$D$34</definedName>
    <definedName name="OSRRefD22_5x_0" localSheetId="53">'307'!$D$59</definedName>
    <definedName name="OSRRefD22_5x_0" localSheetId="54">'308'!$D$85</definedName>
    <definedName name="OSRRefD22_5x_0" localSheetId="65">'309'!$D$32</definedName>
    <definedName name="OSRRefD22_5x_0" localSheetId="64">'310'!$D$51:$D$52</definedName>
    <definedName name="OSRRefD22_5x_0" localSheetId="72">'310 &amp; 491'!$D$56:$D$57</definedName>
    <definedName name="OSRRefD22_5x_0" localSheetId="55">'311'!$D$85</definedName>
    <definedName name="OSRRefD22_5x_0" localSheetId="66">'313'!$D$42</definedName>
    <definedName name="OSRRefD22_5x_0" localSheetId="58">'315'!$D$109</definedName>
    <definedName name="OSRRefD22_5x_0" localSheetId="61">'316'!$D$51</definedName>
    <definedName name="OSRRefD22_5x_0" localSheetId="63">'317'!$D$76:$D$77</definedName>
    <definedName name="OSRRefD22_5x_0" localSheetId="67">'321'!$D$44</definedName>
    <definedName name="OSRRefD22_5x_0" localSheetId="68">'322'!$D$36</definedName>
    <definedName name="OSRRefD22_5x_0" localSheetId="69">'325'!$D$43:$D$44</definedName>
    <definedName name="OSRRefD22_5x_0" localSheetId="59">'326'!$D$72</definedName>
    <definedName name="OSRRefD22_5x_0" localSheetId="52">'330'!$D$63:$D$64</definedName>
    <definedName name="OSRRefD22_5x_0" localSheetId="57">'331'!$D$108:$D$109</definedName>
    <definedName name="OSRRefD22_5x_0" localSheetId="60">'332'!$D$53</definedName>
    <definedName name="OSRRefD22_5x_0" localSheetId="74">'405'!$D$44:$D$45</definedName>
    <definedName name="OSRRefD22_5x_0" localSheetId="76">'411'!$D$42</definedName>
    <definedName name="OSRRefD22_5x_0" localSheetId="78">'413'!$D$34</definedName>
    <definedName name="OSRRefD22_5x_0" localSheetId="80">'415'!$D$44:$D$45</definedName>
    <definedName name="OSRRefD22_5x_0" localSheetId="81">'418'!$D$42</definedName>
    <definedName name="OSRRefD22_5x_0" localSheetId="85">'425'!$D$36:$D$37</definedName>
    <definedName name="OSRRefD22_5x_0" localSheetId="88">'430'!$D$37:$D$38</definedName>
    <definedName name="OSRRefD22_5x_0" localSheetId="89">'433'!$D$47</definedName>
    <definedName name="OSRRefD22_5x_0" localSheetId="91">'444'!$D$47</definedName>
    <definedName name="OSRRefD22_5x_0" localSheetId="92">'450'!$D$47</definedName>
    <definedName name="OSRRefD22_5x_0" localSheetId="73">'491'!$D$48:$D$49</definedName>
    <definedName name="OSRRefD22_5x_0" localSheetId="87">'492'!$D$48</definedName>
    <definedName name="OSRRefD22_5x_0" localSheetId="94">'501'!$D$45</definedName>
    <definedName name="OSRRefD22_5x_0" localSheetId="39">'Div 2'!$D$45</definedName>
    <definedName name="OSRRefD22_5x_0" localSheetId="47">'Div 3'!$D$155:$D$156</definedName>
    <definedName name="OSRRefD22_5x_0" localSheetId="71">'Div 4'!$D$51:$D$52</definedName>
    <definedName name="OSRRefD22_5x_0" localSheetId="93">'Div 5'!$D$45</definedName>
    <definedName name="OSRRefD22_5x_0" localSheetId="62">'Div 6'!$D$76:$D$77</definedName>
    <definedName name="OSRRefD22_5x_0" localSheetId="2">Summary!$D$182:$D$183</definedName>
    <definedName name="OSRRefD22_6x_0" localSheetId="41">'201'!$D$41</definedName>
    <definedName name="OSRRefD22_6x_0" localSheetId="42">'202'!$D$42</definedName>
    <definedName name="OSRRefD22_6x_0" localSheetId="43">'203'!$D$45</definedName>
    <definedName name="OSRRefD22_6x_0" localSheetId="44">'204'!$D$45</definedName>
    <definedName name="OSRRefD22_6x_0" localSheetId="45">'205'!$D$42</definedName>
    <definedName name="OSRRefD22_6x_0" localSheetId="46">'206'!$D$40</definedName>
    <definedName name="OSRRefD22_6x_0" localSheetId="48">'300'!$D$153:$D$154</definedName>
    <definedName name="OSRRefD22_6x_0" localSheetId="49">'300 &amp; 317'!$D$176:$D$177</definedName>
    <definedName name="OSRRefD22_6x_0" localSheetId="50">'301'!$D$49:$D$50</definedName>
    <definedName name="OSRRefD22_6x_0" localSheetId="53">'307'!$D$61</definedName>
    <definedName name="OSRRefD22_6x_0" localSheetId="54">'308'!$D$87:$D$88</definedName>
    <definedName name="OSRRefD22_6x_0" localSheetId="65">'309'!$D$34</definedName>
    <definedName name="OSRRefD22_6x_0" localSheetId="64">'310'!$D$54</definedName>
    <definedName name="OSRRefD22_6x_0" localSheetId="72">'310 &amp; 491'!$D$59</definedName>
    <definedName name="OSRRefD22_6x_0" localSheetId="55">'311'!$D$87:$D$88</definedName>
    <definedName name="OSRRefD22_6x_0" localSheetId="66">'313'!$D$44</definedName>
    <definedName name="OSRRefD22_6x_0" localSheetId="58">'315'!$D$111:$D$112</definedName>
    <definedName name="OSRRefD22_6x_0" localSheetId="61">'316'!$D$53:$D$54</definedName>
    <definedName name="OSRRefD22_6x_0" localSheetId="63">'317'!$D$79</definedName>
    <definedName name="OSRRefD22_6x_0" localSheetId="67">'321'!$D$46:$D$47</definedName>
    <definedName name="OSRRefD22_6x_0" localSheetId="68">'322'!$D$38</definedName>
    <definedName name="OSRRefD22_6x_0" localSheetId="69">'325'!$D$46</definedName>
    <definedName name="OSRRefD22_6x_0" localSheetId="59">'326'!$D$74</definedName>
    <definedName name="OSRRefD22_6x_0" localSheetId="52">'330'!$D$66</definedName>
    <definedName name="OSRRefD22_6x_0" localSheetId="57">'331'!$D$111</definedName>
    <definedName name="OSRRefD22_6x_0" localSheetId="60">'332'!$D$55:$D$56</definedName>
    <definedName name="OSRRefD22_6x_0" localSheetId="74">'405'!$D$47</definedName>
    <definedName name="OSRRefD22_6x_0" localSheetId="76">'411'!$D$44</definedName>
    <definedName name="OSRRefD22_6x_0" localSheetId="80">'415'!$D$47</definedName>
    <definedName name="OSRRefD22_6x_0" localSheetId="81">'418'!$D$44</definedName>
    <definedName name="OSRRefD22_6x_0" localSheetId="85">'425'!$D$39</definedName>
    <definedName name="OSRRefD22_6x_0" localSheetId="88">'430'!$D$40</definedName>
    <definedName name="OSRRefD22_6x_0" localSheetId="89">'433'!$D$49</definedName>
    <definedName name="OSRRefD22_6x_0" localSheetId="91">'444'!$D$49</definedName>
    <definedName name="OSRRefD22_6x_0" localSheetId="92">'450'!$D$49</definedName>
    <definedName name="OSRRefD22_6x_0" localSheetId="73">'491'!$D$51</definedName>
    <definedName name="OSRRefD22_6x_0" localSheetId="87">'492'!$D$50</definedName>
    <definedName name="OSRRefD22_6x_0" localSheetId="94">'501'!$D$47</definedName>
    <definedName name="OSRRefD22_6x_0" localSheetId="39">'Div 2'!$D$47</definedName>
    <definedName name="OSRRefD22_6x_0" localSheetId="47">'Div 3'!$D$158:$D$159</definedName>
    <definedName name="OSRRefD22_6x_0" localSheetId="71">'Div 4'!$D$54</definedName>
    <definedName name="OSRRefD22_6x_0" localSheetId="93">'Div 5'!$D$47</definedName>
    <definedName name="OSRRefD22_6x_0" localSheetId="62">'Div 6'!$D$79</definedName>
    <definedName name="OSRRefD22_6x_0" localSheetId="2">Summary!$D$185:$D$186</definedName>
    <definedName name="OSRRefD22_7x_0" localSheetId="41">'201'!$D$43</definedName>
    <definedName name="OSRRefD22_7x_0" localSheetId="42">'202'!$D$44:$D$46</definedName>
    <definedName name="OSRRefD22_7x_0" localSheetId="43">'203'!$D$47:$D$48</definedName>
    <definedName name="OSRRefD22_7x_0" localSheetId="44">'204'!$D$47:$D$48</definedName>
    <definedName name="OSRRefD22_7x_0" localSheetId="48">'300'!$D$156</definedName>
    <definedName name="OSRRefD22_7x_0" localSheetId="49">'300 &amp; 317'!$D$179</definedName>
    <definedName name="OSRRefD22_7x_0" localSheetId="50">'301'!$D$52</definedName>
    <definedName name="OSRRefD22_7x_0" localSheetId="53">'307'!$D$63</definedName>
    <definedName name="OSRRefD22_7x_0" localSheetId="54">'308'!$D$90</definedName>
    <definedName name="OSRRefD22_7x_0" localSheetId="64">'310'!$D$56</definedName>
    <definedName name="OSRRefD22_7x_0" localSheetId="72">'310 &amp; 491'!$D$61</definedName>
    <definedName name="OSRRefD22_7x_0" localSheetId="55">'311'!$D$90</definedName>
    <definedName name="OSRRefD22_7x_0" localSheetId="66">'313'!$D$46</definedName>
    <definedName name="OSRRefD22_7x_0" localSheetId="58">'315'!$D$114:$D$115</definedName>
    <definedName name="OSRRefD22_7x_0" localSheetId="61">'316'!$D$56</definedName>
    <definedName name="OSRRefD22_7x_0" localSheetId="63">'317'!$D$81</definedName>
    <definedName name="OSRRefD22_7x_0" localSheetId="67">'321'!$D$49</definedName>
    <definedName name="OSRRefD22_7x_0" localSheetId="68">'322'!$D$40</definedName>
    <definedName name="OSRRefD22_7x_0" localSheetId="69">'325'!$D$48</definedName>
    <definedName name="OSRRefD22_7x_0" localSheetId="59">'326'!$D$76</definedName>
    <definedName name="OSRRefD22_7x_0" localSheetId="52">'330'!$D$68</definedName>
    <definedName name="OSRRefD22_7x_0" localSheetId="57">'331'!$D$113</definedName>
    <definedName name="OSRRefD22_7x_0" localSheetId="60">'332'!$D$58</definedName>
    <definedName name="OSRRefD22_7x_0" localSheetId="74">'405'!$D$49</definedName>
    <definedName name="OSRRefD22_7x_0" localSheetId="76">'411'!$D$46</definedName>
    <definedName name="OSRRefD22_7x_0" localSheetId="80">'415'!$D$49</definedName>
    <definedName name="OSRRefD22_7x_0" localSheetId="81">'418'!$D$46</definedName>
    <definedName name="OSRRefD22_7x_0" localSheetId="85">'425'!$D$41</definedName>
    <definedName name="OSRRefD22_7x_0" localSheetId="88">'430'!$D$42</definedName>
    <definedName name="OSRRefD22_7x_0" localSheetId="89">'433'!$D$51</definedName>
    <definedName name="OSRRefD22_7x_0" localSheetId="91">'444'!$D$51</definedName>
    <definedName name="OSRRefD22_7x_0" localSheetId="92">'450'!$D$51</definedName>
    <definedName name="OSRRefD22_7x_0" localSheetId="73">'491'!$D$53</definedName>
    <definedName name="OSRRefD22_7x_0" localSheetId="87">'492'!$D$52</definedName>
    <definedName name="OSRRefD22_7x_0" localSheetId="94">'501'!$D$49:$D$50</definedName>
    <definedName name="OSRRefD22_7x_0" localSheetId="39">'Div 2'!$D$49</definedName>
    <definedName name="OSRRefD22_7x_0" localSheetId="47">'Div 3'!$D$161</definedName>
    <definedName name="OSRRefD22_7x_0" localSheetId="71">'Div 4'!$D$56</definedName>
    <definedName name="OSRRefD22_7x_0" localSheetId="93">'Div 5'!$D$49:$D$50</definedName>
    <definedName name="OSRRefD22_7x_0" localSheetId="62">'Div 6'!$D$81</definedName>
    <definedName name="OSRRefD22_7x_0" localSheetId="2">Summary!$D$188</definedName>
    <definedName name="OSRRefD22_8x_0" localSheetId="41">'201'!$D$45:$D$47</definedName>
    <definedName name="OSRRefD22_8x_0" localSheetId="42">'202'!$D$48</definedName>
    <definedName name="OSRRefD22_8x_0" localSheetId="43">'203'!$D$50:$D$51</definedName>
    <definedName name="OSRRefD22_8x_0" localSheetId="44">'204'!$D$50</definedName>
    <definedName name="OSRRefD22_8x_0" localSheetId="48">'300'!$D$158</definedName>
    <definedName name="OSRRefD22_8x_0" localSheetId="49">'300 &amp; 317'!$D$181</definedName>
    <definedName name="OSRRefD22_8x_0" localSheetId="50">'301'!$D$54</definedName>
    <definedName name="OSRRefD22_8x_0" localSheetId="53">'307'!$D$65:$D$66</definedName>
    <definedName name="OSRRefD22_8x_0" localSheetId="54">'308'!$D$92</definedName>
    <definedName name="OSRRefD22_8x_0" localSheetId="64">'310'!$D$58</definedName>
    <definedName name="OSRRefD22_8x_0" localSheetId="72">'310 &amp; 491'!$D$63:$D$64</definedName>
    <definedName name="OSRRefD22_8x_0" localSheetId="55">'311'!$D$92</definedName>
    <definedName name="OSRRefD22_8x_0" localSheetId="58">'315'!$D$117</definedName>
    <definedName name="OSRRefD22_8x_0" localSheetId="61">'316'!$D$58:$D$60</definedName>
    <definedName name="OSRRefD22_8x_0" localSheetId="63">'317'!$D$83:$D$85</definedName>
    <definedName name="OSRRefD22_8x_0" localSheetId="67">'321'!$D$51:$D$52</definedName>
    <definedName name="OSRRefD22_8x_0" localSheetId="69">'325'!$D$50</definedName>
    <definedName name="OSRRefD22_8x_0" localSheetId="59">'326'!$D$78</definedName>
    <definedName name="OSRRefD22_8x_0" localSheetId="52">'330'!$D$70:$D$71</definedName>
    <definedName name="OSRRefD22_8x_0" localSheetId="57">'331'!$D$115:$D$116</definedName>
    <definedName name="OSRRefD22_8x_0" localSheetId="60">'332'!$D$60:$D$62</definedName>
    <definedName name="OSRRefD22_8x_0" localSheetId="74">'405'!$D$51</definedName>
    <definedName name="OSRRefD22_8x_0" localSheetId="76">'411'!$D$48</definedName>
    <definedName name="OSRRefD22_8x_0" localSheetId="80">'415'!$D$51</definedName>
    <definedName name="OSRRefD22_8x_0" localSheetId="81">'418'!$D$48:$D$49</definedName>
    <definedName name="OSRRefD22_8x_0" localSheetId="85">'425'!$D$43</definedName>
    <definedName name="OSRRefD22_8x_0" localSheetId="88">'430'!$D$44</definedName>
    <definedName name="OSRRefD22_8x_0" localSheetId="89">'433'!$D$53</definedName>
    <definedName name="OSRRefD22_8x_0" localSheetId="91">'444'!$D$53</definedName>
    <definedName name="OSRRefD22_8x_0" localSheetId="92">'450'!$D$53</definedName>
    <definedName name="OSRRefD22_8x_0" localSheetId="73">'491'!$D$55</definedName>
    <definedName name="OSRRefD22_8x_0" localSheetId="87">'492'!$D$54</definedName>
    <definedName name="OSRRefD22_8x_0" localSheetId="94">'501'!$D$52:$D$53</definedName>
    <definedName name="OSRRefD22_8x_0" localSheetId="39">'Div 2'!$D$51</definedName>
    <definedName name="OSRRefD22_8x_0" localSheetId="47">'Div 3'!$D$163</definedName>
    <definedName name="OSRRefD22_8x_0" localSheetId="71">'Div 4'!$D$58</definedName>
    <definedName name="OSRRefD22_8x_0" localSheetId="93">'Div 5'!$D$52:$D$53</definedName>
    <definedName name="OSRRefD22_8x_0" localSheetId="62">'Div 6'!$D$83:$D$85</definedName>
    <definedName name="OSRRefD22_8x_0" localSheetId="2">Summary!$D$190</definedName>
    <definedName name="OSRRefD22_9x_0" localSheetId="41">'201'!$D$49:$D$50</definedName>
    <definedName name="OSRRefD22_9x_0" localSheetId="42">'202'!$D$50:$D$51</definedName>
    <definedName name="OSRRefD22_9x_0" localSheetId="43">'203'!$D$53</definedName>
    <definedName name="OSRRefD22_9x_0" localSheetId="48">'300'!$D$160</definedName>
    <definedName name="OSRRefD22_9x_0" localSheetId="49">'300 &amp; 317'!$D$183</definedName>
    <definedName name="OSRRefD22_9x_0" localSheetId="50">'301'!$D$56</definedName>
    <definedName name="OSRRefD22_9x_0" localSheetId="53">'307'!$D$68:$D$69</definedName>
    <definedName name="OSRRefD22_9x_0" localSheetId="54">'308'!$D$94:$D$96</definedName>
    <definedName name="OSRRefD22_9x_0" localSheetId="64">'310'!$D$60</definedName>
    <definedName name="OSRRefD22_9x_0" localSheetId="72">'310 &amp; 491'!$D$66</definedName>
    <definedName name="OSRRefD22_9x_0" localSheetId="55">'311'!$D$94:$D$96</definedName>
    <definedName name="OSRRefD22_9x_0" localSheetId="58">'315'!$D$119:$D$120</definedName>
    <definedName name="OSRRefD22_9x_0" localSheetId="61">'316'!$D$62</definedName>
    <definedName name="OSRRefD22_9x_0" localSheetId="63">'317'!$D$87</definedName>
    <definedName name="OSRRefD22_9x_0" localSheetId="67">'321'!$D$54:$D$58</definedName>
    <definedName name="OSRRefD22_9x_0" localSheetId="69">'325'!$D$52</definedName>
    <definedName name="OSRRefD22_9x_0" localSheetId="59">'326'!$D$80</definedName>
    <definedName name="OSRRefD22_9x_0" localSheetId="52">'330'!$D$73:$D$74</definedName>
    <definedName name="OSRRefD22_9x_0" localSheetId="57">'331'!$D$118</definedName>
    <definedName name="OSRRefD22_9x_0" localSheetId="60">'332'!$D$64</definedName>
    <definedName name="OSRRefD22_9x_0" localSheetId="74">'405'!$D$53</definedName>
    <definedName name="OSRRefD22_9x_0" localSheetId="76">'411'!$D$50:$D$52</definedName>
    <definedName name="OSRRefD22_9x_0" localSheetId="80">'415'!$D$53</definedName>
    <definedName name="OSRRefD22_9x_0" localSheetId="81">'418'!$D$51</definedName>
    <definedName name="OSRRefD22_9x_0" localSheetId="89">'433'!$D$55</definedName>
    <definedName name="OSRRefD22_9x_0" localSheetId="91">'444'!$D$55</definedName>
    <definedName name="OSRRefD22_9x_0" localSheetId="92">'450'!$D$55</definedName>
    <definedName name="OSRRefD22_9x_0" localSheetId="73">'491'!$D$57</definedName>
    <definedName name="OSRRefD22_9x_0" localSheetId="87">'492'!$D$56</definedName>
    <definedName name="OSRRefD22_9x_0" localSheetId="94">'501'!$D$55</definedName>
    <definedName name="OSRRefD22_9x_0" localSheetId="39">'Div 2'!$D$53:$D$54</definedName>
    <definedName name="OSRRefD22_9x_0" localSheetId="47">'Div 3'!$D$165</definedName>
    <definedName name="OSRRefD22_9x_0" localSheetId="71">'Div 4'!$D$60</definedName>
    <definedName name="OSRRefD22_9x_0" localSheetId="93">'Div 5'!$D$55</definedName>
    <definedName name="OSRRefD22_9x_0" localSheetId="62">'Div 6'!$D$87</definedName>
    <definedName name="OSRRefD22_9x_0" localSheetId="2">Summary!$D$192</definedName>
    <definedName name="OSRRefD22x_0" localSheetId="40">'200'!$D$20,'200'!$D$22,'200'!$D$24,'200'!$D$26</definedName>
    <definedName name="OSRRefD22x_0" localSheetId="41">'201'!$D$20:$D$27,'201'!$D$29:$D$31,'201'!$D$33,'201'!$D$35,'201'!$D$37,'201'!$D$39,'201'!$D$41,'201'!$D$43,'201'!$D$45:$D$47,'201'!$D$49:$D$50,'201'!$D$52,'201'!$D$54:$D$55,'201'!$D$57,'201'!$D$59</definedName>
    <definedName name="OSRRefD22x_0" localSheetId="42">'202'!$D$20:$D$27,'202'!$D$29:$D$31,'202'!$D$33,'202'!$D$35,'202'!$D$37,'202'!$D$39:$D$40,'202'!$D$42,'202'!$D$44:$D$46,'202'!$D$48,'202'!$D$50:$D$51,'202'!$D$53,'202'!$D$55,'202'!$D$57</definedName>
    <definedName name="OSRRefD22x_0" localSheetId="43">'203'!$D$20:$D$29,'203'!$D$31:$D$35,'203'!$D$37,'203'!$D$39,'203'!$D$41,'203'!$D$43,'203'!$D$45,'203'!$D$47:$D$48,'203'!$D$50:$D$51,'203'!$D$53,'203'!$D$55:$D$58,'203'!$D$60,'203'!$D$62,'203'!$D$64</definedName>
    <definedName name="OSRRefD22x_0" localSheetId="44">'204'!$D$20:$D$28,'204'!$D$30:$D$32,'204'!$D$34,'204'!$D$36,'204'!$D$38,'204'!$D$40:$D$43,'204'!$D$45,'204'!$D$47:$D$48,'204'!$D$50</definedName>
    <definedName name="OSRRefD22x_0" localSheetId="45">'205'!$D$20:$D$27,'205'!$D$29,'205'!$D$31,'205'!$D$33,'205'!$D$35:$D$36,'205'!$D$38:$D$40,'205'!$D$42</definedName>
    <definedName name="OSRRefD22x_0" localSheetId="46">'206'!$D$20:$D$26,'206'!$D$28:$D$30,'206'!$D$32,'206'!$D$34,'206'!$D$36,'206'!$D$38,'206'!$D$40</definedName>
    <definedName name="OSRRefD22x_0" localSheetId="48">'300'!$D$125:$D$134,'300'!$D$136:$D$142,'300'!$D$144,'300'!$D$146,'300'!$D$148,'300'!$D$150:$D$151,'300'!$D$153:$D$154,'300'!$D$156,'300'!$D$158,'300'!$D$160,'300'!$D$162:$D$163,'300'!$D$165,'300'!$D$167,'300'!$D$169:$D$170,'300'!$D$172,'300'!$D$174,'300'!$D$176:$D$179,'300'!$D$181:$D$183,'300'!$D$185:$D$188,'300'!$D$190:$D$191,'300'!$D$193:$D$199,'300'!$D$201:$D$202,'300'!$D$204,'300'!$D$206:$D$208,'300'!$D$210</definedName>
    <definedName name="OSRRefD22x_0" localSheetId="49">'300 &amp; 317'!$D$148:$D$157,'300 &amp; 317'!$D$159:$D$165,'300 &amp; 317'!$D$167,'300 &amp; 317'!$D$169,'300 &amp; 317'!$D$171,'300 &amp; 317'!$D$173:$D$174,'300 &amp; 317'!$D$176:$D$177,'300 &amp; 317'!$D$179,'300 &amp; 317'!$D$181,'300 &amp; 317'!$D$183,'300 &amp; 317'!$D$185:$D$186,'300 &amp; 317'!$D$188,'300 &amp; 317'!$D$190,'300 &amp; 317'!$D$192:$D$193,'300 &amp; 317'!$D$195,'300 &amp; 317'!$D$197,'300 &amp; 317'!$D$199:$D$202,'300 &amp; 317'!$D$204:$D$206,'300 &amp; 317'!$D$208:$D$211,'300 &amp; 317'!$D$213:$D$214,'300 &amp; 317'!$D$216:$D$222,'300 &amp; 317'!$D$224:$D$225,'300 &amp; 317'!$D$227,'300 &amp; 317'!$D$229:$D$231,'300 &amp; 317'!$D$233</definedName>
    <definedName name="OSRRefD22x_0" localSheetId="50">'301'!$D$21:$D$30,'301'!$D$32:$D$38,'301'!$D$40,'301'!$D$42,'301'!$D$44,'301'!$D$46:$D$47,'301'!$D$49:$D$50,'301'!$D$52,'301'!$D$54,'301'!$D$56,'301'!$D$58,'301'!$D$60,'301'!$D$62,'301'!$D$64,'301'!$D$66,'301'!$D$68:$D$71,'301'!$D$73:$D$75,'301'!$D$77,'301'!$D$79:$D$84,'301'!$D$86,'301'!$D$88,'301'!$D$90:$D$91,'301'!$D$93</definedName>
    <definedName name="OSRRefD22x_0" localSheetId="51">'306'!$D$20:$D$23,'306'!$D$25:$D$26,'306'!$D$28,'306'!$D$30,'306'!$D$32,'306'!$D$34</definedName>
    <definedName name="OSRRefD22x_0" localSheetId="53">'307'!$D$43:$D$45,'307'!$D$47:$D$50,'307'!$D$52,'307'!$D$54,'307'!$D$56:$D$57,'307'!$D$59,'307'!$D$61,'307'!$D$63,'307'!$D$65:$D$66,'307'!$D$68:$D$69,'307'!$D$71:$D$74,'307'!$D$76,'307'!$D$78</definedName>
    <definedName name="OSRRefD22x_0" localSheetId="54">'308'!$D$61:$D$69,'308'!$D$71:$D$77,'308'!$D$79,'308'!$D$81,'308'!$D$83,'308'!$D$85,'308'!$D$87:$D$88,'308'!$D$90,'308'!$D$92,'308'!$D$94:$D$96,'308'!$D$98,'308'!$D$100:$D$101,'308'!$D$103:$D$104,'308'!$D$106</definedName>
    <definedName name="OSRRefD22x_0" localSheetId="65">'309'!$D$20,'309'!$D$22,'309'!$D$24,'309'!$D$26:$D$27,'309'!$D$29:$D$30,'309'!$D$32,'309'!$D$34</definedName>
    <definedName name="OSRRefD22x_0" localSheetId="64">'310'!$D$31:$D$38,'310'!$D$40:$D$43,'310'!$D$45,'310'!$D$47,'310'!$D$49,'310'!$D$51:$D$52,'310'!$D$54,'310'!$D$56,'310'!$D$58,'310'!$D$60,'310'!$D$62,'310'!$D$64:$D$65,'310'!$D$67,'310'!$D$69:$D$72,'310'!$D$74:$D$78,'310'!$D$80,'310'!$D$82</definedName>
    <definedName name="OSRRefD22x_0" localSheetId="72">'310 &amp; 491'!$D$35:$D$42,'310 &amp; 491'!$D$44:$D$48,'310 &amp; 491'!$D$50,'310 &amp; 491'!$D$52,'310 &amp; 491'!$D$54,'310 &amp; 491'!$D$56:$D$57,'310 &amp; 491'!$D$59,'310 &amp; 491'!$D$61,'310 &amp; 491'!$D$63:$D$64,'310 &amp; 491'!$D$66,'310 &amp; 491'!$D$68,'310 &amp; 491'!$D$70,'310 &amp; 491'!$D$72,'310 &amp; 491'!$D$74:$D$76,'310 &amp; 491'!$D$78,'310 &amp; 491'!$D$80:$D$83,'310 &amp; 491'!$D$85,'310 &amp; 491'!$D$87:$D$95,'310 &amp; 491'!$D$97,'310 &amp; 491'!$D$99,'310 &amp; 491'!$D$101:$D$102,'310 &amp; 491'!$D$104</definedName>
    <definedName name="OSRRefD22x_0" localSheetId="55">'311'!$D$61:$D$69,'311'!$D$71:$D$77,'311'!$D$79,'311'!$D$81,'311'!$D$83,'311'!$D$85,'311'!$D$87:$D$88,'311'!$D$90,'311'!$D$92,'311'!$D$94:$D$96,'311'!$D$98,'311'!$D$100:$D$101,'311'!$D$103:$D$104,'311'!$D$106</definedName>
    <definedName name="OSRRefD22x_0" localSheetId="66">'313'!$D$25:$D$32,'313'!$D$34,'313'!$D$36,'313'!$D$38,'313'!$D$40,'313'!$D$42,'313'!$D$44,'313'!$D$46</definedName>
    <definedName name="OSRRefD22x_0" localSheetId="58">'315'!$D$87:$D$94,'315'!$D$96:$D$100,'315'!$D$102,'315'!$D$104:$D$105,'315'!$D$107,'315'!$D$109,'315'!$D$111:$D$112,'315'!$D$114:$D$115,'315'!$D$117,'315'!$D$119:$D$120,'315'!$D$122:$D$123,'315'!$D$125:$D$126,'315'!$D$128:$D$131,'315'!$D$133,'315'!$D$135</definedName>
    <definedName name="OSRRefD22x_0" localSheetId="61">'316'!$D$32:$D$39,'316'!$D$41:$D$43,'316'!$D$45,'316'!$D$47,'316'!$D$49,'316'!$D$51,'316'!$D$53:$D$54,'316'!$D$56,'316'!$D$58:$D$60,'316'!$D$62,'316'!$D$64:$D$68,'316'!$D$70,'316'!$D$72</definedName>
    <definedName name="OSRRefD22x_0" localSheetId="63">'317'!$D$54:$D$62,'317'!$D$64:$D$68,'317'!$D$70,'317'!$D$72,'317'!$D$74,'317'!$D$76:$D$77,'317'!$D$79,'317'!$D$81,'317'!$D$83:$D$85,'317'!$D$87,'317'!$D$89</definedName>
    <definedName name="OSRRefD22x_0" localSheetId="67">'321'!$D$24:$D$31,'321'!$D$33:$D$36,'321'!$D$38,'321'!$D$40,'321'!$D$42,'321'!$D$44,'321'!$D$46:$D$47,'321'!$D$49,'321'!$D$51:$D$52,'321'!$D$54:$D$58,'321'!$D$60,'321'!$D$62</definedName>
    <definedName name="OSRRefD22x_0" localSheetId="68">'322'!$D$21:$D$25,'322'!$D$27,'322'!$D$29,'322'!$D$31,'322'!$D$33:$D$34,'322'!$D$36,'322'!$D$38,'322'!$D$40</definedName>
    <definedName name="OSRRefD22x_0" localSheetId="69">'325'!$D$24:$D$31,'325'!$D$33:$D$35,'325'!$D$37,'325'!$D$39,'325'!$D$41,'325'!$D$43:$D$44,'325'!$D$46,'325'!$D$48,'325'!$D$50,'325'!$D$52,'325'!$D$54:$D$55,'325'!$D$57:$D$60,'325'!$D$62:$D$65,'325'!$D$67,'325'!$D$69</definedName>
    <definedName name="OSRRefD22x_0" localSheetId="59">'326'!$D$51:$D$58,'326'!$D$60:$D$64,'326'!$D$66,'326'!$D$68,'326'!$D$70,'326'!$D$72,'326'!$D$74,'326'!$D$76,'326'!$D$78,'326'!$D$80,'326'!$D$82,'326'!$D$84:$D$86,'326'!$D$88:$D$90,'326'!$D$92:$D$93,'326'!$D$95:$D$98,'326'!$D$100,'326'!$D$102,'326'!$D$104</definedName>
    <definedName name="OSRRefD22x_0" localSheetId="70">'327'!$D$24</definedName>
    <definedName name="OSRRefD22x_0" localSheetId="52">'330'!$D$46:$D$49,'330'!$D$51:$D$54,'330'!$D$56,'330'!$D$58,'330'!$D$60:$D$61,'330'!$D$63:$D$64,'330'!$D$66,'330'!$D$68,'330'!$D$70:$D$71,'330'!$D$73:$D$74,'330'!$D$76:$D$79,'330'!$D$81,'330'!$D$83</definedName>
    <definedName name="OSRRefD22x_0" localSheetId="57">'331'!$D$87:$D$94,'331'!$D$96:$D$100,'331'!$D$102,'331'!$D$104,'331'!$D$106,'331'!$D$108:$D$109,'331'!$D$111,'331'!$D$113,'331'!$D$115:$D$116,'331'!$D$118,'331'!$D$120,'331'!$D$122:$D$123,'331'!$D$125,'331'!$D$127,'331'!$D$129:$D$131,'331'!$D$133:$D$134,'331'!$D$136:$D$138,'331'!$D$140:$D$141,'331'!$D$143:$D$147,'331'!$D$149,'331'!$D$151,'331'!$D$153</definedName>
    <definedName name="OSRRefD22x_0" localSheetId="60">'332'!$D$34:$D$41,'332'!$D$43:$D$45,'332'!$D$47,'332'!$D$49,'332'!$D$51,'332'!$D$53,'332'!$D$55:$D$56,'332'!$D$58,'332'!$D$60:$D$62,'332'!$D$64,'332'!$D$66:$D$70,'332'!$D$72,'332'!$D$74</definedName>
    <definedName name="OSRRefD22x_0" localSheetId="74">'405'!$D$24:$D$31,'405'!$D$33:$D$36,'405'!$D$38,'405'!$D$40,'405'!$D$42,'405'!$D$44:$D$45,'405'!$D$47,'405'!$D$49,'405'!$D$51,'405'!$D$53,'405'!$D$55:$D$56,'405'!$D$58:$D$61,'405'!$D$63,'405'!$D$65:$D$72,'405'!$D$74,'405'!$D$76</definedName>
    <definedName name="OSRRefD22x_0" localSheetId="75">'406'!$D$20,'406'!$D$22,'406'!$D$24,'406'!$D$26,'406'!$D$28</definedName>
    <definedName name="OSRRefD22x_0" localSheetId="76">'411'!$D$20:$D$27,'411'!$D$29:$D$33,'411'!$D$35,'411'!$D$37:$D$38,'411'!$D$40,'411'!$D$42,'411'!$D$44,'411'!$D$46,'411'!$D$48,'411'!$D$50:$D$52,'411'!$D$54:$D$56,'411'!$D$58:$D$59,'411'!$D$61,'411'!$D$63:$D$64,'411'!$D$66</definedName>
    <definedName name="OSRRefD22x_0" localSheetId="77">'412'!$D$20,'412'!$D$22,'412'!$D$24:$D$25,'412'!$D$27,'412'!$D$29</definedName>
    <definedName name="OSRRefD22x_0" localSheetId="78">'413'!$D$20:$D$24,'413'!$D$26,'413'!$D$28,'413'!$D$30,'413'!$D$32,'413'!$D$34</definedName>
    <definedName name="OSRRefD22x_0" localSheetId="79">'414'!$D$21,'414'!$D$23,'414'!$D$25,'414'!$D$27,'414'!$D$29:$D$30</definedName>
    <definedName name="OSRRefD22x_0" localSheetId="80">'415'!$D$24:$D$31,'415'!$D$33:$D$36,'415'!$D$38,'415'!$D$40,'415'!$D$42,'415'!$D$44:$D$45,'415'!$D$47,'415'!$D$49,'415'!$D$51,'415'!$D$53,'415'!$D$55,'415'!$D$57:$D$58,'415'!$D$60:$D$63,'415'!$D$65,'415'!$D$67:$D$72,'415'!$D$74,'415'!$D$76,'415'!$D$78</definedName>
    <definedName name="OSRRefD22x_0" localSheetId="81">'418'!$D$21:$D$28,'418'!$D$30:$D$33,'418'!$D$35,'418'!$D$37,'418'!$D$39:$D$40,'418'!$D$42,'418'!$D$44,'418'!$D$46,'418'!$D$48:$D$49,'418'!$D$51,'418'!$D$53,'418'!$D$55:$D$59,'418'!$D$61</definedName>
    <definedName name="OSRRefD22x_0" localSheetId="82">'420'!$D$21</definedName>
    <definedName name="OSRRefD22x_0" localSheetId="83">'423'!$D$20:$D$21,'423'!$D$23,'423'!$D$25,'423'!$D$27</definedName>
    <definedName name="OSRRefD22x_0" localSheetId="84">'424'!$D$20,'424'!$D$22,'424'!$D$24,'424'!$D$26</definedName>
    <definedName name="OSRRefD22x_0" localSheetId="85">'425'!$D$22:$D$26,'425'!$D$28,'425'!$D$30,'425'!$D$32,'425'!$D$34,'425'!$D$36:$D$37,'425'!$D$39,'425'!$D$41,'425'!$D$43</definedName>
    <definedName name="OSRRefD22x_0" localSheetId="88">'430'!$D$20:$D$27,'430'!$D$29,'430'!$D$31,'430'!$D$33,'430'!$D$35,'430'!$D$37:$D$38,'430'!$D$40,'430'!$D$42,'430'!$D$44</definedName>
    <definedName name="OSRRefD22x_0" localSheetId="89">'433'!$D$25:$D$33,'433'!$D$35:$D$39,'433'!$D$41,'433'!$D$43,'433'!$D$45,'433'!$D$47,'433'!$D$49,'433'!$D$51,'433'!$D$53,'433'!$D$55,'433'!$D$57,'433'!$D$59:$D$60,'433'!$D$62:$D$64,'433'!$D$66:$D$73,'433'!$D$75</definedName>
    <definedName name="OSRRefD22x_0" localSheetId="90">'435'!$D$20</definedName>
    <definedName name="OSRRefD22x_0" localSheetId="91">'444'!$D$25:$D$33,'444'!$D$35:$D$39,'444'!$D$41,'444'!$D$43,'444'!$D$45,'444'!$D$47,'444'!$D$49,'444'!$D$51,'444'!$D$53,'444'!$D$55,'444'!$D$57,'444'!$D$59:$D$60,'444'!$D$62:$D$65,'444'!$D$67,'444'!$D$69:$D$76,'444'!$D$78,'444'!$D$80</definedName>
    <definedName name="OSRRefD22x_0" localSheetId="92">'450'!$D$25:$D$33,'450'!$D$35:$D$39,'450'!$D$41,'450'!$D$43,'450'!$D$45,'450'!$D$47,'450'!$D$49,'450'!$D$51,'450'!$D$53,'450'!$D$55,'450'!$D$57,'450'!$D$59,'450'!$D$61:$D$62,'450'!$D$64:$D$66,'450'!$D$68:$D$73,'450'!$D$75,'450'!$D$77</definedName>
    <definedName name="OSRRefD22x_0" localSheetId="73">'491'!$D$27:$D$34,'491'!$D$36:$D$40,'491'!$D$42,'491'!$D$44,'491'!$D$46,'491'!$D$48:$D$49,'491'!$D$51,'491'!$D$53,'491'!$D$55,'491'!$D$57,'491'!$D$59,'491'!$D$61,'491'!$D$63,'491'!$D$65:$D$67,'491'!$D$69,'491'!$D$71:$D$74,'491'!$D$76,'491'!$D$78:$D$86,'491'!$D$88,'491'!$D$90,'491'!$D$92:$D$93,'491'!$D$95</definedName>
    <definedName name="OSRRefD22x_0" localSheetId="87">'492'!$D$25:$D$33,'492'!$D$35:$D$40,'492'!$D$42,'492'!$D$44,'492'!$D$46,'492'!$D$48,'492'!$D$50,'492'!$D$52,'492'!$D$54,'492'!$D$56,'492'!$D$58,'492'!$D$60,'492'!$D$62:$D$64,'492'!$D$66:$D$69,'492'!$D$71,'492'!$D$73:$D$80,'492'!$D$82,'492'!$D$84,'492'!$D$86:$D$87</definedName>
    <definedName name="OSRRefD22x_0" localSheetId="94">'501'!$D$21:$D$29,'501'!$D$31:$D$36,'501'!$D$38,'501'!$D$40,'501'!$D$42:$D$43,'501'!$D$45,'501'!$D$47,'501'!$D$49:$D$50,'501'!$D$52:$D$53,'501'!$D$55,'501'!$D$57</definedName>
    <definedName name="OSRRefD22x_0" localSheetId="39">'Div 2'!$D$20:$D$30,'Div 2'!$D$32:$D$37,'Div 2'!$D$39,'Div 2'!$D$41,'Div 2'!$D$43,'Div 2'!$D$45,'Div 2'!$D$47,'Div 2'!$D$49,'Div 2'!$D$51,'Div 2'!$D$53:$D$54,'Div 2'!$D$56,'Div 2'!$D$58,'Div 2'!$D$60:$D$62,'Div 2'!$D$64:$D$67,'Div 2'!$D$69,'Div 2'!$D$71,'Div 2'!$D$73:$D$77,'Div 2'!$D$79:$D$80,'Div 2'!$D$82,'Div 2'!$D$84:$D$85</definedName>
    <definedName name="OSRRefD22x_0" localSheetId="47">'Div 3'!$D$130:$D$139,'Div 3'!$D$141:$D$147,'Div 3'!$D$149,'Div 3'!$D$151,'Div 3'!$D$153,'Div 3'!$D$155:$D$156,'Div 3'!$D$158:$D$159,'Div 3'!$D$161,'Div 3'!$D$163,'Div 3'!$D$165,'Div 3'!$D$167:$D$168,'Div 3'!$D$170,'Div 3'!$D$172,'Div 3'!$D$174,'Div 3'!$D$176:$D$177,'Div 3'!$D$179,'Div 3'!$D$181,'Div 3'!$D$183:$D$186,'Div 3'!$D$188:$D$190,'Div 3'!$D$192:$D$196,'Div 3'!$D$198:$D$199,'Div 3'!$D$201:$D$207,'Div 3'!$D$209:$D$210,'Div 3'!$D$212,'Div 3'!$D$214:$D$216,'Div 3'!$D$218</definedName>
    <definedName name="OSRRefD22x_0" localSheetId="71">'Div 4'!$D$28:$D$36,'Div 4'!$D$38:$D$43,'Div 4'!$D$45,'Div 4'!$D$47,'Div 4'!$D$49,'Div 4'!$D$51:$D$52,'Div 4'!$D$54,'Div 4'!$D$56,'Div 4'!$D$58,'Div 4'!$D$60,'Div 4'!$D$62,'Div 4'!$D$64,'Div 4'!$D$66,'Div 4'!$D$68,'Div 4'!$D$70,'Div 4'!$D$72:$D$74,'Div 4'!$D$76,'Div 4'!$D$78:$D$81,'Div 4'!$D$83:$D$84,'Div 4'!$D$86:$D$94,'Div 4'!$D$96,'Div 4'!$D$98,'Div 4'!$D$100:$D$101,'Div 4'!$D$103</definedName>
    <definedName name="OSRRefD22x_0" localSheetId="93">'Div 5'!$D$21:$D$29,'Div 5'!$D$31:$D$36,'Div 5'!$D$38,'Div 5'!$D$40,'Div 5'!$D$42:$D$43,'Div 5'!$D$45,'Div 5'!$D$47,'Div 5'!$D$49:$D$50,'Div 5'!$D$52:$D$53,'Div 5'!$D$55,'Div 5'!$D$57</definedName>
    <definedName name="OSRRefD22x_0" localSheetId="62">'Div 6'!$D$54:$D$62,'Div 6'!$D$64:$D$68,'Div 6'!$D$70,'Div 6'!$D$72,'Div 6'!$D$74,'Div 6'!$D$76:$D$77,'Div 6'!$D$79,'Div 6'!$D$81,'Div 6'!$D$83:$D$85,'Div 6'!$D$87,'Div 6'!$D$89</definedName>
    <definedName name="OSRRefD22x_0" localSheetId="2">Summary!$D$157:$D$166,Summary!$D$168:$D$174,Summary!$D$176,Summary!$D$178,Summary!$D$180,Summary!$D$182:$D$183,Summary!$D$185:$D$186,Summary!$D$188,Summary!$D$190,Summary!$D$192,Summary!$D$194:$D$195,Summary!$D$197,Summary!$D$199,Summary!$D$201,Summary!$D$203:$D$204,Summary!$D$206,Summary!$D$208,Summary!$D$210,Summary!$D$212:$D$215,Summary!$D$217:$D$219,Summary!$D$221:$D$225,Summary!$D$227:$D$228,Summary!$D$230:$D$238,Summary!$D$240:$D$241,Summary!$D$243,Summary!$D$245:$D$247,Summary!$D$249</definedName>
    <definedName name="OSRRefD25x_0" localSheetId="48">'300'!$D$213:$D$216</definedName>
    <definedName name="OSRRefD25x_0" localSheetId="49">'300 &amp; 317'!$D$236:$D$241</definedName>
    <definedName name="OSRRefD25x_0" localSheetId="50">'301'!$D$96</definedName>
    <definedName name="OSRRefD25x_0" localSheetId="54">'308'!$D$109:$D$111</definedName>
    <definedName name="OSRRefD25x_0" localSheetId="72">'310 &amp; 491'!$D$107:$D$109</definedName>
    <definedName name="OSRRefD25x_0" localSheetId="55">'311'!$D$109:$D$111</definedName>
    <definedName name="OSRRefD25x_0" localSheetId="58">'315'!$D$138:$D$139</definedName>
    <definedName name="OSRRefD25x_0" localSheetId="61">'316'!$D$75</definedName>
    <definedName name="OSRRefD25x_0" localSheetId="63">'317'!$D$92:$D$94</definedName>
    <definedName name="OSRRefD25x_0" localSheetId="57">'331'!$D$156:$D$157</definedName>
    <definedName name="OSRRefD25x_0" localSheetId="60">'332'!$D$77:$D$78</definedName>
    <definedName name="OSRRefD25x_0" localSheetId="74">'405'!$D$79</definedName>
    <definedName name="OSRRefD25x_0" localSheetId="76">'411'!$D$69:$D$70</definedName>
    <definedName name="OSRRefD25x_0" localSheetId="80">'415'!$D$81</definedName>
    <definedName name="OSRRefD25x_0" localSheetId="81">'418'!$D$64</definedName>
    <definedName name="OSRRefD25x_0" localSheetId="83">'423'!$D$30</definedName>
    <definedName name="OSRRefD25x_0" localSheetId="86">'455'!$D$21:$D$22</definedName>
    <definedName name="OSRRefD25x_0" localSheetId="73">'491'!$D$98:$D$100</definedName>
    <definedName name="OSRRefD25x_0" localSheetId="94">'501'!$D$60</definedName>
    <definedName name="OSRRefD25x_0" localSheetId="47">'Div 3'!$D$221:$D$224</definedName>
    <definedName name="OSRRefD25x_0" localSheetId="71">'Div 4'!$D$106:$D$108</definedName>
    <definedName name="OSRRefD25x_0" localSheetId="93">'Div 5'!$D$60</definedName>
    <definedName name="OSRRefD25x_0" localSheetId="62">'Div 6'!$D$92:$D$94</definedName>
    <definedName name="OSRRefD25x_0" localSheetId="2">Summary!$D$252:$D$259</definedName>
    <definedName name="OSRRefH13x_0" localSheetId="48">'300'!$H$13:$H$77</definedName>
    <definedName name="OSRRefH13x_0" localSheetId="49">'300 &amp; 317'!$H$13:$H$91</definedName>
    <definedName name="OSRRefH13x_0" localSheetId="53">'307'!$H$13:$H$25</definedName>
    <definedName name="OSRRefH13x_0" localSheetId="54">'308'!$H$13:$H$36</definedName>
    <definedName name="OSRRefH13x_0" localSheetId="64">'310'!$H$13:$H$21</definedName>
    <definedName name="OSRRefH13x_0" localSheetId="72">'310 &amp; 491'!$H$13:$H$25</definedName>
    <definedName name="OSRRefH13x_0" localSheetId="55">'311'!$H$13:$H$36</definedName>
    <definedName name="OSRRefH13x_0" localSheetId="66">'313'!$H$13:$H$16</definedName>
    <definedName name="OSRRefH13x_0" localSheetId="58">'315'!$H$13:$H$54</definedName>
    <definedName name="OSRRefH13x_0" localSheetId="61">'316'!$H$13:$H$23</definedName>
    <definedName name="OSRRefH13x_0" localSheetId="63">'317'!$H$13:$H$33</definedName>
    <definedName name="OSRRefH13x_0" localSheetId="67">'321'!$H$13:$H$14</definedName>
    <definedName name="OSRRefH13x_0" localSheetId="56">'324'!$H$13:$H$16</definedName>
    <definedName name="OSRRefH13x_0" localSheetId="69">'325'!$H$13:$H$14</definedName>
    <definedName name="OSRRefH13x_0" localSheetId="59">'326'!$H$13:$H$36</definedName>
    <definedName name="OSRRefH13x_0" localSheetId="70">'327'!$H$13:$H$14</definedName>
    <definedName name="OSRRefH13x_0" localSheetId="52">'330'!$H$13:$H$28</definedName>
    <definedName name="OSRRefH13x_0" localSheetId="57">'331'!$H$13:$H$54</definedName>
    <definedName name="OSRRefH13x_0" localSheetId="60">'332'!$H$13:$H$23</definedName>
    <definedName name="OSRRefH13x_0" localSheetId="74">'405'!$H$13:$H$14</definedName>
    <definedName name="OSRRefH13x_0" localSheetId="79">'414'!$H$13</definedName>
    <definedName name="OSRRefH13x_0" localSheetId="80">'415'!$H$13:$H$14</definedName>
    <definedName name="OSRRefH13x_0" localSheetId="82">'420'!$H$13</definedName>
    <definedName name="OSRRefH13x_0" localSheetId="85">'425'!$H$13</definedName>
    <definedName name="OSRRefH13x_0" localSheetId="89">'433'!$H$13:$H$15</definedName>
    <definedName name="OSRRefH13x_0" localSheetId="91">'444'!$H$13:$H$15</definedName>
    <definedName name="OSRRefH13x_0" localSheetId="92">'450'!$H$13:$H$15</definedName>
    <definedName name="OSRRefH13x_0" localSheetId="73">'491'!$H$13:$H$17</definedName>
    <definedName name="OSRRefH13x_0" localSheetId="87">'492'!$H$13:$H$15</definedName>
    <definedName name="OSRRefH13x_0" localSheetId="94">'501'!$H$13</definedName>
    <definedName name="OSRRefH13x_0" localSheetId="47">'Div 3'!$H$13:$H$80</definedName>
    <definedName name="OSRRefH13x_0" localSheetId="71">'Div 4'!$H$13:$H$18</definedName>
    <definedName name="OSRRefH13x_0" localSheetId="93">'Div 5'!$H$13</definedName>
    <definedName name="OSRRefH13x_0" localSheetId="62">'Div 6'!$H$13:$H$33</definedName>
    <definedName name="OSRRefH13x_0" localSheetId="2">Summary!$H$13:$H$98</definedName>
    <definedName name="OSRRefH16x_0" localSheetId="48">'300'!$H$80:$H$119</definedName>
    <definedName name="OSRRefH16x_0" localSheetId="49">'300 &amp; 317'!$H$94:$H$142</definedName>
    <definedName name="OSRRefH16x_0" localSheetId="50">'301'!$H$15</definedName>
    <definedName name="OSRRefH16x_0" localSheetId="53">'307'!$H$28:$H$37</definedName>
    <definedName name="OSRRefH16x_0" localSheetId="54">'308'!$H$39:$H$55</definedName>
    <definedName name="OSRRefH16x_0" localSheetId="64">'310'!$H$24:$H$25</definedName>
    <definedName name="OSRRefH16x_0" localSheetId="72">'310 &amp; 491'!$H$28:$H$29</definedName>
    <definedName name="OSRRefH16x_0" localSheetId="55">'311'!$H$39:$H$55</definedName>
    <definedName name="OSRRefH16x_0" localSheetId="66">'313'!$H$19</definedName>
    <definedName name="OSRRefH16x_0" localSheetId="58">'315'!$H$57:$H$81</definedName>
    <definedName name="OSRRefH16x_0" localSheetId="61">'316'!$H$26</definedName>
    <definedName name="OSRRefH16x_0" localSheetId="63">'317'!$H$36:$H$48</definedName>
    <definedName name="OSRRefH16x_0" localSheetId="67">'321'!$H$17:$H$18</definedName>
    <definedName name="OSRRefH16x_0" localSheetId="68">'322'!$H$15</definedName>
    <definedName name="OSRRefH16x_0" localSheetId="56">'324'!$H$19:$H$21</definedName>
    <definedName name="OSRRefH16x_0" localSheetId="69">'325'!$H$17:$H$18</definedName>
    <definedName name="OSRRefH16x_0" localSheetId="59">'326'!$H$39:$H$45</definedName>
    <definedName name="OSRRefH16x_0" localSheetId="70">'327'!$H$17:$H$18</definedName>
    <definedName name="OSRRefH16x_0" localSheetId="52">'330'!$H$31:$H$40</definedName>
    <definedName name="OSRRefH16x_0" localSheetId="57">'331'!$H$57:$H$81</definedName>
    <definedName name="OSRRefH16x_0" localSheetId="60">'332'!$H$26:$H$28</definedName>
    <definedName name="OSRRefH16x_0" localSheetId="74">'405'!$H$17:$H$18</definedName>
    <definedName name="OSRRefH16x_0" localSheetId="80">'415'!$H$17:$H$18</definedName>
    <definedName name="OSRRefH16x_0" localSheetId="81">'418'!$H$15</definedName>
    <definedName name="OSRRefH16x_0" localSheetId="85">'425'!$H$16</definedName>
    <definedName name="OSRRefH16x_0" localSheetId="89">'433'!$H$18:$H$19</definedName>
    <definedName name="OSRRefH16x_0" localSheetId="91">'444'!$H$18:$H$19</definedName>
    <definedName name="OSRRefH16x_0" localSheetId="92">'450'!$H$18:$H$19</definedName>
    <definedName name="OSRRefH16x_0" localSheetId="73">'491'!$H$20:$H$21</definedName>
    <definedName name="OSRRefH16x_0" localSheetId="87">'492'!$H$18:$H$19</definedName>
    <definedName name="OSRRefH16x_0" localSheetId="47">'Div 3'!$H$83:$H$124</definedName>
    <definedName name="OSRRefH16x_0" localSheetId="71">'Div 4'!$H$21:$H$22</definedName>
    <definedName name="OSRRefH16x_0" localSheetId="62">'Div 6'!$H$36:$H$48</definedName>
    <definedName name="OSRRefH16x_0" localSheetId="2">Summary!$H$101:$H$151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'203'!$H$20:$H$29</definedName>
    <definedName name="OSRRefH22_0x_0" localSheetId="44">'204'!$H$20:$H$28</definedName>
    <definedName name="OSRRefH22_0x_0" localSheetId="45">'205'!$H$20:$H$27</definedName>
    <definedName name="OSRRefH22_0x_0" localSheetId="46">'206'!$H$20:$H$26</definedName>
    <definedName name="OSRRefH22_0x_0" localSheetId="48">'300'!$H$125:$H$134</definedName>
    <definedName name="OSRRefH22_0x_0" localSheetId="49">'300 &amp; 317'!$H$148:$H$157</definedName>
    <definedName name="OSRRefH22_0x_0" localSheetId="50">'301'!$H$21:$H$30</definedName>
    <definedName name="OSRRefH22_0x_0" localSheetId="51">'306'!$H$20:$H$23</definedName>
    <definedName name="OSRRefH22_0x_0" localSheetId="53">'307'!$H$43:$H$45</definedName>
    <definedName name="OSRRefH22_0x_0" localSheetId="54">'308'!$H$61:$H$69</definedName>
    <definedName name="OSRRefH22_0x_0" localSheetId="65">'309'!$H$20</definedName>
    <definedName name="OSRRefH22_0x_0" localSheetId="64">'310'!$H$31:$H$38</definedName>
    <definedName name="OSRRefH22_0x_0" localSheetId="72">'310 &amp; 491'!$H$35:$H$42</definedName>
    <definedName name="OSRRefH22_0x_0" localSheetId="55">'311'!$H$61:$H$69</definedName>
    <definedName name="OSRRefH22_0x_0" localSheetId="66">'313'!$H$25:$H$32</definedName>
    <definedName name="OSRRefH22_0x_0" localSheetId="58">'315'!$H$87:$H$94</definedName>
    <definedName name="OSRRefH22_0x_0" localSheetId="61">'316'!$H$32:$H$39</definedName>
    <definedName name="OSRRefH22_0x_0" localSheetId="63">'317'!$H$54:$H$62</definedName>
    <definedName name="OSRRefH22_0x_0" localSheetId="67">'321'!$H$24:$H$31</definedName>
    <definedName name="OSRRefH22_0x_0" localSheetId="68">'322'!$H$21:$H$25</definedName>
    <definedName name="OSRRefH22_0x_0" localSheetId="69">'325'!$H$24:$H$31</definedName>
    <definedName name="OSRRefH22_0x_0" localSheetId="59">'326'!$H$51:$H$58</definedName>
    <definedName name="OSRRefH22_0x_0" localSheetId="70">'327'!$H$24</definedName>
    <definedName name="OSRRefH22_0x_0" localSheetId="52">'330'!$H$46:$H$49</definedName>
    <definedName name="OSRRefH22_0x_0" localSheetId="57">'331'!$H$87:$H$94</definedName>
    <definedName name="OSRRefH22_0x_0" localSheetId="60">'332'!$H$34:$H$41</definedName>
    <definedName name="OSRRefH22_0x_0" localSheetId="74">'405'!$H$24:$H$31</definedName>
    <definedName name="OSRRefH22_0x_0" localSheetId="75">'406'!$H$20</definedName>
    <definedName name="OSRRefH22_0x_0" localSheetId="76">'411'!$H$20:$H$27</definedName>
    <definedName name="OSRRefH22_0x_0" localSheetId="77">'412'!$H$20</definedName>
    <definedName name="OSRRefH22_0x_0" localSheetId="78">'413'!$H$20:$H$24</definedName>
    <definedName name="OSRRefH22_0x_0" localSheetId="79">'414'!$H$21</definedName>
    <definedName name="OSRRefH22_0x_0" localSheetId="80">'415'!$H$24:$H$31</definedName>
    <definedName name="OSRRefH22_0x_0" localSheetId="81">'418'!$H$21:$H$28</definedName>
    <definedName name="OSRRefH22_0x_0" localSheetId="82">'420'!$H$21</definedName>
    <definedName name="OSRRefH22_0x_0" localSheetId="83">'423'!$H$20:$H$21</definedName>
    <definedName name="OSRRefH22_0x_0" localSheetId="84">'424'!$H$20</definedName>
    <definedName name="OSRRefH22_0x_0" localSheetId="85">'425'!$H$22:$H$26</definedName>
    <definedName name="OSRRefH22_0x_0" localSheetId="88">'430'!$H$20:$H$27</definedName>
    <definedName name="OSRRefH22_0x_0" localSheetId="89">'433'!$H$25:$H$33</definedName>
    <definedName name="OSRRefH22_0x_0" localSheetId="90">'435'!$H$20</definedName>
    <definedName name="OSRRefH22_0x_0" localSheetId="91">'444'!$H$25:$H$33</definedName>
    <definedName name="OSRRefH22_0x_0" localSheetId="92">'450'!$H$25:$H$33</definedName>
    <definedName name="OSRRefH22_0x_0" localSheetId="73">'491'!$H$27:$H$34</definedName>
    <definedName name="OSRRefH22_0x_0" localSheetId="87">'492'!$H$25:$H$33</definedName>
    <definedName name="OSRRefH22_0x_0" localSheetId="94">'501'!$H$21:$H$29</definedName>
    <definedName name="OSRRefH22_0x_0" localSheetId="39">'Div 2'!$H$20:$H$30</definedName>
    <definedName name="OSRRefH22_0x_0" localSheetId="47">'Div 3'!$H$130:$H$139</definedName>
    <definedName name="OSRRefH22_0x_0" localSheetId="71">'Div 4'!$H$28:$H$36</definedName>
    <definedName name="OSRRefH22_0x_0" localSheetId="93">'Div 5'!$H$21:$H$29</definedName>
    <definedName name="OSRRefH22_0x_0" localSheetId="62">'Div 6'!$H$54:$H$62</definedName>
    <definedName name="OSRRefH22_0x_0" localSheetId="2">Summary!$H$157:$H$166</definedName>
    <definedName name="OSRRefH22_10x_0" localSheetId="41">'201'!$H$52</definedName>
    <definedName name="OSRRefH22_10x_0" localSheetId="42">'202'!$H$53</definedName>
    <definedName name="OSRRefH22_10x_0" localSheetId="43">'203'!$H$55:$H$58</definedName>
    <definedName name="OSRRefH22_10x_0" localSheetId="48">'300'!$H$162:$H$163</definedName>
    <definedName name="OSRRefH22_10x_0" localSheetId="49">'300 &amp; 317'!$H$185:$H$186</definedName>
    <definedName name="OSRRefH22_10x_0" localSheetId="50">'301'!$H$58</definedName>
    <definedName name="OSRRefH22_10x_0" localSheetId="53">'307'!$H$71:$H$74</definedName>
    <definedName name="OSRRefH22_10x_0" localSheetId="54">'308'!$H$98</definedName>
    <definedName name="OSRRefH22_10x_0" localSheetId="64">'310'!$H$62</definedName>
    <definedName name="OSRRefH22_10x_0" localSheetId="72">'310 &amp; 491'!$H$68</definedName>
    <definedName name="OSRRefH22_10x_0" localSheetId="55">'311'!$H$98</definedName>
    <definedName name="OSRRefH22_10x_0" localSheetId="58">'315'!$H$122:$H$123</definedName>
    <definedName name="OSRRefH22_10x_0" localSheetId="61">'316'!$H$64:$H$68</definedName>
    <definedName name="OSRRefH22_10x_0" localSheetId="63">'317'!$H$89</definedName>
    <definedName name="OSRRefH22_10x_0" localSheetId="67">'321'!$H$60</definedName>
    <definedName name="OSRRefH22_10x_0" localSheetId="69">'325'!$H$54:$H$55</definedName>
    <definedName name="OSRRefH22_10x_0" localSheetId="59">'326'!$H$82</definedName>
    <definedName name="OSRRefH22_10x_0" localSheetId="52">'330'!$H$76:$H$79</definedName>
    <definedName name="OSRRefH22_10x_0" localSheetId="57">'331'!$H$120</definedName>
    <definedName name="OSRRefH22_10x_0" localSheetId="60">'332'!$H$66:$H$70</definedName>
    <definedName name="OSRRefH22_10x_0" localSheetId="74">'405'!$H$55:$H$56</definedName>
    <definedName name="OSRRefH22_10x_0" localSheetId="76">'411'!$H$54:$H$56</definedName>
    <definedName name="OSRRefH22_10x_0" localSheetId="80">'415'!$H$55</definedName>
    <definedName name="OSRRefH22_10x_0" localSheetId="81">'418'!$H$53</definedName>
    <definedName name="OSRRefH22_10x_0" localSheetId="89">'433'!$H$57</definedName>
    <definedName name="OSRRefH22_10x_0" localSheetId="91">'444'!$H$57</definedName>
    <definedName name="OSRRefH22_10x_0" localSheetId="92">'450'!$H$57</definedName>
    <definedName name="OSRRefH22_10x_0" localSheetId="73">'491'!$H$59</definedName>
    <definedName name="OSRRefH22_10x_0" localSheetId="87">'492'!$H$58</definedName>
    <definedName name="OSRRefH22_10x_0" localSheetId="94">'501'!$H$57</definedName>
    <definedName name="OSRRefH22_10x_0" localSheetId="39">'Div 2'!$H$56</definedName>
    <definedName name="OSRRefH22_10x_0" localSheetId="47">'Div 3'!$H$167:$H$168</definedName>
    <definedName name="OSRRefH22_10x_0" localSheetId="71">'Div 4'!$H$62</definedName>
    <definedName name="OSRRefH22_10x_0" localSheetId="93">'Div 5'!$H$57</definedName>
    <definedName name="OSRRefH22_10x_0" localSheetId="62">'Div 6'!$H$89</definedName>
    <definedName name="OSRRefH22_10x_0" localSheetId="2">Summary!$H$194:$H$195</definedName>
    <definedName name="OSRRefH22_11x_0" localSheetId="41">'201'!$H$54:$H$55</definedName>
    <definedName name="OSRRefH22_11x_0" localSheetId="42">'202'!$H$55</definedName>
    <definedName name="OSRRefH22_11x_0" localSheetId="43">'203'!$H$60</definedName>
    <definedName name="OSRRefH22_11x_0" localSheetId="48">'300'!$H$165</definedName>
    <definedName name="OSRRefH22_11x_0" localSheetId="49">'300 &amp; 317'!$H$188</definedName>
    <definedName name="OSRRefH22_11x_0" localSheetId="50">'301'!$H$60</definedName>
    <definedName name="OSRRefH22_11x_0" localSheetId="53">'307'!$H$76</definedName>
    <definedName name="OSRRefH22_11x_0" localSheetId="54">'308'!$H$100:$H$101</definedName>
    <definedName name="OSRRefH22_11x_0" localSheetId="64">'310'!$H$64:$H$65</definedName>
    <definedName name="OSRRefH22_11x_0" localSheetId="72">'310 &amp; 491'!$H$70</definedName>
    <definedName name="OSRRefH22_11x_0" localSheetId="55">'311'!$H$100:$H$101</definedName>
    <definedName name="OSRRefH22_11x_0" localSheetId="58">'315'!$H$125:$H$126</definedName>
    <definedName name="OSRRefH22_11x_0" localSheetId="61">'316'!$H$70</definedName>
    <definedName name="OSRRefH22_11x_0" localSheetId="67">'321'!$H$62</definedName>
    <definedName name="OSRRefH22_11x_0" localSheetId="69">'325'!$H$57:$H$60</definedName>
    <definedName name="OSRRefH22_11x_0" localSheetId="59">'326'!$H$84:$H$86</definedName>
    <definedName name="OSRRefH22_11x_0" localSheetId="52">'330'!$H$81</definedName>
    <definedName name="OSRRefH22_11x_0" localSheetId="57">'331'!$H$122:$H$123</definedName>
    <definedName name="OSRRefH22_11x_0" localSheetId="60">'332'!$H$72</definedName>
    <definedName name="OSRRefH22_11x_0" localSheetId="74">'405'!$H$58:$H$61</definedName>
    <definedName name="OSRRefH22_11x_0" localSheetId="76">'411'!$H$58:$H$59</definedName>
    <definedName name="OSRRefH22_11x_0" localSheetId="80">'415'!$H$57:$H$58</definedName>
    <definedName name="OSRRefH22_11x_0" localSheetId="81">'418'!$H$55:$H$59</definedName>
    <definedName name="OSRRefH22_11x_0" localSheetId="89">'433'!$H$59:$H$60</definedName>
    <definedName name="OSRRefH22_11x_0" localSheetId="91">'444'!$H$59:$H$60</definedName>
    <definedName name="OSRRefH22_11x_0" localSheetId="92">'450'!$H$59</definedName>
    <definedName name="OSRRefH22_11x_0" localSheetId="73">'491'!$H$61</definedName>
    <definedName name="OSRRefH22_11x_0" localSheetId="87">'492'!$H$60</definedName>
    <definedName name="OSRRefH22_11x_0" localSheetId="39">'Div 2'!$H$58</definedName>
    <definedName name="OSRRefH22_11x_0" localSheetId="47">'Div 3'!$H$170</definedName>
    <definedName name="OSRRefH22_11x_0" localSheetId="71">'Div 4'!$H$64</definedName>
    <definedName name="OSRRefH22_11x_0" localSheetId="2">Summary!$H$197</definedName>
    <definedName name="OSRRefH22_12x_0" localSheetId="41">'201'!$H$57</definedName>
    <definedName name="OSRRefH22_12x_0" localSheetId="42">'202'!$H$57</definedName>
    <definedName name="OSRRefH22_12x_0" localSheetId="43">'203'!$H$62</definedName>
    <definedName name="OSRRefH22_12x_0" localSheetId="48">'300'!$H$167</definedName>
    <definedName name="OSRRefH22_12x_0" localSheetId="49">'300 &amp; 317'!$H$190</definedName>
    <definedName name="OSRRefH22_12x_0" localSheetId="50">'301'!$H$62</definedName>
    <definedName name="OSRRefH22_12x_0" localSheetId="53">'307'!$H$78</definedName>
    <definedName name="OSRRefH22_12x_0" localSheetId="54">'308'!$H$103:$H$104</definedName>
    <definedName name="OSRRefH22_12x_0" localSheetId="64">'310'!$H$67</definedName>
    <definedName name="OSRRefH22_12x_0" localSheetId="72">'310 &amp; 491'!$H$72</definedName>
    <definedName name="OSRRefH22_12x_0" localSheetId="55">'311'!$H$103:$H$104</definedName>
    <definedName name="OSRRefH22_12x_0" localSheetId="58">'315'!$H$128:$H$131</definedName>
    <definedName name="OSRRefH22_12x_0" localSheetId="61">'316'!$H$72</definedName>
    <definedName name="OSRRefH22_12x_0" localSheetId="69">'325'!$H$62:$H$65</definedName>
    <definedName name="OSRRefH22_12x_0" localSheetId="59">'326'!$H$88:$H$90</definedName>
    <definedName name="OSRRefH22_12x_0" localSheetId="52">'330'!$H$83</definedName>
    <definedName name="OSRRefH22_12x_0" localSheetId="57">'331'!$H$125</definedName>
    <definedName name="OSRRefH22_12x_0" localSheetId="60">'332'!$H$74</definedName>
    <definedName name="OSRRefH22_12x_0" localSheetId="74">'405'!$H$63</definedName>
    <definedName name="OSRRefH22_12x_0" localSheetId="76">'411'!$H$61</definedName>
    <definedName name="OSRRefH22_12x_0" localSheetId="80">'415'!$H$60:$H$63</definedName>
    <definedName name="OSRRefH22_12x_0" localSheetId="81">'418'!$H$61</definedName>
    <definedName name="OSRRefH22_12x_0" localSheetId="89">'433'!$H$62:$H$64</definedName>
    <definedName name="OSRRefH22_12x_0" localSheetId="91">'444'!$H$62:$H$65</definedName>
    <definedName name="OSRRefH22_12x_0" localSheetId="92">'450'!$H$61:$H$62</definedName>
    <definedName name="OSRRefH22_12x_0" localSheetId="73">'491'!$H$63</definedName>
    <definedName name="OSRRefH22_12x_0" localSheetId="87">'492'!$H$62:$H$64</definedName>
    <definedName name="OSRRefH22_12x_0" localSheetId="39">'Div 2'!$H$60:$H$62</definedName>
    <definedName name="OSRRefH22_12x_0" localSheetId="47">'Div 3'!$H$172</definedName>
    <definedName name="OSRRefH22_12x_0" localSheetId="71">'Div 4'!$H$66</definedName>
    <definedName name="OSRRefH22_12x_0" localSheetId="2">Summary!$H$199</definedName>
    <definedName name="OSRRefH22_13x_0" localSheetId="41">'201'!$H$59</definedName>
    <definedName name="OSRRefH22_13x_0" localSheetId="43">'203'!$H$64</definedName>
    <definedName name="OSRRefH22_13x_0" localSheetId="48">'300'!$H$169:$H$170</definedName>
    <definedName name="OSRRefH22_13x_0" localSheetId="49">'300 &amp; 317'!$H$192:$H$193</definedName>
    <definedName name="OSRRefH22_13x_0" localSheetId="50">'301'!$H$64</definedName>
    <definedName name="OSRRefH22_13x_0" localSheetId="54">'308'!$H$106</definedName>
    <definedName name="OSRRefH22_13x_0" localSheetId="64">'310'!$H$69:$H$72</definedName>
    <definedName name="OSRRefH22_13x_0" localSheetId="72">'310 &amp; 491'!$H$74:$H$76</definedName>
    <definedName name="OSRRefH22_13x_0" localSheetId="55">'311'!$H$106</definedName>
    <definedName name="OSRRefH22_13x_0" localSheetId="58">'315'!$H$133</definedName>
    <definedName name="OSRRefH22_13x_0" localSheetId="69">'325'!$H$67</definedName>
    <definedName name="OSRRefH22_13x_0" localSheetId="59">'326'!$H$92:$H$93</definedName>
    <definedName name="OSRRefH22_13x_0" localSheetId="57">'331'!$H$127</definedName>
    <definedName name="OSRRefH22_13x_0" localSheetId="74">'405'!$H$65:$H$72</definedName>
    <definedName name="OSRRefH22_13x_0" localSheetId="76">'411'!$H$63:$H$64</definedName>
    <definedName name="OSRRefH22_13x_0" localSheetId="80">'415'!$H$65</definedName>
    <definedName name="OSRRefH22_13x_0" localSheetId="89">'433'!$H$66:$H$73</definedName>
    <definedName name="OSRRefH22_13x_0" localSheetId="91">'444'!$H$67</definedName>
    <definedName name="OSRRefH22_13x_0" localSheetId="92">'450'!$H$64:$H$66</definedName>
    <definedName name="OSRRefH22_13x_0" localSheetId="73">'491'!$H$65:$H$67</definedName>
    <definedName name="OSRRefH22_13x_0" localSheetId="87">'492'!$H$66:$H$69</definedName>
    <definedName name="OSRRefH22_13x_0" localSheetId="39">'Div 2'!$H$64:$H$67</definedName>
    <definedName name="OSRRefH22_13x_0" localSheetId="47">'Div 3'!$H$174</definedName>
    <definedName name="OSRRefH22_13x_0" localSheetId="71">'Div 4'!$H$68</definedName>
    <definedName name="OSRRefH22_13x_0" localSheetId="2">Summary!$H$201</definedName>
    <definedName name="OSRRefH22_14x_0" localSheetId="48">'300'!$H$172</definedName>
    <definedName name="OSRRefH22_14x_0" localSheetId="49">'300 &amp; 317'!$H$195</definedName>
    <definedName name="OSRRefH22_14x_0" localSheetId="50">'301'!$H$66</definedName>
    <definedName name="OSRRefH22_14x_0" localSheetId="64">'310'!$H$74:$H$78</definedName>
    <definedName name="OSRRefH22_14x_0" localSheetId="72">'310 &amp; 491'!$H$78</definedName>
    <definedName name="OSRRefH22_14x_0" localSheetId="58">'315'!$H$135</definedName>
    <definedName name="OSRRefH22_14x_0" localSheetId="69">'325'!$H$69</definedName>
    <definedName name="OSRRefH22_14x_0" localSheetId="59">'326'!$H$95:$H$98</definedName>
    <definedName name="OSRRefH22_14x_0" localSheetId="57">'331'!$H$129:$H$131</definedName>
    <definedName name="OSRRefH22_14x_0" localSheetId="74">'405'!$H$74</definedName>
    <definedName name="OSRRefH22_14x_0" localSheetId="76">'411'!$H$66</definedName>
    <definedName name="OSRRefH22_14x_0" localSheetId="80">'415'!$H$67:$H$72</definedName>
    <definedName name="OSRRefH22_14x_0" localSheetId="89">'433'!$H$75</definedName>
    <definedName name="OSRRefH22_14x_0" localSheetId="91">'444'!$H$69:$H$76</definedName>
    <definedName name="OSRRefH22_14x_0" localSheetId="92">'450'!$H$68:$H$73</definedName>
    <definedName name="OSRRefH22_14x_0" localSheetId="73">'491'!$H$69</definedName>
    <definedName name="OSRRefH22_14x_0" localSheetId="87">'492'!$H$71</definedName>
    <definedName name="OSRRefH22_14x_0" localSheetId="39">'Div 2'!$H$69</definedName>
    <definedName name="OSRRefH22_14x_0" localSheetId="47">'Div 3'!$H$176:$H$177</definedName>
    <definedName name="OSRRefH22_14x_0" localSheetId="71">'Div 4'!$H$70</definedName>
    <definedName name="OSRRefH22_14x_0" localSheetId="2">Summary!$H$203:$H$204</definedName>
    <definedName name="OSRRefH22_15x_0" localSheetId="48">'300'!$H$174</definedName>
    <definedName name="OSRRefH22_15x_0" localSheetId="49">'300 &amp; 317'!$H$197</definedName>
    <definedName name="OSRRefH22_15x_0" localSheetId="50">'301'!$H$68:$H$71</definedName>
    <definedName name="OSRRefH22_15x_0" localSheetId="64">'310'!$H$80</definedName>
    <definedName name="OSRRefH22_15x_0" localSheetId="72">'310 &amp; 491'!$H$80:$H$83</definedName>
    <definedName name="OSRRefH22_15x_0" localSheetId="59">'326'!$H$100</definedName>
    <definedName name="OSRRefH22_15x_0" localSheetId="57">'331'!$H$133:$H$134</definedName>
    <definedName name="OSRRefH22_15x_0" localSheetId="74">'405'!$H$76</definedName>
    <definedName name="OSRRefH22_15x_0" localSheetId="80">'415'!$H$74</definedName>
    <definedName name="OSRRefH22_15x_0" localSheetId="91">'444'!$H$78</definedName>
    <definedName name="OSRRefH22_15x_0" localSheetId="92">'450'!$H$75</definedName>
    <definedName name="OSRRefH22_15x_0" localSheetId="73">'491'!$H$71:$H$74</definedName>
    <definedName name="OSRRefH22_15x_0" localSheetId="87">'492'!$H$73:$H$80</definedName>
    <definedName name="OSRRefH22_15x_0" localSheetId="39">'Div 2'!$H$71</definedName>
    <definedName name="OSRRefH22_15x_0" localSheetId="47">'Div 3'!$H$179</definedName>
    <definedName name="OSRRefH22_15x_0" localSheetId="71">'Div 4'!$H$72:$H$74</definedName>
    <definedName name="OSRRefH22_15x_0" localSheetId="2">Summary!$H$206</definedName>
    <definedName name="OSRRefH22_16x_0" localSheetId="48">'300'!$H$176:$H$179</definedName>
    <definedName name="OSRRefH22_16x_0" localSheetId="49">'300 &amp; 317'!$H$199:$H$202</definedName>
    <definedName name="OSRRefH22_16x_0" localSheetId="50">'301'!$H$73:$H$75</definedName>
    <definedName name="OSRRefH22_16x_0" localSheetId="64">'310'!$H$82</definedName>
    <definedName name="OSRRefH22_16x_0" localSheetId="72">'310 &amp; 491'!$H$85</definedName>
    <definedName name="OSRRefH22_16x_0" localSheetId="59">'326'!$H$102</definedName>
    <definedName name="OSRRefH22_16x_0" localSheetId="57">'331'!$H$136:$H$138</definedName>
    <definedName name="OSRRefH22_16x_0" localSheetId="80">'415'!$H$76</definedName>
    <definedName name="OSRRefH22_16x_0" localSheetId="91">'444'!$H$80</definedName>
    <definedName name="OSRRefH22_16x_0" localSheetId="92">'450'!$H$77</definedName>
    <definedName name="OSRRefH22_16x_0" localSheetId="73">'491'!$H$76</definedName>
    <definedName name="OSRRefH22_16x_0" localSheetId="87">'492'!$H$82</definedName>
    <definedName name="OSRRefH22_16x_0" localSheetId="39">'Div 2'!$H$73:$H$77</definedName>
    <definedName name="OSRRefH22_16x_0" localSheetId="47">'Div 3'!$H$181</definedName>
    <definedName name="OSRRefH22_16x_0" localSheetId="71">'Div 4'!$H$76</definedName>
    <definedName name="OSRRefH22_16x_0" localSheetId="2">Summary!$H$208</definedName>
    <definedName name="OSRRefH22_17x_0" localSheetId="48">'300'!$H$181:$H$183</definedName>
    <definedName name="OSRRefH22_17x_0" localSheetId="49">'300 &amp; 317'!$H$204:$H$206</definedName>
    <definedName name="OSRRefH22_17x_0" localSheetId="50">'301'!$H$77</definedName>
    <definedName name="OSRRefH22_17x_0" localSheetId="72">'310 &amp; 491'!$H$87:$H$95</definedName>
    <definedName name="OSRRefH22_17x_0" localSheetId="59">'326'!$H$104</definedName>
    <definedName name="OSRRefH22_17x_0" localSheetId="57">'331'!$H$140:$H$141</definedName>
    <definedName name="OSRRefH22_17x_0" localSheetId="80">'415'!$H$78</definedName>
    <definedName name="OSRRefH22_17x_0" localSheetId="73">'491'!$H$78:$H$86</definedName>
    <definedName name="OSRRefH22_17x_0" localSheetId="87">'492'!$H$84</definedName>
    <definedName name="OSRRefH22_17x_0" localSheetId="39">'Div 2'!$H$79:$H$80</definedName>
    <definedName name="OSRRefH22_17x_0" localSheetId="47">'Div 3'!$H$183:$H$186</definedName>
    <definedName name="OSRRefH22_17x_0" localSheetId="71">'Div 4'!$H$78:$H$81</definedName>
    <definedName name="OSRRefH22_17x_0" localSheetId="2">Summary!$H$210</definedName>
    <definedName name="OSRRefH22_18x_0" localSheetId="48">'300'!$H$185:$H$188</definedName>
    <definedName name="OSRRefH22_18x_0" localSheetId="49">'300 &amp; 317'!$H$208:$H$211</definedName>
    <definedName name="OSRRefH22_18x_0" localSheetId="50">'301'!$H$79:$H$84</definedName>
    <definedName name="OSRRefH22_18x_0" localSheetId="72">'310 &amp; 491'!$H$97</definedName>
    <definedName name="OSRRefH22_18x_0" localSheetId="57">'331'!$H$143:$H$147</definedName>
    <definedName name="OSRRefH22_18x_0" localSheetId="73">'491'!$H$88</definedName>
    <definedName name="OSRRefH22_18x_0" localSheetId="87">'492'!$H$86:$H$87</definedName>
    <definedName name="OSRRefH22_18x_0" localSheetId="39">'Div 2'!$H$82</definedName>
    <definedName name="OSRRefH22_18x_0" localSheetId="47">'Div 3'!$H$188:$H$190</definedName>
    <definedName name="OSRRefH22_18x_0" localSheetId="71">'Div 4'!$H$83:$H$84</definedName>
    <definedName name="OSRRefH22_18x_0" localSheetId="2">Summary!$H$212:$H$215</definedName>
    <definedName name="OSRRefH22_19x_0" localSheetId="48">'300'!$H$190:$H$191</definedName>
    <definedName name="OSRRefH22_19x_0" localSheetId="49">'300 &amp; 317'!$H$213:$H$214</definedName>
    <definedName name="OSRRefH22_19x_0" localSheetId="50">'301'!$H$86</definedName>
    <definedName name="OSRRefH22_19x_0" localSheetId="72">'310 &amp; 491'!$H$99</definedName>
    <definedName name="OSRRefH22_19x_0" localSheetId="57">'331'!$H$149</definedName>
    <definedName name="OSRRefH22_19x_0" localSheetId="73">'491'!$H$90</definedName>
    <definedName name="OSRRefH22_19x_0" localSheetId="39">'Div 2'!$H$84:$H$85</definedName>
    <definedName name="OSRRefH22_19x_0" localSheetId="47">'Div 3'!$H$192:$H$196</definedName>
    <definedName name="OSRRefH22_19x_0" localSheetId="71">'Div 4'!$H$86:$H$94</definedName>
    <definedName name="OSRRefH22_19x_0" localSheetId="2">Summary!$H$217:$H$219</definedName>
    <definedName name="OSRRefH22_1x_0" localSheetId="40">'200'!$H$22</definedName>
    <definedName name="OSRRefH22_1x_0" localSheetId="41">'201'!$H$29:$H$31</definedName>
    <definedName name="OSRRefH22_1x_0" localSheetId="42">'202'!$H$29:$H$31</definedName>
    <definedName name="OSRRefH22_1x_0" localSheetId="43">'203'!$H$31:$H$35</definedName>
    <definedName name="OSRRefH22_1x_0" localSheetId="44">'204'!$H$30:$H$32</definedName>
    <definedName name="OSRRefH22_1x_0" localSheetId="45">'205'!$H$29</definedName>
    <definedName name="OSRRefH22_1x_0" localSheetId="46">'206'!$H$28:$H$30</definedName>
    <definedName name="OSRRefH22_1x_0" localSheetId="48">'300'!$H$136:$H$142</definedName>
    <definedName name="OSRRefH22_1x_0" localSheetId="49">'300 &amp; 317'!$H$159:$H$165</definedName>
    <definedName name="OSRRefH22_1x_0" localSheetId="50">'301'!$H$32:$H$38</definedName>
    <definedName name="OSRRefH22_1x_0" localSheetId="51">'306'!$H$25:$H$26</definedName>
    <definedName name="OSRRefH22_1x_0" localSheetId="53">'307'!$H$47:$H$50</definedName>
    <definedName name="OSRRefH22_1x_0" localSheetId="54">'308'!$H$71:$H$77</definedName>
    <definedName name="OSRRefH22_1x_0" localSheetId="65">'309'!$H$22</definedName>
    <definedName name="OSRRefH22_1x_0" localSheetId="64">'310'!$H$40:$H$43</definedName>
    <definedName name="OSRRefH22_1x_0" localSheetId="72">'310 &amp; 491'!$H$44:$H$48</definedName>
    <definedName name="OSRRefH22_1x_0" localSheetId="55">'311'!$H$71:$H$77</definedName>
    <definedName name="OSRRefH22_1x_0" localSheetId="66">'313'!$H$34</definedName>
    <definedName name="OSRRefH22_1x_0" localSheetId="58">'315'!$H$96:$H$100</definedName>
    <definedName name="OSRRefH22_1x_0" localSheetId="61">'316'!$H$41:$H$43</definedName>
    <definedName name="OSRRefH22_1x_0" localSheetId="63">'317'!$H$64:$H$68</definedName>
    <definedName name="OSRRefH22_1x_0" localSheetId="67">'321'!$H$33:$H$36</definedName>
    <definedName name="OSRRefH22_1x_0" localSheetId="68">'322'!$H$27</definedName>
    <definedName name="OSRRefH22_1x_0" localSheetId="69">'325'!$H$33:$H$35</definedName>
    <definedName name="OSRRefH22_1x_0" localSheetId="59">'326'!$H$60:$H$64</definedName>
    <definedName name="OSRRefH22_1x_0" localSheetId="52">'330'!$H$51:$H$54</definedName>
    <definedName name="OSRRefH22_1x_0" localSheetId="57">'331'!$H$96:$H$100</definedName>
    <definedName name="OSRRefH22_1x_0" localSheetId="60">'332'!$H$43:$H$45</definedName>
    <definedName name="OSRRefH22_1x_0" localSheetId="74">'405'!$H$33:$H$36</definedName>
    <definedName name="OSRRefH22_1x_0" localSheetId="75">'406'!$H$22</definedName>
    <definedName name="OSRRefH22_1x_0" localSheetId="76">'411'!$H$29:$H$33</definedName>
    <definedName name="OSRRefH22_1x_0" localSheetId="77">'412'!$H$22</definedName>
    <definedName name="OSRRefH22_1x_0" localSheetId="78">'413'!$H$26</definedName>
    <definedName name="OSRRefH22_1x_0" localSheetId="79">'414'!$H$23</definedName>
    <definedName name="OSRRefH22_1x_0" localSheetId="80">'415'!$H$33:$H$36</definedName>
    <definedName name="OSRRefH22_1x_0" localSheetId="81">'418'!$H$30:$H$33</definedName>
    <definedName name="OSRRefH22_1x_0" localSheetId="83">'423'!$H$23</definedName>
    <definedName name="OSRRefH22_1x_0" localSheetId="84">'424'!$H$22</definedName>
    <definedName name="OSRRefH22_1x_0" localSheetId="85">'425'!$H$28</definedName>
    <definedName name="OSRRefH22_1x_0" localSheetId="88">'430'!$H$29</definedName>
    <definedName name="OSRRefH22_1x_0" localSheetId="89">'433'!$H$35:$H$39</definedName>
    <definedName name="OSRRefH22_1x_0" localSheetId="91">'444'!$H$35:$H$39</definedName>
    <definedName name="OSRRefH22_1x_0" localSheetId="92">'450'!$H$35:$H$39</definedName>
    <definedName name="OSRRefH22_1x_0" localSheetId="73">'491'!$H$36:$H$40</definedName>
    <definedName name="OSRRefH22_1x_0" localSheetId="87">'492'!$H$35:$H$40</definedName>
    <definedName name="OSRRefH22_1x_0" localSheetId="94">'501'!$H$31:$H$36</definedName>
    <definedName name="OSRRefH22_1x_0" localSheetId="39">'Div 2'!$H$32:$H$37</definedName>
    <definedName name="OSRRefH22_1x_0" localSheetId="47">'Div 3'!$H$141:$H$147</definedName>
    <definedName name="OSRRefH22_1x_0" localSheetId="71">'Div 4'!$H$38:$H$43</definedName>
    <definedName name="OSRRefH22_1x_0" localSheetId="93">'Div 5'!$H$31:$H$36</definedName>
    <definedName name="OSRRefH22_1x_0" localSheetId="62">'Div 6'!$H$64:$H$68</definedName>
    <definedName name="OSRRefH22_1x_0" localSheetId="2">Summary!$H$168:$H$174</definedName>
    <definedName name="OSRRefH22_20x_0" localSheetId="48">'300'!$H$193:$H$199</definedName>
    <definedName name="OSRRefH22_20x_0" localSheetId="49">'300 &amp; 317'!$H$216:$H$222</definedName>
    <definedName name="OSRRefH22_20x_0" localSheetId="50">'301'!$H$88</definedName>
    <definedName name="OSRRefH22_20x_0" localSheetId="72">'310 &amp; 491'!$H$101:$H$102</definedName>
    <definedName name="OSRRefH22_20x_0" localSheetId="57">'331'!$H$151</definedName>
    <definedName name="OSRRefH22_20x_0" localSheetId="73">'491'!$H$92:$H$93</definedName>
    <definedName name="OSRRefH22_20x_0" localSheetId="47">'Div 3'!$H$198:$H$199</definedName>
    <definedName name="OSRRefH22_20x_0" localSheetId="71">'Div 4'!$H$96</definedName>
    <definedName name="OSRRefH22_20x_0" localSheetId="2">Summary!$H$221:$H$225</definedName>
    <definedName name="OSRRefH22_21x_0" localSheetId="48">'300'!$H$201:$H$202</definedName>
    <definedName name="OSRRefH22_21x_0" localSheetId="49">'300 &amp; 317'!$H$224:$H$225</definedName>
    <definedName name="OSRRefH22_21x_0" localSheetId="50">'301'!$H$90:$H$91</definedName>
    <definedName name="OSRRefH22_21x_0" localSheetId="72">'310 &amp; 491'!$H$104</definedName>
    <definedName name="OSRRefH22_21x_0" localSheetId="57">'331'!$H$153</definedName>
    <definedName name="OSRRefH22_21x_0" localSheetId="73">'491'!$H$95</definedName>
    <definedName name="OSRRefH22_21x_0" localSheetId="47">'Div 3'!$H$201:$H$207</definedName>
    <definedName name="OSRRefH22_21x_0" localSheetId="71">'Div 4'!$H$98</definedName>
    <definedName name="OSRRefH22_21x_0" localSheetId="2">Summary!$H$227:$H$228</definedName>
    <definedName name="OSRRefH22_22x_0" localSheetId="48">'300'!$H$204</definedName>
    <definedName name="OSRRefH22_22x_0" localSheetId="49">'300 &amp; 317'!$H$227</definedName>
    <definedName name="OSRRefH22_22x_0" localSheetId="50">'301'!$H$93</definedName>
    <definedName name="OSRRefH22_22x_0" localSheetId="47">'Div 3'!$H$209:$H$210</definedName>
    <definedName name="OSRRefH22_22x_0" localSheetId="71">'Div 4'!$H$100:$H$101</definedName>
    <definedName name="OSRRefH22_22x_0" localSheetId="2">Summary!$H$230:$H$238</definedName>
    <definedName name="OSRRefH22_23x_0" localSheetId="48">'300'!$H$206:$H$208</definedName>
    <definedName name="OSRRefH22_23x_0" localSheetId="49">'300 &amp; 317'!$H$229:$H$231</definedName>
    <definedName name="OSRRefH22_23x_0" localSheetId="47">'Div 3'!$H$212</definedName>
    <definedName name="OSRRefH22_23x_0" localSheetId="71">'Div 4'!$H$103</definedName>
    <definedName name="OSRRefH22_23x_0" localSheetId="2">Summary!$H$240:$H$241</definedName>
    <definedName name="OSRRefH22_24x_0" localSheetId="48">'300'!$H$210</definedName>
    <definedName name="OSRRefH22_24x_0" localSheetId="49">'300 &amp; 317'!$H$233</definedName>
    <definedName name="OSRRefH22_24x_0" localSheetId="47">'Div 3'!$H$214:$H$216</definedName>
    <definedName name="OSRRefH22_24x_0" localSheetId="2">Summary!$H$243</definedName>
    <definedName name="OSRRefH22_25x_0" localSheetId="47">'Div 3'!$H$218</definedName>
    <definedName name="OSRRefH22_25x_0" localSheetId="2">Summary!$H$245:$H$247</definedName>
    <definedName name="OSRRefH22_26x_0" localSheetId="2">Summary!$H$249</definedName>
    <definedName name="OSRRefH22_2x_0" localSheetId="40">'200'!$H$24</definedName>
    <definedName name="OSRRefH22_2x_0" localSheetId="41">'201'!$H$33</definedName>
    <definedName name="OSRRefH22_2x_0" localSheetId="42">'202'!$H$33</definedName>
    <definedName name="OSRRefH22_2x_0" localSheetId="43">'203'!$H$37</definedName>
    <definedName name="OSRRefH22_2x_0" localSheetId="44">'204'!$H$34</definedName>
    <definedName name="OSRRefH22_2x_0" localSheetId="45">'205'!$H$31</definedName>
    <definedName name="OSRRefH22_2x_0" localSheetId="46">'206'!$H$32</definedName>
    <definedName name="OSRRefH22_2x_0" localSheetId="48">'300'!$H$144</definedName>
    <definedName name="OSRRefH22_2x_0" localSheetId="49">'300 &amp; 317'!$H$167</definedName>
    <definedName name="OSRRefH22_2x_0" localSheetId="50">'301'!$H$40</definedName>
    <definedName name="OSRRefH22_2x_0" localSheetId="51">'306'!$H$28</definedName>
    <definedName name="OSRRefH22_2x_0" localSheetId="53">'307'!$H$52</definedName>
    <definedName name="OSRRefH22_2x_0" localSheetId="54">'308'!$H$79</definedName>
    <definedName name="OSRRefH22_2x_0" localSheetId="65">'309'!$H$24</definedName>
    <definedName name="OSRRefH22_2x_0" localSheetId="64">'310'!$H$45</definedName>
    <definedName name="OSRRefH22_2x_0" localSheetId="72">'310 &amp; 491'!$H$50</definedName>
    <definedName name="OSRRefH22_2x_0" localSheetId="55">'311'!$H$79</definedName>
    <definedName name="OSRRefH22_2x_0" localSheetId="66">'313'!$H$36</definedName>
    <definedName name="OSRRefH22_2x_0" localSheetId="58">'315'!$H$102</definedName>
    <definedName name="OSRRefH22_2x_0" localSheetId="61">'316'!$H$45</definedName>
    <definedName name="OSRRefH22_2x_0" localSheetId="63">'317'!$H$70</definedName>
    <definedName name="OSRRefH22_2x_0" localSheetId="67">'321'!$H$38</definedName>
    <definedName name="OSRRefH22_2x_0" localSheetId="68">'322'!$H$29</definedName>
    <definedName name="OSRRefH22_2x_0" localSheetId="69">'325'!$H$37</definedName>
    <definedName name="OSRRefH22_2x_0" localSheetId="59">'326'!$H$66</definedName>
    <definedName name="OSRRefH22_2x_0" localSheetId="52">'330'!$H$56</definedName>
    <definedName name="OSRRefH22_2x_0" localSheetId="57">'331'!$H$102</definedName>
    <definedName name="OSRRefH22_2x_0" localSheetId="60">'332'!$H$47</definedName>
    <definedName name="OSRRefH22_2x_0" localSheetId="74">'405'!$H$38</definedName>
    <definedName name="OSRRefH22_2x_0" localSheetId="75">'406'!$H$24</definedName>
    <definedName name="OSRRefH22_2x_0" localSheetId="76">'411'!$H$35</definedName>
    <definedName name="OSRRefH22_2x_0" localSheetId="77">'412'!$H$24:$H$25</definedName>
    <definedName name="OSRRefH22_2x_0" localSheetId="78">'413'!$H$28</definedName>
    <definedName name="OSRRefH22_2x_0" localSheetId="79">'414'!$H$25</definedName>
    <definedName name="OSRRefH22_2x_0" localSheetId="80">'415'!$H$38</definedName>
    <definedName name="OSRRefH22_2x_0" localSheetId="81">'418'!$H$35</definedName>
    <definedName name="OSRRefH22_2x_0" localSheetId="83">'423'!$H$25</definedName>
    <definedName name="OSRRefH22_2x_0" localSheetId="84">'424'!$H$24</definedName>
    <definedName name="OSRRefH22_2x_0" localSheetId="85">'425'!$H$30</definedName>
    <definedName name="OSRRefH22_2x_0" localSheetId="88">'430'!$H$31</definedName>
    <definedName name="OSRRefH22_2x_0" localSheetId="89">'433'!$H$41</definedName>
    <definedName name="OSRRefH22_2x_0" localSheetId="91">'444'!$H$41</definedName>
    <definedName name="OSRRefH22_2x_0" localSheetId="92">'450'!$H$41</definedName>
    <definedName name="OSRRefH22_2x_0" localSheetId="73">'491'!$H$42</definedName>
    <definedName name="OSRRefH22_2x_0" localSheetId="87">'492'!$H$42</definedName>
    <definedName name="OSRRefH22_2x_0" localSheetId="94">'501'!$H$38</definedName>
    <definedName name="OSRRefH22_2x_0" localSheetId="39">'Div 2'!$H$39</definedName>
    <definedName name="OSRRefH22_2x_0" localSheetId="47">'Div 3'!$H$149</definedName>
    <definedName name="OSRRefH22_2x_0" localSheetId="71">'Div 4'!$H$45</definedName>
    <definedName name="OSRRefH22_2x_0" localSheetId="93">'Div 5'!$H$38</definedName>
    <definedName name="OSRRefH22_2x_0" localSheetId="62">'Div 6'!$H$70</definedName>
    <definedName name="OSRRefH22_2x_0" localSheetId="2">Summary!$H$176</definedName>
    <definedName name="OSRRefH22_3x_0" localSheetId="40">'200'!$H$26</definedName>
    <definedName name="OSRRefH22_3x_0" localSheetId="41">'201'!$H$35</definedName>
    <definedName name="OSRRefH22_3x_0" localSheetId="42">'202'!$H$35</definedName>
    <definedName name="OSRRefH22_3x_0" localSheetId="43">'203'!$H$39</definedName>
    <definedName name="OSRRefH22_3x_0" localSheetId="44">'204'!$H$36</definedName>
    <definedName name="OSRRefH22_3x_0" localSheetId="45">'205'!$H$33</definedName>
    <definedName name="OSRRefH22_3x_0" localSheetId="46">'206'!$H$34</definedName>
    <definedName name="OSRRefH22_3x_0" localSheetId="48">'300'!$H$146</definedName>
    <definedName name="OSRRefH22_3x_0" localSheetId="49">'300 &amp; 317'!$H$169</definedName>
    <definedName name="OSRRefH22_3x_0" localSheetId="50">'301'!$H$42</definedName>
    <definedName name="OSRRefH22_3x_0" localSheetId="51">'306'!$H$30</definedName>
    <definedName name="OSRRefH22_3x_0" localSheetId="53">'307'!$H$54</definedName>
    <definedName name="OSRRefH22_3x_0" localSheetId="54">'308'!$H$81</definedName>
    <definedName name="OSRRefH22_3x_0" localSheetId="65">'309'!$H$26:$H$27</definedName>
    <definedName name="OSRRefH22_3x_0" localSheetId="64">'310'!$H$47</definedName>
    <definedName name="OSRRefH22_3x_0" localSheetId="72">'310 &amp; 491'!$H$52</definedName>
    <definedName name="OSRRefH22_3x_0" localSheetId="55">'311'!$H$81</definedName>
    <definedName name="OSRRefH22_3x_0" localSheetId="66">'313'!$H$38</definedName>
    <definedName name="OSRRefH22_3x_0" localSheetId="58">'315'!$H$104:$H$105</definedName>
    <definedName name="OSRRefH22_3x_0" localSheetId="61">'316'!$H$47</definedName>
    <definedName name="OSRRefH22_3x_0" localSheetId="63">'317'!$H$72</definedName>
    <definedName name="OSRRefH22_3x_0" localSheetId="67">'321'!$H$40</definedName>
    <definedName name="OSRRefH22_3x_0" localSheetId="68">'322'!$H$31</definedName>
    <definedName name="OSRRefH22_3x_0" localSheetId="69">'325'!$H$39</definedName>
    <definedName name="OSRRefH22_3x_0" localSheetId="59">'326'!$H$68</definedName>
    <definedName name="OSRRefH22_3x_0" localSheetId="52">'330'!$H$58</definedName>
    <definedName name="OSRRefH22_3x_0" localSheetId="57">'331'!$H$104</definedName>
    <definedName name="OSRRefH22_3x_0" localSheetId="60">'332'!$H$49</definedName>
    <definedName name="OSRRefH22_3x_0" localSheetId="74">'405'!$H$40</definedName>
    <definedName name="OSRRefH22_3x_0" localSheetId="75">'406'!$H$26</definedName>
    <definedName name="OSRRefH22_3x_0" localSheetId="76">'411'!$H$37:$H$38</definedName>
    <definedName name="OSRRefH22_3x_0" localSheetId="77">'412'!$H$27</definedName>
    <definedName name="OSRRefH22_3x_0" localSheetId="78">'413'!$H$30</definedName>
    <definedName name="OSRRefH22_3x_0" localSheetId="79">'414'!$H$27</definedName>
    <definedName name="OSRRefH22_3x_0" localSheetId="80">'415'!$H$40</definedName>
    <definedName name="OSRRefH22_3x_0" localSheetId="81">'418'!$H$37</definedName>
    <definedName name="OSRRefH22_3x_0" localSheetId="83">'423'!$H$27</definedName>
    <definedName name="OSRRefH22_3x_0" localSheetId="84">'424'!$H$26</definedName>
    <definedName name="OSRRefH22_3x_0" localSheetId="85">'425'!$H$32</definedName>
    <definedName name="OSRRefH22_3x_0" localSheetId="88">'430'!$H$33</definedName>
    <definedName name="OSRRefH22_3x_0" localSheetId="89">'433'!$H$43</definedName>
    <definedName name="OSRRefH22_3x_0" localSheetId="91">'444'!$H$43</definedName>
    <definedName name="OSRRefH22_3x_0" localSheetId="92">'450'!$H$43</definedName>
    <definedName name="OSRRefH22_3x_0" localSheetId="73">'491'!$H$44</definedName>
    <definedName name="OSRRefH22_3x_0" localSheetId="87">'492'!$H$44</definedName>
    <definedName name="OSRRefH22_3x_0" localSheetId="94">'501'!$H$40</definedName>
    <definedName name="OSRRefH22_3x_0" localSheetId="39">'Div 2'!$H$41</definedName>
    <definedName name="OSRRefH22_3x_0" localSheetId="47">'Div 3'!$H$151</definedName>
    <definedName name="OSRRefH22_3x_0" localSheetId="71">'Div 4'!$H$47</definedName>
    <definedName name="OSRRefH22_3x_0" localSheetId="93">'Div 5'!$H$40</definedName>
    <definedName name="OSRRefH22_3x_0" localSheetId="62">'Div 6'!$H$72</definedName>
    <definedName name="OSRRefH22_3x_0" localSheetId="2">Summary!$H$178</definedName>
    <definedName name="OSRRefH22_4x_0" localSheetId="41">'201'!$H$37</definedName>
    <definedName name="OSRRefH22_4x_0" localSheetId="42">'202'!$H$37</definedName>
    <definedName name="OSRRefH22_4x_0" localSheetId="43">'203'!$H$41</definedName>
    <definedName name="OSRRefH22_4x_0" localSheetId="44">'204'!$H$38</definedName>
    <definedName name="OSRRefH22_4x_0" localSheetId="45">'205'!$H$35:$H$36</definedName>
    <definedName name="OSRRefH22_4x_0" localSheetId="46">'206'!$H$36</definedName>
    <definedName name="OSRRefH22_4x_0" localSheetId="48">'300'!$H$148</definedName>
    <definedName name="OSRRefH22_4x_0" localSheetId="49">'300 &amp; 317'!$H$171</definedName>
    <definedName name="OSRRefH22_4x_0" localSheetId="50">'301'!$H$44</definedName>
    <definedName name="OSRRefH22_4x_0" localSheetId="51">'306'!$H$32</definedName>
    <definedName name="OSRRefH22_4x_0" localSheetId="53">'307'!$H$56:$H$57</definedName>
    <definedName name="OSRRefH22_4x_0" localSheetId="54">'308'!$H$83</definedName>
    <definedName name="OSRRefH22_4x_0" localSheetId="65">'309'!$H$29:$H$30</definedName>
    <definedName name="OSRRefH22_4x_0" localSheetId="64">'310'!$H$49</definedName>
    <definedName name="OSRRefH22_4x_0" localSheetId="72">'310 &amp; 491'!$H$54</definedName>
    <definedName name="OSRRefH22_4x_0" localSheetId="55">'311'!$H$83</definedName>
    <definedName name="OSRRefH22_4x_0" localSheetId="66">'313'!$H$40</definedName>
    <definedName name="OSRRefH22_4x_0" localSheetId="58">'315'!$H$107</definedName>
    <definedName name="OSRRefH22_4x_0" localSheetId="61">'316'!$H$49</definedName>
    <definedName name="OSRRefH22_4x_0" localSheetId="63">'317'!$H$74</definedName>
    <definedName name="OSRRefH22_4x_0" localSheetId="67">'321'!$H$42</definedName>
    <definedName name="OSRRefH22_4x_0" localSheetId="68">'322'!$H$33:$H$34</definedName>
    <definedName name="OSRRefH22_4x_0" localSheetId="69">'325'!$H$41</definedName>
    <definedName name="OSRRefH22_4x_0" localSheetId="59">'326'!$H$70</definedName>
    <definedName name="OSRRefH22_4x_0" localSheetId="52">'330'!$H$60:$H$61</definedName>
    <definedName name="OSRRefH22_4x_0" localSheetId="57">'331'!$H$106</definedName>
    <definedName name="OSRRefH22_4x_0" localSheetId="60">'332'!$H$51</definedName>
    <definedName name="OSRRefH22_4x_0" localSheetId="74">'405'!$H$42</definedName>
    <definedName name="OSRRefH22_4x_0" localSheetId="75">'406'!$H$28</definedName>
    <definedName name="OSRRefH22_4x_0" localSheetId="76">'411'!$H$40</definedName>
    <definedName name="OSRRefH22_4x_0" localSheetId="77">'412'!$H$29</definedName>
    <definedName name="OSRRefH22_4x_0" localSheetId="78">'413'!$H$32</definedName>
    <definedName name="OSRRefH22_4x_0" localSheetId="79">'414'!$H$29:$H$30</definedName>
    <definedName name="OSRRefH22_4x_0" localSheetId="80">'415'!$H$42</definedName>
    <definedName name="OSRRefH22_4x_0" localSheetId="81">'418'!$H$39:$H$40</definedName>
    <definedName name="OSRRefH22_4x_0" localSheetId="85">'425'!$H$34</definedName>
    <definedName name="OSRRefH22_4x_0" localSheetId="88">'430'!$H$35</definedName>
    <definedName name="OSRRefH22_4x_0" localSheetId="89">'433'!$H$45</definedName>
    <definedName name="OSRRefH22_4x_0" localSheetId="91">'444'!$H$45</definedName>
    <definedName name="OSRRefH22_4x_0" localSheetId="92">'450'!$H$45</definedName>
    <definedName name="OSRRefH22_4x_0" localSheetId="73">'491'!$H$46</definedName>
    <definedName name="OSRRefH22_4x_0" localSheetId="87">'492'!$H$46</definedName>
    <definedName name="OSRRefH22_4x_0" localSheetId="94">'501'!$H$42:$H$43</definedName>
    <definedName name="OSRRefH22_4x_0" localSheetId="39">'Div 2'!$H$43</definedName>
    <definedName name="OSRRefH22_4x_0" localSheetId="47">'Div 3'!$H$153</definedName>
    <definedName name="OSRRefH22_4x_0" localSheetId="71">'Div 4'!$H$49</definedName>
    <definedName name="OSRRefH22_4x_0" localSheetId="93">'Div 5'!$H$42:$H$43</definedName>
    <definedName name="OSRRefH22_4x_0" localSheetId="62">'Div 6'!$H$74</definedName>
    <definedName name="OSRRefH22_4x_0" localSheetId="2">Summary!$H$180</definedName>
    <definedName name="OSRRefH22_5x_0" localSheetId="41">'201'!$H$39</definedName>
    <definedName name="OSRRefH22_5x_0" localSheetId="42">'202'!$H$39:$H$40</definedName>
    <definedName name="OSRRefH22_5x_0" localSheetId="43">'203'!$H$43</definedName>
    <definedName name="OSRRefH22_5x_0" localSheetId="44">'204'!$H$40:$H$43</definedName>
    <definedName name="OSRRefH22_5x_0" localSheetId="45">'205'!$H$38:$H$40</definedName>
    <definedName name="OSRRefH22_5x_0" localSheetId="46">'206'!$H$38</definedName>
    <definedName name="OSRRefH22_5x_0" localSheetId="48">'300'!$H$150:$H$151</definedName>
    <definedName name="OSRRefH22_5x_0" localSheetId="49">'300 &amp; 317'!$H$173:$H$174</definedName>
    <definedName name="OSRRefH22_5x_0" localSheetId="50">'301'!$H$46:$H$47</definedName>
    <definedName name="OSRRefH22_5x_0" localSheetId="51">'306'!$H$34</definedName>
    <definedName name="OSRRefH22_5x_0" localSheetId="53">'307'!$H$59</definedName>
    <definedName name="OSRRefH22_5x_0" localSheetId="54">'308'!$H$85</definedName>
    <definedName name="OSRRefH22_5x_0" localSheetId="65">'309'!$H$32</definedName>
    <definedName name="OSRRefH22_5x_0" localSheetId="64">'310'!$H$51:$H$52</definedName>
    <definedName name="OSRRefH22_5x_0" localSheetId="72">'310 &amp; 491'!$H$56:$H$57</definedName>
    <definedName name="OSRRefH22_5x_0" localSheetId="55">'311'!$H$85</definedName>
    <definedName name="OSRRefH22_5x_0" localSheetId="66">'313'!$H$42</definedName>
    <definedName name="OSRRefH22_5x_0" localSheetId="58">'315'!$H$109</definedName>
    <definedName name="OSRRefH22_5x_0" localSheetId="61">'316'!$H$51</definedName>
    <definedName name="OSRRefH22_5x_0" localSheetId="63">'317'!$H$76:$H$77</definedName>
    <definedName name="OSRRefH22_5x_0" localSheetId="67">'321'!$H$44</definedName>
    <definedName name="OSRRefH22_5x_0" localSheetId="68">'322'!$H$36</definedName>
    <definedName name="OSRRefH22_5x_0" localSheetId="69">'325'!$H$43:$H$44</definedName>
    <definedName name="OSRRefH22_5x_0" localSheetId="59">'326'!$H$72</definedName>
    <definedName name="OSRRefH22_5x_0" localSheetId="52">'330'!$H$63:$H$64</definedName>
    <definedName name="OSRRefH22_5x_0" localSheetId="57">'331'!$H$108:$H$109</definedName>
    <definedName name="OSRRefH22_5x_0" localSheetId="60">'332'!$H$53</definedName>
    <definedName name="OSRRefH22_5x_0" localSheetId="74">'405'!$H$44:$H$45</definedName>
    <definedName name="OSRRefH22_5x_0" localSheetId="76">'411'!$H$42</definedName>
    <definedName name="OSRRefH22_5x_0" localSheetId="78">'413'!$H$34</definedName>
    <definedName name="OSRRefH22_5x_0" localSheetId="80">'415'!$H$44:$H$45</definedName>
    <definedName name="OSRRefH22_5x_0" localSheetId="81">'418'!$H$42</definedName>
    <definedName name="OSRRefH22_5x_0" localSheetId="85">'425'!$H$36:$H$37</definedName>
    <definedName name="OSRRefH22_5x_0" localSheetId="88">'430'!$H$37:$H$38</definedName>
    <definedName name="OSRRefH22_5x_0" localSheetId="89">'433'!$H$47</definedName>
    <definedName name="OSRRefH22_5x_0" localSheetId="91">'444'!$H$47</definedName>
    <definedName name="OSRRefH22_5x_0" localSheetId="92">'450'!$H$47</definedName>
    <definedName name="OSRRefH22_5x_0" localSheetId="73">'491'!$H$48:$H$49</definedName>
    <definedName name="OSRRefH22_5x_0" localSheetId="87">'492'!$H$48</definedName>
    <definedName name="OSRRefH22_5x_0" localSheetId="94">'501'!$H$45</definedName>
    <definedName name="OSRRefH22_5x_0" localSheetId="39">'Div 2'!$H$45</definedName>
    <definedName name="OSRRefH22_5x_0" localSheetId="47">'Div 3'!$H$155:$H$156</definedName>
    <definedName name="OSRRefH22_5x_0" localSheetId="71">'Div 4'!$H$51:$H$52</definedName>
    <definedName name="OSRRefH22_5x_0" localSheetId="93">'Div 5'!$H$45</definedName>
    <definedName name="OSRRefH22_5x_0" localSheetId="62">'Div 6'!$H$76:$H$77</definedName>
    <definedName name="OSRRefH22_5x_0" localSheetId="2">Summary!$H$182:$H$183</definedName>
    <definedName name="OSRRefH22_6x_0" localSheetId="41">'201'!$H$41</definedName>
    <definedName name="OSRRefH22_6x_0" localSheetId="42">'202'!$H$42</definedName>
    <definedName name="OSRRefH22_6x_0" localSheetId="43">'203'!$H$45</definedName>
    <definedName name="OSRRefH22_6x_0" localSheetId="44">'204'!$H$45</definedName>
    <definedName name="OSRRefH22_6x_0" localSheetId="45">'205'!$H$42</definedName>
    <definedName name="OSRRefH22_6x_0" localSheetId="46">'206'!$H$40</definedName>
    <definedName name="OSRRefH22_6x_0" localSheetId="48">'300'!$H$153:$H$154</definedName>
    <definedName name="OSRRefH22_6x_0" localSheetId="49">'300 &amp; 317'!$H$176:$H$177</definedName>
    <definedName name="OSRRefH22_6x_0" localSheetId="50">'301'!$H$49:$H$50</definedName>
    <definedName name="OSRRefH22_6x_0" localSheetId="53">'307'!$H$61</definedName>
    <definedName name="OSRRefH22_6x_0" localSheetId="54">'308'!$H$87:$H$88</definedName>
    <definedName name="OSRRefH22_6x_0" localSheetId="65">'309'!$H$34</definedName>
    <definedName name="OSRRefH22_6x_0" localSheetId="64">'310'!$H$54</definedName>
    <definedName name="OSRRefH22_6x_0" localSheetId="72">'310 &amp; 491'!$H$59</definedName>
    <definedName name="OSRRefH22_6x_0" localSheetId="55">'311'!$H$87:$H$88</definedName>
    <definedName name="OSRRefH22_6x_0" localSheetId="66">'313'!$H$44</definedName>
    <definedName name="OSRRefH22_6x_0" localSheetId="58">'315'!$H$111:$H$112</definedName>
    <definedName name="OSRRefH22_6x_0" localSheetId="61">'316'!$H$53:$H$54</definedName>
    <definedName name="OSRRefH22_6x_0" localSheetId="63">'317'!$H$79</definedName>
    <definedName name="OSRRefH22_6x_0" localSheetId="67">'321'!$H$46:$H$47</definedName>
    <definedName name="OSRRefH22_6x_0" localSheetId="68">'322'!$H$38</definedName>
    <definedName name="OSRRefH22_6x_0" localSheetId="69">'325'!$H$46</definedName>
    <definedName name="OSRRefH22_6x_0" localSheetId="59">'326'!$H$74</definedName>
    <definedName name="OSRRefH22_6x_0" localSheetId="52">'330'!$H$66</definedName>
    <definedName name="OSRRefH22_6x_0" localSheetId="57">'331'!$H$111</definedName>
    <definedName name="OSRRefH22_6x_0" localSheetId="60">'332'!$H$55:$H$56</definedName>
    <definedName name="OSRRefH22_6x_0" localSheetId="74">'405'!$H$47</definedName>
    <definedName name="OSRRefH22_6x_0" localSheetId="76">'411'!$H$44</definedName>
    <definedName name="OSRRefH22_6x_0" localSheetId="80">'415'!$H$47</definedName>
    <definedName name="OSRRefH22_6x_0" localSheetId="81">'418'!$H$44</definedName>
    <definedName name="OSRRefH22_6x_0" localSheetId="85">'425'!$H$39</definedName>
    <definedName name="OSRRefH22_6x_0" localSheetId="88">'430'!$H$40</definedName>
    <definedName name="OSRRefH22_6x_0" localSheetId="89">'433'!$H$49</definedName>
    <definedName name="OSRRefH22_6x_0" localSheetId="91">'444'!$H$49</definedName>
    <definedName name="OSRRefH22_6x_0" localSheetId="92">'450'!$H$49</definedName>
    <definedName name="OSRRefH22_6x_0" localSheetId="73">'491'!$H$51</definedName>
    <definedName name="OSRRefH22_6x_0" localSheetId="87">'492'!$H$50</definedName>
    <definedName name="OSRRefH22_6x_0" localSheetId="94">'501'!$H$47</definedName>
    <definedName name="OSRRefH22_6x_0" localSheetId="39">'Div 2'!$H$47</definedName>
    <definedName name="OSRRefH22_6x_0" localSheetId="47">'Div 3'!$H$158:$H$159</definedName>
    <definedName name="OSRRefH22_6x_0" localSheetId="71">'Div 4'!$H$54</definedName>
    <definedName name="OSRRefH22_6x_0" localSheetId="93">'Div 5'!$H$47</definedName>
    <definedName name="OSRRefH22_6x_0" localSheetId="62">'Div 6'!$H$79</definedName>
    <definedName name="OSRRefH22_6x_0" localSheetId="2">Summary!$H$185:$H$186</definedName>
    <definedName name="OSRRefH22_7x_0" localSheetId="41">'201'!$H$43</definedName>
    <definedName name="OSRRefH22_7x_0" localSheetId="42">'202'!$H$44:$H$46</definedName>
    <definedName name="OSRRefH22_7x_0" localSheetId="43">'203'!$H$47:$H$48</definedName>
    <definedName name="OSRRefH22_7x_0" localSheetId="44">'204'!$H$47:$H$48</definedName>
    <definedName name="OSRRefH22_7x_0" localSheetId="48">'300'!$H$156</definedName>
    <definedName name="OSRRefH22_7x_0" localSheetId="49">'300 &amp; 317'!$H$179</definedName>
    <definedName name="OSRRefH22_7x_0" localSheetId="50">'301'!$H$52</definedName>
    <definedName name="OSRRefH22_7x_0" localSheetId="53">'307'!$H$63</definedName>
    <definedName name="OSRRefH22_7x_0" localSheetId="54">'308'!$H$90</definedName>
    <definedName name="OSRRefH22_7x_0" localSheetId="64">'310'!$H$56</definedName>
    <definedName name="OSRRefH22_7x_0" localSheetId="72">'310 &amp; 491'!$H$61</definedName>
    <definedName name="OSRRefH22_7x_0" localSheetId="55">'311'!$H$90</definedName>
    <definedName name="OSRRefH22_7x_0" localSheetId="66">'313'!$H$46</definedName>
    <definedName name="OSRRefH22_7x_0" localSheetId="58">'315'!$H$114:$H$115</definedName>
    <definedName name="OSRRefH22_7x_0" localSheetId="61">'316'!$H$56</definedName>
    <definedName name="OSRRefH22_7x_0" localSheetId="63">'317'!$H$81</definedName>
    <definedName name="OSRRefH22_7x_0" localSheetId="67">'321'!$H$49</definedName>
    <definedName name="OSRRefH22_7x_0" localSheetId="68">'322'!$H$40</definedName>
    <definedName name="OSRRefH22_7x_0" localSheetId="69">'325'!$H$48</definedName>
    <definedName name="OSRRefH22_7x_0" localSheetId="59">'326'!$H$76</definedName>
    <definedName name="OSRRefH22_7x_0" localSheetId="52">'330'!$H$68</definedName>
    <definedName name="OSRRefH22_7x_0" localSheetId="57">'331'!$H$113</definedName>
    <definedName name="OSRRefH22_7x_0" localSheetId="60">'332'!$H$58</definedName>
    <definedName name="OSRRefH22_7x_0" localSheetId="74">'405'!$H$49</definedName>
    <definedName name="OSRRefH22_7x_0" localSheetId="76">'411'!$H$46</definedName>
    <definedName name="OSRRefH22_7x_0" localSheetId="80">'415'!$H$49</definedName>
    <definedName name="OSRRefH22_7x_0" localSheetId="81">'418'!$H$46</definedName>
    <definedName name="OSRRefH22_7x_0" localSheetId="85">'425'!$H$41</definedName>
    <definedName name="OSRRefH22_7x_0" localSheetId="88">'430'!$H$42</definedName>
    <definedName name="OSRRefH22_7x_0" localSheetId="89">'433'!$H$51</definedName>
    <definedName name="OSRRefH22_7x_0" localSheetId="91">'444'!$H$51</definedName>
    <definedName name="OSRRefH22_7x_0" localSheetId="92">'450'!$H$51</definedName>
    <definedName name="OSRRefH22_7x_0" localSheetId="73">'491'!$H$53</definedName>
    <definedName name="OSRRefH22_7x_0" localSheetId="87">'492'!$H$52</definedName>
    <definedName name="OSRRefH22_7x_0" localSheetId="94">'501'!$H$49:$H$50</definedName>
    <definedName name="OSRRefH22_7x_0" localSheetId="39">'Div 2'!$H$49</definedName>
    <definedName name="OSRRefH22_7x_0" localSheetId="47">'Div 3'!$H$161</definedName>
    <definedName name="OSRRefH22_7x_0" localSheetId="71">'Div 4'!$H$56</definedName>
    <definedName name="OSRRefH22_7x_0" localSheetId="93">'Div 5'!$H$49:$H$50</definedName>
    <definedName name="OSRRefH22_7x_0" localSheetId="62">'Div 6'!$H$81</definedName>
    <definedName name="OSRRefH22_7x_0" localSheetId="2">Summary!$H$188</definedName>
    <definedName name="OSRRefH22_8x_0" localSheetId="41">'201'!$H$45:$H$47</definedName>
    <definedName name="OSRRefH22_8x_0" localSheetId="42">'202'!$H$48</definedName>
    <definedName name="OSRRefH22_8x_0" localSheetId="43">'203'!$H$50:$H$51</definedName>
    <definedName name="OSRRefH22_8x_0" localSheetId="44">'204'!$H$50</definedName>
    <definedName name="OSRRefH22_8x_0" localSheetId="48">'300'!$H$158</definedName>
    <definedName name="OSRRefH22_8x_0" localSheetId="49">'300 &amp; 317'!$H$181</definedName>
    <definedName name="OSRRefH22_8x_0" localSheetId="50">'301'!$H$54</definedName>
    <definedName name="OSRRefH22_8x_0" localSheetId="53">'307'!$H$65:$H$66</definedName>
    <definedName name="OSRRefH22_8x_0" localSheetId="54">'308'!$H$92</definedName>
    <definedName name="OSRRefH22_8x_0" localSheetId="64">'310'!$H$58</definedName>
    <definedName name="OSRRefH22_8x_0" localSheetId="72">'310 &amp; 491'!$H$63:$H$64</definedName>
    <definedName name="OSRRefH22_8x_0" localSheetId="55">'311'!$H$92</definedName>
    <definedName name="OSRRefH22_8x_0" localSheetId="58">'315'!$H$117</definedName>
    <definedName name="OSRRefH22_8x_0" localSheetId="61">'316'!$H$58:$H$60</definedName>
    <definedName name="OSRRefH22_8x_0" localSheetId="63">'317'!$H$83:$H$85</definedName>
    <definedName name="OSRRefH22_8x_0" localSheetId="67">'321'!$H$51:$H$52</definedName>
    <definedName name="OSRRefH22_8x_0" localSheetId="69">'325'!$H$50</definedName>
    <definedName name="OSRRefH22_8x_0" localSheetId="59">'326'!$H$78</definedName>
    <definedName name="OSRRefH22_8x_0" localSheetId="52">'330'!$H$70:$H$71</definedName>
    <definedName name="OSRRefH22_8x_0" localSheetId="57">'331'!$H$115:$H$116</definedName>
    <definedName name="OSRRefH22_8x_0" localSheetId="60">'332'!$H$60:$H$62</definedName>
    <definedName name="OSRRefH22_8x_0" localSheetId="74">'405'!$H$51</definedName>
    <definedName name="OSRRefH22_8x_0" localSheetId="76">'411'!$H$48</definedName>
    <definedName name="OSRRefH22_8x_0" localSheetId="80">'415'!$H$51</definedName>
    <definedName name="OSRRefH22_8x_0" localSheetId="81">'418'!$H$48:$H$49</definedName>
    <definedName name="OSRRefH22_8x_0" localSheetId="85">'425'!$H$43</definedName>
    <definedName name="OSRRefH22_8x_0" localSheetId="88">'430'!$H$44</definedName>
    <definedName name="OSRRefH22_8x_0" localSheetId="89">'433'!$H$53</definedName>
    <definedName name="OSRRefH22_8x_0" localSheetId="91">'444'!$H$53</definedName>
    <definedName name="OSRRefH22_8x_0" localSheetId="92">'450'!$H$53</definedName>
    <definedName name="OSRRefH22_8x_0" localSheetId="73">'491'!$H$55</definedName>
    <definedName name="OSRRefH22_8x_0" localSheetId="87">'492'!$H$54</definedName>
    <definedName name="OSRRefH22_8x_0" localSheetId="94">'501'!$H$52:$H$53</definedName>
    <definedName name="OSRRefH22_8x_0" localSheetId="39">'Div 2'!$H$51</definedName>
    <definedName name="OSRRefH22_8x_0" localSheetId="47">'Div 3'!$H$163</definedName>
    <definedName name="OSRRefH22_8x_0" localSheetId="71">'Div 4'!$H$58</definedName>
    <definedName name="OSRRefH22_8x_0" localSheetId="93">'Div 5'!$H$52:$H$53</definedName>
    <definedName name="OSRRefH22_8x_0" localSheetId="62">'Div 6'!$H$83:$H$85</definedName>
    <definedName name="OSRRefH22_8x_0" localSheetId="2">Summary!$H$190</definedName>
    <definedName name="OSRRefH22_9x_0" localSheetId="41">'201'!$H$49:$H$50</definedName>
    <definedName name="OSRRefH22_9x_0" localSheetId="42">'202'!$H$50:$H$51</definedName>
    <definedName name="OSRRefH22_9x_0" localSheetId="43">'203'!$H$53</definedName>
    <definedName name="OSRRefH22_9x_0" localSheetId="48">'300'!$H$160</definedName>
    <definedName name="OSRRefH22_9x_0" localSheetId="49">'300 &amp; 317'!$H$183</definedName>
    <definedName name="OSRRefH22_9x_0" localSheetId="50">'301'!$H$56</definedName>
    <definedName name="OSRRefH22_9x_0" localSheetId="53">'307'!$H$68:$H$69</definedName>
    <definedName name="OSRRefH22_9x_0" localSheetId="54">'308'!$H$94:$H$96</definedName>
    <definedName name="OSRRefH22_9x_0" localSheetId="64">'310'!$H$60</definedName>
    <definedName name="OSRRefH22_9x_0" localSheetId="72">'310 &amp; 491'!$H$66</definedName>
    <definedName name="OSRRefH22_9x_0" localSheetId="55">'311'!$H$94:$H$96</definedName>
    <definedName name="OSRRefH22_9x_0" localSheetId="58">'315'!$H$119:$H$120</definedName>
    <definedName name="OSRRefH22_9x_0" localSheetId="61">'316'!$H$62</definedName>
    <definedName name="OSRRefH22_9x_0" localSheetId="63">'317'!$H$87</definedName>
    <definedName name="OSRRefH22_9x_0" localSheetId="67">'321'!$H$54:$H$58</definedName>
    <definedName name="OSRRefH22_9x_0" localSheetId="69">'325'!$H$52</definedName>
    <definedName name="OSRRefH22_9x_0" localSheetId="59">'326'!$H$80</definedName>
    <definedName name="OSRRefH22_9x_0" localSheetId="52">'330'!$H$73:$H$74</definedName>
    <definedName name="OSRRefH22_9x_0" localSheetId="57">'331'!$H$118</definedName>
    <definedName name="OSRRefH22_9x_0" localSheetId="60">'332'!$H$64</definedName>
    <definedName name="OSRRefH22_9x_0" localSheetId="74">'405'!$H$53</definedName>
    <definedName name="OSRRefH22_9x_0" localSheetId="76">'411'!$H$50:$H$52</definedName>
    <definedName name="OSRRefH22_9x_0" localSheetId="80">'415'!$H$53</definedName>
    <definedName name="OSRRefH22_9x_0" localSheetId="81">'418'!$H$51</definedName>
    <definedName name="OSRRefH22_9x_0" localSheetId="89">'433'!$H$55</definedName>
    <definedName name="OSRRefH22_9x_0" localSheetId="91">'444'!$H$55</definedName>
    <definedName name="OSRRefH22_9x_0" localSheetId="92">'450'!$H$55</definedName>
    <definedName name="OSRRefH22_9x_0" localSheetId="73">'491'!$H$57</definedName>
    <definedName name="OSRRefH22_9x_0" localSheetId="87">'492'!$H$56</definedName>
    <definedName name="OSRRefH22_9x_0" localSheetId="94">'501'!$H$55</definedName>
    <definedName name="OSRRefH22_9x_0" localSheetId="39">'Div 2'!$H$53:$H$54</definedName>
    <definedName name="OSRRefH22_9x_0" localSheetId="47">'Div 3'!$H$165</definedName>
    <definedName name="OSRRefH22_9x_0" localSheetId="71">'Div 4'!$H$60</definedName>
    <definedName name="OSRRefH22_9x_0" localSheetId="93">'Div 5'!$H$55</definedName>
    <definedName name="OSRRefH22_9x_0" localSheetId="62">'Div 6'!$H$87</definedName>
    <definedName name="OSRRefH22_9x_0" localSheetId="2">Summary!$H$192</definedName>
    <definedName name="OSRRefH22x_0" localSheetId="40">'200'!$H$20,'200'!$H$22,'200'!$H$24,'200'!$H$26</definedName>
    <definedName name="OSRRefH22x_0" localSheetId="41">'201'!$H$20:$H$27,'201'!$H$29:$H$31,'201'!$H$33,'201'!$H$35,'201'!$H$37,'201'!$H$39,'201'!$H$41,'201'!$H$43,'201'!$H$45:$H$47,'201'!$H$49:$H$50,'201'!$H$52,'201'!$H$54:$H$55,'201'!$H$57,'201'!$H$59</definedName>
    <definedName name="OSRRefH22x_0" localSheetId="42">'202'!$H$20:$H$27,'202'!$H$29:$H$31,'202'!$H$33,'202'!$H$35,'202'!$H$37,'202'!$H$39:$H$40,'202'!$H$42,'202'!$H$44:$H$46,'202'!$H$48,'202'!$H$50:$H$51,'202'!$H$53,'202'!$H$55,'202'!$H$57</definedName>
    <definedName name="OSRRefH22x_0" localSheetId="43">'203'!$H$20:$H$29,'203'!$H$31:$H$35,'203'!$H$37,'203'!$H$39,'203'!$H$41,'203'!$H$43,'203'!$H$45,'203'!$H$47:$H$48,'203'!$H$50:$H$51,'203'!$H$53,'203'!$H$55:$H$58,'203'!$H$60,'203'!$H$62,'203'!$H$64</definedName>
    <definedName name="OSRRefH22x_0" localSheetId="44">'204'!$H$20:$H$28,'204'!$H$30:$H$32,'204'!$H$34,'204'!$H$36,'204'!$H$38,'204'!$H$40:$H$43,'204'!$H$45,'204'!$H$47:$H$48,'204'!$H$50</definedName>
    <definedName name="OSRRefH22x_0" localSheetId="45">'205'!$H$20:$H$27,'205'!$H$29,'205'!$H$31,'205'!$H$33,'205'!$H$35:$H$36,'205'!$H$38:$H$40,'205'!$H$42</definedName>
    <definedName name="OSRRefH22x_0" localSheetId="46">'206'!$H$20:$H$26,'206'!$H$28:$H$30,'206'!$H$32,'206'!$H$34,'206'!$H$36,'206'!$H$38,'206'!$H$40</definedName>
    <definedName name="OSRRefH22x_0" localSheetId="48">'300'!$H$125:$H$134,'300'!$H$136:$H$142,'300'!$H$144,'300'!$H$146,'300'!$H$148,'300'!$H$150:$H$151,'300'!$H$153:$H$154,'300'!$H$156,'300'!$H$158,'300'!$H$160,'300'!$H$162:$H$163,'300'!$H$165,'300'!$H$167,'300'!$H$169:$H$170,'300'!$H$172,'300'!$H$174,'300'!$H$176:$H$179,'300'!$H$181:$H$183,'300'!$H$185:$H$188,'300'!$H$190:$H$191,'300'!$H$193:$H$199,'300'!$H$201:$H$202,'300'!$H$204,'300'!$H$206:$H$208,'300'!$H$210</definedName>
    <definedName name="OSRRefH22x_0" localSheetId="49">'300 &amp; 317'!$H$148:$H$157,'300 &amp; 317'!$H$159:$H$165,'300 &amp; 317'!$H$167,'300 &amp; 317'!$H$169,'300 &amp; 317'!$H$171,'300 &amp; 317'!$H$173:$H$174,'300 &amp; 317'!$H$176:$H$177,'300 &amp; 317'!$H$179,'300 &amp; 317'!$H$181,'300 &amp; 317'!$H$183,'300 &amp; 317'!$H$185:$H$186,'300 &amp; 317'!$H$188,'300 &amp; 317'!$H$190,'300 &amp; 317'!$H$192:$H$193,'300 &amp; 317'!$H$195,'300 &amp; 317'!$H$197,'300 &amp; 317'!$H$199:$H$202,'300 &amp; 317'!$H$204:$H$206,'300 &amp; 317'!$H$208:$H$211,'300 &amp; 317'!$H$213:$H$214,'300 &amp; 317'!$H$216:$H$222,'300 &amp; 317'!$H$224:$H$225,'300 &amp; 317'!$H$227,'300 &amp; 317'!$H$229:$H$231,'300 &amp; 317'!$H$233</definedName>
    <definedName name="OSRRefH22x_0" localSheetId="50">'301'!$H$21:$H$30,'301'!$H$32:$H$38,'301'!$H$40,'301'!$H$42,'301'!$H$44,'301'!$H$46:$H$47,'301'!$H$49:$H$50,'301'!$H$52,'301'!$H$54,'301'!$H$56,'301'!$H$58,'301'!$H$60,'301'!$H$62,'301'!$H$64,'301'!$H$66,'301'!$H$68:$H$71,'301'!$H$73:$H$75,'301'!$H$77,'301'!$H$79:$H$84,'301'!$H$86,'301'!$H$88,'301'!$H$90:$H$91,'301'!$H$93</definedName>
    <definedName name="OSRRefH22x_0" localSheetId="51">'306'!$H$20:$H$23,'306'!$H$25:$H$26,'306'!$H$28,'306'!$H$30,'306'!$H$32,'306'!$H$34</definedName>
    <definedName name="OSRRefH22x_0" localSheetId="53">'307'!$H$43:$H$45,'307'!$H$47:$H$50,'307'!$H$52,'307'!$H$54,'307'!$H$56:$H$57,'307'!$H$59,'307'!$H$61,'307'!$H$63,'307'!$H$65:$H$66,'307'!$H$68:$H$69,'307'!$H$71:$H$74,'307'!$H$76,'307'!$H$78</definedName>
    <definedName name="OSRRefH22x_0" localSheetId="54">'308'!$H$61:$H$69,'308'!$H$71:$H$77,'308'!$H$79,'308'!$H$81,'308'!$H$83,'308'!$H$85,'308'!$H$87:$H$88,'308'!$H$90,'308'!$H$92,'308'!$H$94:$H$96,'308'!$H$98,'308'!$H$100:$H$101,'308'!$H$103:$H$104,'308'!$H$106</definedName>
    <definedName name="OSRRefH22x_0" localSheetId="65">'309'!$H$20,'309'!$H$22,'309'!$H$24,'309'!$H$26:$H$27,'309'!$H$29:$H$30,'309'!$H$32,'309'!$H$34</definedName>
    <definedName name="OSRRefH22x_0" localSheetId="64">'310'!$H$31:$H$38,'310'!$H$40:$H$43,'310'!$H$45,'310'!$H$47,'310'!$H$49,'310'!$H$51:$H$52,'310'!$H$54,'310'!$H$56,'310'!$H$58,'310'!$H$60,'310'!$H$62,'310'!$H$64:$H$65,'310'!$H$67,'310'!$H$69:$H$72,'310'!$H$74:$H$78,'310'!$H$80,'310'!$H$82</definedName>
    <definedName name="OSRRefH22x_0" localSheetId="72">'310 &amp; 491'!$H$35:$H$42,'310 &amp; 491'!$H$44:$H$48,'310 &amp; 491'!$H$50,'310 &amp; 491'!$H$52,'310 &amp; 491'!$H$54,'310 &amp; 491'!$H$56:$H$57,'310 &amp; 491'!$H$59,'310 &amp; 491'!$H$61,'310 &amp; 491'!$H$63:$H$64,'310 &amp; 491'!$H$66,'310 &amp; 491'!$H$68,'310 &amp; 491'!$H$70,'310 &amp; 491'!$H$72,'310 &amp; 491'!$H$74:$H$76,'310 &amp; 491'!$H$78,'310 &amp; 491'!$H$80:$H$83,'310 &amp; 491'!$H$85,'310 &amp; 491'!$H$87:$H$95,'310 &amp; 491'!$H$97,'310 &amp; 491'!$H$99,'310 &amp; 491'!$H$101:$H$102,'310 &amp; 491'!$H$104</definedName>
    <definedName name="OSRRefH22x_0" localSheetId="55">'311'!$H$61:$H$69,'311'!$H$71:$H$77,'311'!$H$79,'311'!$H$81,'311'!$H$83,'311'!$H$85,'311'!$H$87:$H$88,'311'!$H$90,'311'!$H$92,'311'!$H$94:$H$96,'311'!$H$98,'311'!$H$100:$H$101,'311'!$H$103:$H$104,'311'!$H$106</definedName>
    <definedName name="OSRRefH22x_0" localSheetId="66">'313'!$H$25:$H$32,'313'!$H$34,'313'!$H$36,'313'!$H$38,'313'!$H$40,'313'!$H$42,'313'!$H$44,'313'!$H$46</definedName>
    <definedName name="OSRRefH22x_0" localSheetId="58">'315'!$H$87:$H$94,'315'!$H$96:$H$100,'315'!$H$102,'315'!$H$104:$H$105,'315'!$H$107,'315'!$H$109,'315'!$H$111:$H$112,'315'!$H$114:$H$115,'315'!$H$117,'315'!$H$119:$H$120,'315'!$H$122:$H$123,'315'!$H$125:$H$126,'315'!$H$128:$H$131,'315'!$H$133,'315'!$H$135</definedName>
    <definedName name="OSRRefH22x_0" localSheetId="61">'316'!$H$32:$H$39,'316'!$H$41:$H$43,'316'!$H$45,'316'!$H$47,'316'!$H$49,'316'!$H$51,'316'!$H$53:$H$54,'316'!$H$56,'316'!$H$58:$H$60,'316'!$H$62,'316'!$H$64:$H$68,'316'!$H$70,'316'!$H$72</definedName>
    <definedName name="OSRRefH22x_0" localSheetId="63">'317'!$H$54:$H$62,'317'!$H$64:$H$68,'317'!$H$70,'317'!$H$72,'317'!$H$74,'317'!$H$76:$H$77,'317'!$H$79,'317'!$H$81,'317'!$H$83:$H$85,'317'!$H$87,'317'!$H$89</definedName>
    <definedName name="OSRRefH22x_0" localSheetId="67">'321'!$H$24:$H$31,'321'!$H$33:$H$36,'321'!$H$38,'321'!$H$40,'321'!$H$42,'321'!$H$44,'321'!$H$46:$H$47,'321'!$H$49,'321'!$H$51:$H$52,'321'!$H$54:$H$58,'321'!$H$60,'321'!$H$62</definedName>
    <definedName name="OSRRefH22x_0" localSheetId="68">'322'!$H$21:$H$25,'322'!$H$27,'322'!$H$29,'322'!$H$31,'322'!$H$33:$H$34,'322'!$H$36,'322'!$H$38,'322'!$H$40</definedName>
    <definedName name="OSRRefH22x_0" localSheetId="69">'325'!$H$24:$H$31,'325'!$H$33:$H$35,'325'!$H$37,'325'!$H$39,'325'!$H$41,'325'!$H$43:$H$44,'325'!$H$46,'325'!$H$48,'325'!$H$50,'325'!$H$52,'325'!$H$54:$H$55,'325'!$H$57:$H$60,'325'!$H$62:$H$65,'325'!$H$67,'325'!$H$69</definedName>
    <definedName name="OSRRefH22x_0" localSheetId="59">'326'!$H$51:$H$58,'326'!$H$60:$H$64,'326'!$H$66,'326'!$H$68,'326'!$H$70,'326'!$H$72,'326'!$H$74,'326'!$H$76,'326'!$H$78,'326'!$H$80,'326'!$H$82,'326'!$H$84:$H$86,'326'!$H$88:$H$90,'326'!$H$92:$H$93,'326'!$H$95:$H$98,'326'!$H$100,'326'!$H$102,'326'!$H$104</definedName>
    <definedName name="OSRRefH22x_0" localSheetId="70">'327'!$H$24</definedName>
    <definedName name="OSRRefH22x_0" localSheetId="52">'330'!$H$46:$H$49,'330'!$H$51:$H$54,'330'!$H$56,'330'!$H$58,'330'!$H$60:$H$61,'330'!$H$63:$H$64,'330'!$H$66,'330'!$H$68,'330'!$H$70:$H$71,'330'!$H$73:$H$74,'330'!$H$76:$H$79,'330'!$H$81,'330'!$H$83</definedName>
    <definedName name="OSRRefH22x_0" localSheetId="57">'331'!$H$87:$H$94,'331'!$H$96:$H$100,'331'!$H$102,'331'!$H$104,'331'!$H$106,'331'!$H$108:$H$109,'331'!$H$111,'331'!$H$113,'331'!$H$115:$H$116,'331'!$H$118,'331'!$H$120,'331'!$H$122:$H$123,'331'!$H$125,'331'!$H$127,'331'!$H$129:$H$131,'331'!$H$133:$H$134,'331'!$H$136:$H$138,'331'!$H$140:$H$141,'331'!$H$143:$H$147,'331'!$H$149,'331'!$H$151,'331'!$H$153</definedName>
    <definedName name="OSRRefH22x_0" localSheetId="60">'332'!$H$34:$H$41,'332'!$H$43:$H$45,'332'!$H$47,'332'!$H$49,'332'!$H$51,'332'!$H$53,'332'!$H$55:$H$56,'332'!$H$58,'332'!$H$60:$H$62,'332'!$H$64,'332'!$H$66:$H$70,'332'!$H$72,'332'!$H$74</definedName>
    <definedName name="OSRRefH22x_0" localSheetId="74">'405'!$H$24:$H$31,'405'!$H$33:$H$36,'405'!$H$38,'405'!$H$40,'405'!$H$42,'405'!$H$44:$H$45,'405'!$H$47,'405'!$H$49,'405'!$H$51,'405'!$H$53,'405'!$H$55:$H$56,'405'!$H$58:$H$61,'405'!$H$63,'405'!$H$65:$H$72,'405'!$H$74,'405'!$H$76</definedName>
    <definedName name="OSRRefH22x_0" localSheetId="75">'406'!$H$20,'406'!$H$22,'406'!$H$24,'406'!$H$26,'406'!$H$28</definedName>
    <definedName name="OSRRefH22x_0" localSheetId="76">'411'!$H$20:$H$27,'411'!$H$29:$H$33,'411'!$H$35,'411'!$H$37:$H$38,'411'!$H$40,'411'!$H$42,'411'!$H$44,'411'!$H$46,'411'!$H$48,'411'!$H$50:$H$52,'411'!$H$54:$H$56,'411'!$H$58:$H$59,'411'!$H$61,'411'!$H$63:$H$64,'411'!$H$66</definedName>
    <definedName name="OSRRefH22x_0" localSheetId="77">'412'!$H$20,'412'!$H$22,'412'!$H$24:$H$25,'412'!$H$27,'412'!$H$29</definedName>
    <definedName name="OSRRefH22x_0" localSheetId="78">'413'!$H$20:$H$24,'413'!$H$26,'413'!$H$28,'413'!$H$30,'413'!$H$32,'413'!$H$34</definedName>
    <definedName name="OSRRefH22x_0" localSheetId="79">'414'!$H$21,'414'!$H$23,'414'!$H$25,'414'!$H$27,'414'!$H$29:$H$30</definedName>
    <definedName name="OSRRefH22x_0" localSheetId="80">'415'!$H$24:$H$31,'415'!$H$33:$H$36,'415'!$H$38,'415'!$H$40,'415'!$H$42,'415'!$H$44:$H$45,'415'!$H$47,'415'!$H$49,'415'!$H$51,'415'!$H$53,'415'!$H$55,'415'!$H$57:$H$58,'415'!$H$60:$H$63,'415'!$H$65,'415'!$H$67:$H$72,'415'!$H$74,'415'!$H$76,'415'!$H$78</definedName>
    <definedName name="OSRRefH22x_0" localSheetId="81">'418'!$H$21:$H$28,'418'!$H$30:$H$33,'418'!$H$35,'418'!$H$37,'418'!$H$39:$H$40,'418'!$H$42,'418'!$H$44,'418'!$H$46,'418'!$H$48:$H$49,'418'!$H$51,'418'!$H$53,'418'!$H$55:$H$59,'418'!$H$61</definedName>
    <definedName name="OSRRefH22x_0" localSheetId="82">'420'!$H$21</definedName>
    <definedName name="OSRRefH22x_0" localSheetId="83">'423'!$H$20:$H$21,'423'!$H$23,'423'!$H$25,'423'!$H$27</definedName>
    <definedName name="OSRRefH22x_0" localSheetId="84">'424'!$H$20,'424'!$H$22,'424'!$H$24,'424'!$H$26</definedName>
    <definedName name="OSRRefH22x_0" localSheetId="85">'425'!$H$22:$H$26,'425'!$H$28,'425'!$H$30,'425'!$H$32,'425'!$H$34,'425'!$H$36:$H$37,'425'!$H$39,'425'!$H$41,'425'!$H$43</definedName>
    <definedName name="OSRRefH22x_0" localSheetId="88">'430'!$H$20:$H$27,'430'!$H$29,'430'!$H$31,'430'!$H$33,'430'!$H$35,'430'!$H$37:$H$38,'430'!$H$40,'430'!$H$42,'430'!$H$44</definedName>
    <definedName name="OSRRefH22x_0" localSheetId="89">'433'!$H$25:$H$33,'433'!$H$35:$H$39,'433'!$H$41,'433'!$H$43,'433'!$H$45,'433'!$H$47,'433'!$H$49,'433'!$H$51,'433'!$H$53,'433'!$H$55,'433'!$H$57,'433'!$H$59:$H$60,'433'!$H$62:$H$64,'433'!$H$66:$H$73,'433'!$H$75</definedName>
    <definedName name="OSRRefH22x_0" localSheetId="90">'435'!$H$20</definedName>
    <definedName name="OSRRefH22x_0" localSheetId="91">'444'!$H$25:$H$33,'444'!$H$35:$H$39,'444'!$H$41,'444'!$H$43,'444'!$H$45,'444'!$H$47,'444'!$H$49,'444'!$H$51,'444'!$H$53,'444'!$H$55,'444'!$H$57,'444'!$H$59:$H$60,'444'!$H$62:$H$65,'444'!$H$67,'444'!$H$69:$H$76,'444'!$H$78,'444'!$H$80</definedName>
    <definedName name="OSRRefH22x_0" localSheetId="92">'450'!$H$25:$H$33,'450'!$H$35:$H$39,'450'!$H$41,'450'!$H$43,'450'!$H$45,'450'!$H$47,'450'!$H$49,'450'!$H$51,'450'!$H$53,'450'!$H$55,'450'!$H$57,'450'!$H$59,'450'!$H$61:$H$62,'450'!$H$64:$H$66,'450'!$H$68:$H$73,'450'!$H$75,'450'!$H$77</definedName>
    <definedName name="OSRRefH22x_0" localSheetId="73">'491'!$H$27:$H$34,'491'!$H$36:$H$40,'491'!$H$42,'491'!$H$44,'491'!$H$46,'491'!$H$48:$H$49,'491'!$H$51,'491'!$H$53,'491'!$H$55,'491'!$H$57,'491'!$H$59,'491'!$H$61,'491'!$H$63,'491'!$H$65:$H$67,'491'!$H$69,'491'!$H$71:$H$74,'491'!$H$76,'491'!$H$78:$H$86,'491'!$H$88,'491'!$H$90,'491'!$H$92:$H$93,'491'!$H$95</definedName>
    <definedName name="OSRRefH22x_0" localSheetId="87">'492'!$H$25:$H$33,'492'!$H$35:$H$40,'492'!$H$42,'492'!$H$44,'492'!$H$46,'492'!$H$48,'492'!$H$50,'492'!$H$52,'492'!$H$54,'492'!$H$56,'492'!$H$58,'492'!$H$60,'492'!$H$62:$H$64,'492'!$H$66:$H$69,'492'!$H$71,'492'!$H$73:$H$80,'492'!$H$82,'492'!$H$84,'492'!$H$86:$H$87</definedName>
    <definedName name="OSRRefH22x_0" localSheetId="94">'501'!$H$21:$H$29,'501'!$H$31:$H$36,'501'!$H$38,'501'!$H$40,'501'!$H$42:$H$43,'501'!$H$45,'501'!$H$47,'501'!$H$49:$H$50,'501'!$H$52:$H$53,'501'!$H$55,'501'!$H$57</definedName>
    <definedName name="OSRRefH22x_0" localSheetId="39">'Div 2'!$H$20:$H$30,'Div 2'!$H$32:$H$37,'Div 2'!$H$39,'Div 2'!$H$41,'Div 2'!$H$43,'Div 2'!$H$45,'Div 2'!$H$47,'Div 2'!$H$49,'Div 2'!$H$51,'Div 2'!$H$53:$H$54,'Div 2'!$H$56,'Div 2'!$H$58,'Div 2'!$H$60:$H$62,'Div 2'!$H$64:$H$67,'Div 2'!$H$69,'Div 2'!$H$71,'Div 2'!$H$73:$H$77,'Div 2'!$H$79:$H$80,'Div 2'!$H$82,'Div 2'!$H$84:$H$85</definedName>
    <definedName name="OSRRefH22x_0" localSheetId="47">'Div 3'!$H$130:$H$139,'Div 3'!$H$141:$H$147,'Div 3'!$H$149,'Div 3'!$H$151,'Div 3'!$H$153,'Div 3'!$H$155:$H$156,'Div 3'!$H$158:$H$159,'Div 3'!$H$161,'Div 3'!$H$163,'Div 3'!$H$165,'Div 3'!$H$167:$H$168,'Div 3'!$H$170,'Div 3'!$H$172,'Div 3'!$H$174,'Div 3'!$H$176:$H$177,'Div 3'!$H$179,'Div 3'!$H$181,'Div 3'!$H$183:$H$186,'Div 3'!$H$188:$H$190,'Div 3'!$H$192:$H$196,'Div 3'!$H$198:$H$199,'Div 3'!$H$201:$H$207,'Div 3'!$H$209:$H$210,'Div 3'!$H$212,'Div 3'!$H$214:$H$216,'Div 3'!$H$218</definedName>
    <definedName name="OSRRefH22x_0" localSheetId="71">'Div 4'!$H$28:$H$36,'Div 4'!$H$38:$H$43,'Div 4'!$H$45,'Div 4'!$H$47,'Div 4'!$H$49,'Div 4'!$H$51:$H$52,'Div 4'!$H$54,'Div 4'!$H$56,'Div 4'!$H$58,'Div 4'!$H$60,'Div 4'!$H$62,'Div 4'!$H$64,'Div 4'!$H$66,'Div 4'!$H$68,'Div 4'!$H$70,'Div 4'!$H$72:$H$74,'Div 4'!$H$76,'Div 4'!$H$78:$H$81,'Div 4'!$H$83:$H$84,'Div 4'!$H$86:$H$94,'Div 4'!$H$96,'Div 4'!$H$98,'Div 4'!$H$100:$H$101,'Div 4'!$H$103</definedName>
    <definedName name="OSRRefH22x_0" localSheetId="93">'Div 5'!$H$21:$H$29,'Div 5'!$H$31:$H$36,'Div 5'!$H$38,'Div 5'!$H$40,'Div 5'!$H$42:$H$43,'Div 5'!$H$45,'Div 5'!$H$47,'Div 5'!$H$49:$H$50,'Div 5'!$H$52:$H$53,'Div 5'!$H$55,'Div 5'!$H$57</definedName>
    <definedName name="OSRRefH22x_0" localSheetId="62">'Div 6'!$H$54:$H$62,'Div 6'!$H$64:$H$68,'Div 6'!$H$70,'Div 6'!$H$72,'Div 6'!$H$74,'Div 6'!$H$76:$H$77,'Div 6'!$H$79,'Div 6'!$H$81,'Div 6'!$H$83:$H$85,'Div 6'!$H$87,'Div 6'!$H$89</definedName>
    <definedName name="OSRRefH22x_0" localSheetId="2">Summary!$H$157:$H$166,Summary!$H$168:$H$174,Summary!$H$176,Summary!$H$178,Summary!$H$180,Summary!$H$182:$H$183,Summary!$H$185:$H$186,Summary!$H$188,Summary!$H$190,Summary!$H$192,Summary!$H$194:$H$195,Summary!$H$197,Summary!$H$199,Summary!$H$201,Summary!$H$203:$H$204,Summary!$H$206,Summary!$H$208,Summary!$H$210,Summary!$H$212:$H$215,Summary!$H$217:$H$219,Summary!$H$221:$H$225,Summary!$H$227:$H$228,Summary!$H$230:$H$238,Summary!$H$240:$H$241,Summary!$H$243,Summary!$H$245:$H$247,Summary!$H$249</definedName>
    <definedName name="OSRRefH25x_0" localSheetId="48">'300'!$H$213:$H$216</definedName>
    <definedName name="OSRRefH25x_0" localSheetId="49">'300 &amp; 317'!$H$236:$H$241</definedName>
    <definedName name="OSRRefH25x_0" localSheetId="50">'301'!$H$96</definedName>
    <definedName name="OSRRefH25x_0" localSheetId="54">'308'!$H$109:$H$111</definedName>
    <definedName name="OSRRefH25x_0" localSheetId="72">'310 &amp; 491'!$H$107:$H$109</definedName>
    <definedName name="OSRRefH25x_0" localSheetId="55">'311'!$H$109:$H$111</definedName>
    <definedName name="OSRRefH25x_0" localSheetId="58">'315'!$H$138:$H$139</definedName>
    <definedName name="OSRRefH25x_0" localSheetId="61">'316'!$H$75</definedName>
    <definedName name="OSRRefH25x_0" localSheetId="63">'317'!$H$92:$H$94</definedName>
    <definedName name="OSRRefH25x_0" localSheetId="57">'331'!$H$156:$H$157</definedName>
    <definedName name="OSRRefH25x_0" localSheetId="60">'332'!$H$77:$H$78</definedName>
    <definedName name="OSRRefH25x_0" localSheetId="74">'405'!$H$79</definedName>
    <definedName name="OSRRefH25x_0" localSheetId="76">'411'!$H$69:$H$70</definedName>
    <definedName name="OSRRefH25x_0" localSheetId="80">'415'!$H$81</definedName>
    <definedName name="OSRRefH25x_0" localSheetId="81">'418'!$H$64</definedName>
    <definedName name="OSRRefH25x_0" localSheetId="83">'423'!$H$30</definedName>
    <definedName name="OSRRefH25x_0" localSheetId="86">'455'!$H$21:$H$22</definedName>
    <definedName name="OSRRefH25x_0" localSheetId="73">'491'!$H$98:$H$100</definedName>
    <definedName name="OSRRefH25x_0" localSheetId="94">'501'!$H$60</definedName>
    <definedName name="OSRRefH25x_0" localSheetId="47">'Div 3'!$H$221:$H$224</definedName>
    <definedName name="OSRRefH25x_0" localSheetId="71">'Div 4'!$H$106:$H$108</definedName>
    <definedName name="OSRRefH25x_0" localSheetId="93">'Div 5'!$H$60</definedName>
    <definedName name="OSRRefH25x_0" localSheetId="62">'Div 6'!$H$92:$H$94</definedName>
    <definedName name="OSRRefH25x_0" localSheetId="2">Summary!$H$252:$H$259</definedName>
    <definedName name="OSRRefP13x_0" localSheetId="48">'300'!$P$13:$P$77</definedName>
    <definedName name="OSRRefP13x_0" localSheetId="49">'300 &amp; 317'!$P$13:$P$91</definedName>
    <definedName name="OSRRefP13x_0" localSheetId="53">'307'!$P$13:$P$25</definedName>
    <definedName name="OSRRefP13x_0" localSheetId="54">'308'!$P$13:$P$36</definedName>
    <definedName name="OSRRefP13x_0" localSheetId="64">'310'!$P$13:$P$21</definedName>
    <definedName name="OSRRefP13x_0" localSheetId="72">'310 &amp; 491'!$P$13:$P$25</definedName>
    <definedName name="OSRRefP13x_0" localSheetId="55">'311'!$P$13:$P$36</definedName>
    <definedName name="OSRRefP13x_0" localSheetId="66">'313'!$P$13:$P$16</definedName>
    <definedName name="OSRRefP13x_0" localSheetId="58">'315'!$P$13:$P$54</definedName>
    <definedName name="OSRRefP13x_0" localSheetId="61">'316'!$P$13:$P$23</definedName>
    <definedName name="OSRRefP13x_0" localSheetId="63">'317'!$P$13:$P$33</definedName>
    <definedName name="OSRRefP13x_0" localSheetId="67">'321'!$P$13:$P$14</definedName>
    <definedName name="OSRRefP13x_0" localSheetId="56">'324'!$P$13:$P$16</definedName>
    <definedName name="OSRRefP13x_0" localSheetId="69">'325'!$P$13:$P$14</definedName>
    <definedName name="OSRRefP13x_0" localSheetId="59">'326'!$P$13:$P$36</definedName>
    <definedName name="OSRRefP13x_0" localSheetId="70">'327'!$P$13:$P$14</definedName>
    <definedName name="OSRRefP13x_0" localSheetId="52">'330'!$P$13:$P$28</definedName>
    <definedName name="OSRRefP13x_0" localSheetId="57">'331'!$P$13:$P$54</definedName>
    <definedName name="OSRRefP13x_0" localSheetId="60">'332'!$P$13:$P$23</definedName>
    <definedName name="OSRRefP13x_0" localSheetId="74">'405'!$P$13:$P$14</definedName>
    <definedName name="OSRRefP13x_0" localSheetId="79">'414'!$P$13</definedName>
    <definedName name="OSRRefP13x_0" localSheetId="80">'415'!$P$13:$P$14</definedName>
    <definedName name="OSRRefP13x_0" localSheetId="82">'420'!$P$13</definedName>
    <definedName name="OSRRefP13x_0" localSheetId="85">'425'!$P$13</definedName>
    <definedName name="OSRRefP13x_0" localSheetId="89">'433'!$P$13:$P$15</definedName>
    <definedName name="OSRRefP13x_0" localSheetId="91">'444'!$P$13:$P$15</definedName>
    <definedName name="OSRRefP13x_0" localSheetId="92">'450'!$P$13:$P$15</definedName>
    <definedName name="OSRRefP13x_0" localSheetId="73">'491'!$P$13:$P$17</definedName>
    <definedName name="OSRRefP13x_0" localSheetId="87">'492'!$P$13:$P$15</definedName>
    <definedName name="OSRRefP13x_0" localSheetId="94">'501'!$P$13</definedName>
    <definedName name="OSRRefP13x_0" localSheetId="47">'Div 3'!$P$13:$P$80</definedName>
    <definedName name="OSRRefP13x_0" localSheetId="71">'Div 4'!$P$13:$P$18</definedName>
    <definedName name="OSRRefP13x_0" localSheetId="93">'Div 5'!$P$13</definedName>
    <definedName name="OSRRefP13x_0" localSheetId="62">'Div 6'!$P$13:$P$33</definedName>
    <definedName name="OSRRefP13x_0" localSheetId="2">Summary!$P$13:$P$98</definedName>
    <definedName name="OSRRefP16x_0" localSheetId="48">'300'!$P$80:$P$119</definedName>
    <definedName name="OSRRefP16x_0" localSheetId="49">'300 &amp; 317'!$P$94:$P$142</definedName>
    <definedName name="OSRRefP16x_0" localSheetId="50">'301'!$P$15</definedName>
    <definedName name="OSRRefP16x_0" localSheetId="53">'307'!$P$28:$P$37</definedName>
    <definedName name="OSRRefP16x_0" localSheetId="54">'308'!$P$39:$P$55</definedName>
    <definedName name="OSRRefP16x_0" localSheetId="64">'310'!$P$24:$P$25</definedName>
    <definedName name="OSRRefP16x_0" localSheetId="72">'310 &amp; 491'!$P$28:$P$29</definedName>
    <definedName name="OSRRefP16x_0" localSheetId="55">'311'!$P$39:$P$55</definedName>
    <definedName name="OSRRefP16x_0" localSheetId="66">'313'!$P$19</definedName>
    <definedName name="OSRRefP16x_0" localSheetId="58">'315'!$P$57:$P$81</definedName>
    <definedName name="OSRRefP16x_0" localSheetId="61">'316'!$P$26</definedName>
    <definedName name="OSRRefP16x_0" localSheetId="63">'317'!$P$36:$P$48</definedName>
    <definedName name="OSRRefP16x_0" localSheetId="67">'321'!$P$17:$P$18</definedName>
    <definedName name="OSRRefP16x_0" localSheetId="68">'322'!$P$15</definedName>
    <definedName name="OSRRefP16x_0" localSheetId="56">'324'!$P$19:$P$21</definedName>
    <definedName name="OSRRefP16x_0" localSheetId="69">'325'!$P$17:$P$18</definedName>
    <definedName name="OSRRefP16x_0" localSheetId="59">'326'!$P$39:$P$45</definedName>
    <definedName name="OSRRefP16x_0" localSheetId="70">'327'!$P$17:$P$18</definedName>
    <definedName name="OSRRefP16x_0" localSheetId="52">'330'!$P$31:$P$40</definedName>
    <definedName name="OSRRefP16x_0" localSheetId="57">'331'!$P$57:$P$81</definedName>
    <definedName name="OSRRefP16x_0" localSheetId="60">'332'!$P$26:$P$28</definedName>
    <definedName name="OSRRefP16x_0" localSheetId="74">'405'!$P$17:$P$18</definedName>
    <definedName name="OSRRefP16x_0" localSheetId="80">'415'!$P$17:$P$18</definedName>
    <definedName name="OSRRefP16x_0" localSheetId="81">'418'!$P$15</definedName>
    <definedName name="OSRRefP16x_0" localSheetId="85">'425'!$P$16</definedName>
    <definedName name="OSRRefP16x_0" localSheetId="89">'433'!$P$18:$P$19</definedName>
    <definedName name="OSRRefP16x_0" localSheetId="91">'444'!$P$18:$P$19</definedName>
    <definedName name="OSRRefP16x_0" localSheetId="92">'450'!$P$18:$P$19</definedName>
    <definedName name="OSRRefP16x_0" localSheetId="73">'491'!$P$20:$P$21</definedName>
    <definedName name="OSRRefP16x_0" localSheetId="87">'492'!$P$18:$P$19</definedName>
    <definedName name="OSRRefP16x_0" localSheetId="47">'Div 3'!$P$83:$P$124</definedName>
    <definedName name="OSRRefP16x_0" localSheetId="71">'Div 4'!$P$21:$P$22</definedName>
    <definedName name="OSRRefP16x_0" localSheetId="62">'Div 6'!$P$36:$P$48</definedName>
    <definedName name="OSRRefP16x_0" localSheetId="2">Summary!$P$101:$P$151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'203'!$P$20:$P$29</definedName>
    <definedName name="OSRRefP22_0x_0" localSheetId="44">'204'!$P$20:$P$28</definedName>
    <definedName name="OSRRefP22_0x_0" localSheetId="45">'205'!$P$20:$P$27</definedName>
    <definedName name="OSRRefP22_0x_0" localSheetId="46">'206'!$P$20:$P$26</definedName>
    <definedName name="OSRRefP22_0x_0" localSheetId="48">'300'!$P$125:$P$134</definedName>
    <definedName name="OSRRefP22_0x_0" localSheetId="49">'300 &amp; 317'!$P$148:$P$157</definedName>
    <definedName name="OSRRefP22_0x_0" localSheetId="50">'301'!$P$21:$P$30</definedName>
    <definedName name="OSRRefP22_0x_0" localSheetId="51">'306'!$P$20:$P$23</definedName>
    <definedName name="OSRRefP22_0x_0" localSheetId="53">'307'!$P$43:$P$45</definedName>
    <definedName name="OSRRefP22_0x_0" localSheetId="54">'308'!$P$61:$P$69</definedName>
    <definedName name="OSRRefP22_0x_0" localSheetId="65">'309'!$P$20</definedName>
    <definedName name="OSRRefP22_0x_0" localSheetId="64">'310'!$P$31:$P$38</definedName>
    <definedName name="OSRRefP22_0x_0" localSheetId="72">'310 &amp; 491'!$P$35:$P$42</definedName>
    <definedName name="OSRRefP22_0x_0" localSheetId="55">'311'!$P$61:$P$69</definedName>
    <definedName name="OSRRefP22_0x_0" localSheetId="66">'313'!$P$25:$P$32</definedName>
    <definedName name="OSRRefP22_0x_0" localSheetId="58">'315'!$P$87:$P$94</definedName>
    <definedName name="OSRRefP22_0x_0" localSheetId="61">'316'!$P$32:$P$39</definedName>
    <definedName name="OSRRefP22_0x_0" localSheetId="63">'317'!$P$54:$P$62</definedName>
    <definedName name="OSRRefP22_0x_0" localSheetId="67">'321'!$P$24:$P$31</definedName>
    <definedName name="OSRRefP22_0x_0" localSheetId="68">'322'!$P$21:$P$25</definedName>
    <definedName name="OSRRefP22_0x_0" localSheetId="69">'325'!$P$24:$P$31</definedName>
    <definedName name="OSRRefP22_0x_0" localSheetId="59">'326'!$P$51:$P$58</definedName>
    <definedName name="OSRRefP22_0x_0" localSheetId="70">'327'!$P$24</definedName>
    <definedName name="OSRRefP22_0x_0" localSheetId="52">'330'!$P$46:$P$49</definedName>
    <definedName name="OSRRefP22_0x_0" localSheetId="57">'331'!$P$87:$P$94</definedName>
    <definedName name="OSRRefP22_0x_0" localSheetId="60">'332'!$P$34:$P$41</definedName>
    <definedName name="OSRRefP22_0x_0" localSheetId="74">'405'!$P$24:$P$31</definedName>
    <definedName name="OSRRefP22_0x_0" localSheetId="75">'406'!$P$20</definedName>
    <definedName name="OSRRefP22_0x_0" localSheetId="76">'411'!$P$20:$P$27</definedName>
    <definedName name="OSRRefP22_0x_0" localSheetId="77">'412'!$P$20</definedName>
    <definedName name="OSRRefP22_0x_0" localSheetId="78">'413'!$P$20:$P$24</definedName>
    <definedName name="OSRRefP22_0x_0" localSheetId="79">'414'!$P$21</definedName>
    <definedName name="OSRRefP22_0x_0" localSheetId="80">'415'!$P$24:$P$31</definedName>
    <definedName name="OSRRefP22_0x_0" localSheetId="81">'418'!$P$21:$P$28</definedName>
    <definedName name="OSRRefP22_0x_0" localSheetId="82">'420'!$P$21</definedName>
    <definedName name="OSRRefP22_0x_0" localSheetId="83">'423'!$P$20:$P$21</definedName>
    <definedName name="OSRRefP22_0x_0" localSheetId="84">'424'!$P$20</definedName>
    <definedName name="OSRRefP22_0x_0" localSheetId="85">'425'!$P$22:$P$26</definedName>
    <definedName name="OSRRefP22_0x_0" localSheetId="88">'430'!$P$20:$P$27</definedName>
    <definedName name="OSRRefP22_0x_0" localSheetId="89">'433'!$P$25:$P$33</definedName>
    <definedName name="OSRRefP22_0x_0" localSheetId="90">'435'!$P$20</definedName>
    <definedName name="OSRRefP22_0x_0" localSheetId="91">'444'!$P$25:$P$33</definedName>
    <definedName name="OSRRefP22_0x_0" localSheetId="92">'450'!$P$25:$P$33</definedName>
    <definedName name="OSRRefP22_0x_0" localSheetId="73">'491'!$P$27:$P$34</definedName>
    <definedName name="OSRRefP22_0x_0" localSheetId="87">'492'!$P$25:$P$33</definedName>
    <definedName name="OSRRefP22_0x_0" localSheetId="94">'501'!$P$21:$P$29</definedName>
    <definedName name="OSRRefP22_0x_0" localSheetId="39">'Div 2'!$P$20:$P$30</definedName>
    <definedName name="OSRRefP22_0x_0" localSheetId="47">'Div 3'!$P$130:$P$139</definedName>
    <definedName name="OSRRefP22_0x_0" localSheetId="71">'Div 4'!$P$28:$P$36</definedName>
    <definedName name="OSRRefP22_0x_0" localSheetId="93">'Div 5'!$P$21:$P$29</definedName>
    <definedName name="OSRRefP22_0x_0" localSheetId="62">'Div 6'!$P$54:$P$62</definedName>
    <definedName name="OSRRefP22_0x_0" localSheetId="2">Summary!$P$157:$P$166</definedName>
    <definedName name="OSRRefP22_10x_0" localSheetId="41">'201'!$P$52</definedName>
    <definedName name="OSRRefP22_10x_0" localSheetId="42">'202'!$P$53</definedName>
    <definedName name="OSRRefP22_10x_0" localSheetId="43">'203'!$P$55:$P$58</definedName>
    <definedName name="OSRRefP22_10x_0" localSheetId="48">'300'!$P$162:$P$163</definedName>
    <definedName name="OSRRefP22_10x_0" localSheetId="49">'300 &amp; 317'!$P$185:$P$186</definedName>
    <definedName name="OSRRefP22_10x_0" localSheetId="50">'301'!$P$58</definedName>
    <definedName name="OSRRefP22_10x_0" localSheetId="53">'307'!$P$71:$P$74</definedName>
    <definedName name="OSRRefP22_10x_0" localSheetId="54">'308'!$P$98</definedName>
    <definedName name="OSRRefP22_10x_0" localSheetId="64">'310'!$P$62</definedName>
    <definedName name="OSRRefP22_10x_0" localSheetId="72">'310 &amp; 491'!$P$68</definedName>
    <definedName name="OSRRefP22_10x_0" localSheetId="55">'311'!$P$98</definedName>
    <definedName name="OSRRefP22_10x_0" localSheetId="58">'315'!$P$122:$P$123</definedName>
    <definedName name="OSRRefP22_10x_0" localSheetId="61">'316'!$P$64:$P$68</definedName>
    <definedName name="OSRRefP22_10x_0" localSheetId="63">'317'!$P$89</definedName>
    <definedName name="OSRRefP22_10x_0" localSheetId="67">'321'!$P$60</definedName>
    <definedName name="OSRRefP22_10x_0" localSheetId="69">'325'!$P$54:$P$55</definedName>
    <definedName name="OSRRefP22_10x_0" localSheetId="59">'326'!$P$82</definedName>
    <definedName name="OSRRefP22_10x_0" localSheetId="52">'330'!$P$76:$P$79</definedName>
    <definedName name="OSRRefP22_10x_0" localSheetId="57">'331'!$P$120</definedName>
    <definedName name="OSRRefP22_10x_0" localSheetId="60">'332'!$P$66:$P$70</definedName>
    <definedName name="OSRRefP22_10x_0" localSheetId="74">'405'!$P$55:$P$56</definedName>
    <definedName name="OSRRefP22_10x_0" localSheetId="76">'411'!$P$54:$P$56</definedName>
    <definedName name="OSRRefP22_10x_0" localSheetId="80">'415'!$P$55</definedName>
    <definedName name="OSRRefP22_10x_0" localSheetId="81">'418'!$P$53</definedName>
    <definedName name="OSRRefP22_10x_0" localSheetId="89">'433'!$P$57</definedName>
    <definedName name="OSRRefP22_10x_0" localSheetId="91">'444'!$P$57</definedName>
    <definedName name="OSRRefP22_10x_0" localSheetId="92">'450'!$P$57</definedName>
    <definedName name="OSRRefP22_10x_0" localSheetId="73">'491'!$P$59</definedName>
    <definedName name="OSRRefP22_10x_0" localSheetId="87">'492'!$P$58</definedName>
    <definedName name="OSRRefP22_10x_0" localSheetId="94">'501'!$P$57</definedName>
    <definedName name="OSRRefP22_10x_0" localSheetId="39">'Div 2'!$P$56</definedName>
    <definedName name="OSRRefP22_10x_0" localSheetId="47">'Div 3'!$P$167:$P$168</definedName>
    <definedName name="OSRRefP22_10x_0" localSheetId="71">'Div 4'!$P$62</definedName>
    <definedName name="OSRRefP22_10x_0" localSheetId="93">'Div 5'!$P$57</definedName>
    <definedName name="OSRRefP22_10x_0" localSheetId="62">'Div 6'!$P$89</definedName>
    <definedName name="OSRRefP22_10x_0" localSheetId="2">Summary!$P$194:$P$195</definedName>
    <definedName name="OSRRefP22_11x_0" localSheetId="41">'201'!$P$54:$P$55</definedName>
    <definedName name="OSRRefP22_11x_0" localSheetId="42">'202'!$P$55</definedName>
    <definedName name="OSRRefP22_11x_0" localSheetId="43">'203'!$P$60</definedName>
    <definedName name="OSRRefP22_11x_0" localSheetId="48">'300'!$P$165</definedName>
    <definedName name="OSRRefP22_11x_0" localSheetId="49">'300 &amp; 317'!$P$188</definedName>
    <definedName name="OSRRefP22_11x_0" localSheetId="50">'301'!$P$60</definedName>
    <definedName name="OSRRefP22_11x_0" localSheetId="53">'307'!$P$76</definedName>
    <definedName name="OSRRefP22_11x_0" localSheetId="54">'308'!$P$100:$P$101</definedName>
    <definedName name="OSRRefP22_11x_0" localSheetId="64">'310'!$P$64:$P$65</definedName>
    <definedName name="OSRRefP22_11x_0" localSheetId="72">'310 &amp; 491'!$P$70</definedName>
    <definedName name="OSRRefP22_11x_0" localSheetId="55">'311'!$P$100:$P$101</definedName>
    <definedName name="OSRRefP22_11x_0" localSheetId="58">'315'!$P$125:$P$126</definedName>
    <definedName name="OSRRefP22_11x_0" localSheetId="61">'316'!$P$70</definedName>
    <definedName name="OSRRefP22_11x_0" localSheetId="67">'321'!$P$62</definedName>
    <definedName name="OSRRefP22_11x_0" localSheetId="69">'325'!$P$57:$P$60</definedName>
    <definedName name="OSRRefP22_11x_0" localSheetId="59">'326'!$P$84:$P$86</definedName>
    <definedName name="OSRRefP22_11x_0" localSheetId="52">'330'!$P$81</definedName>
    <definedName name="OSRRefP22_11x_0" localSheetId="57">'331'!$P$122:$P$123</definedName>
    <definedName name="OSRRefP22_11x_0" localSheetId="60">'332'!$P$72</definedName>
    <definedName name="OSRRefP22_11x_0" localSheetId="74">'405'!$P$58:$P$61</definedName>
    <definedName name="OSRRefP22_11x_0" localSheetId="76">'411'!$P$58:$P$59</definedName>
    <definedName name="OSRRefP22_11x_0" localSheetId="80">'415'!$P$57:$P$58</definedName>
    <definedName name="OSRRefP22_11x_0" localSheetId="81">'418'!$P$55:$P$59</definedName>
    <definedName name="OSRRefP22_11x_0" localSheetId="89">'433'!$P$59:$P$60</definedName>
    <definedName name="OSRRefP22_11x_0" localSheetId="91">'444'!$P$59:$P$60</definedName>
    <definedName name="OSRRefP22_11x_0" localSheetId="92">'450'!$P$59</definedName>
    <definedName name="OSRRefP22_11x_0" localSheetId="73">'491'!$P$61</definedName>
    <definedName name="OSRRefP22_11x_0" localSheetId="87">'492'!$P$60</definedName>
    <definedName name="OSRRefP22_11x_0" localSheetId="39">'Div 2'!$P$58</definedName>
    <definedName name="OSRRefP22_11x_0" localSheetId="47">'Div 3'!$P$170</definedName>
    <definedName name="OSRRefP22_11x_0" localSheetId="71">'Div 4'!$P$64</definedName>
    <definedName name="OSRRefP22_11x_0" localSheetId="2">Summary!$P$197</definedName>
    <definedName name="OSRRefP22_12x_0" localSheetId="41">'201'!$P$57</definedName>
    <definedName name="OSRRefP22_12x_0" localSheetId="42">'202'!$P$57</definedName>
    <definedName name="OSRRefP22_12x_0" localSheetId="43">'203'!$P$62</definedName>
    <definedName name="OSRRefP22_12x_0" localSheetId="48">'300'!$P$167</definedName>
    <definedName name="OSRRefP22_12x_0" localSheetId="49">'300 &amp; 317'!$P$190</definedName>
    <definedName name="OSRRefP22_12x_0" localSheetId="50">'301'!$P$62</definedName>
    <definedName name="OSRRefP22_12x_0" localSheetId="53">'307'!$P$78</definedName>
    <definedName name="OSRRefP22_12x_0" localSheetId="54">'308'!$P$103:$P$104</definedName>
    <definedName name="OSRRefP22_12x_0" localSheetId="64">'310'!$P$67</definedName>
    <definedName name="OSRRefP22_12x_0" localSheetId="72">'310 &amp; 491'!$P$72</definedName>
    <definedName name="OSRRefP22_12x_0" localSheetId="55">'311'!$P$103:$P$104</definedName>
    <definedName name="OSRRefP22_12x_0" localSheetId="58">'315'!$P$128:$P$131</definedName>
    <definedName name="OSRRefP22_12x_0" localSheetId="61">'316'!$P$72</definedName>
    <definedName name="OSRRefP22_12x_0" localSheetId="69">'325'!$P$62:$P$65</definedName>
    <definedName name="OSRRefP22_12x_0" localSheetId="59">'326'!$P$88:$P$90</definedName>
    <definedName name="OSRRefP22_12x_0" localSheetId="52">'330'!$P$83</definedName>
    <definedName name="OSRRefP22_12x_0" localSheetId="57">'331'!$P$125</definedName>
    <definedName name="OSRRefP22_12x_0" localSheetId="60">'332'!$P$74</definedName>
    <definedName name="OSRRefP22_12x_0" localSheetId="74">'405'!$P$63</definedName>
    <definedName name="OSRRefP22_12x_0" localSheetId="76">'411'!$P$61</definedName>
    <definedName name="OSRRefP22_12x_0" localSheetId="80">'415'!$P$60:$P$63</definedName>
    <definedName name="OSRRefP22_12x_0" localSheetId="81">'418'!$P$61</definedName>
    <definedName name="OSRRefP22_12x_0" localSheetId="89">'433'!$P$62:$P$64</definedName>
    <definedName name="OSRRefP22_12x_0" localSheetId="91">'444'!$P$62:$P$65</definedName>
    <definedName name="OSRRefP22_12x_0" localSheetId="92">'450'!$P$61:$P$62</definedName>
    <definedName name="OSRRefP22_12x_0" localSheetId="73">'491'!$P$63</definedName>
    <definedName name="OSRRefP22_12x_0" localSheetId="87">'492'!$P$62:$P$64</definedName>
    <definedName name="OSRRefP22_12x_0" localSheetId="39">'Div 2'!$P$60:$P$62</definedName>
    <definedName name="OSRRefP22_12x_0" localSheetId="47">'Div 3'!$P$172</definedName>
    <definedName name="OSRRefP22_12x_0" localSheetId="71">'Div 4'!$P$66</definedName>
    <definedName name="OSRRefP22_12x_0" localSheetId="2">Summary!$P$199</definedName>
    <definedName name="OSRRefP22_13x_0" localSheetId="41">'201'!$P$59</definedName>
    <definedName name="OSRRefP22_13x_0" localSheetId="43">'203'!$P$64</definedName>
    <definedName name="OSRRefP22_13x_0" localSheetId="48">'300'!$P$169:$P$170</definedName>
    <definedName name="OSRRefP22_13x_0" localSheetId="49">'300 &amp; 317'!$P$192:$P$193</definedName>
    <definedName name="OSRRefP22_13x_0" localSheetId="50">'301'!$P$64</definedName>
    <definedName name="OSRRefP22_13x_0" localSheetId="54">'308'!$P$106</definedName>
    <definedName name="OSRRefP22_13x_0" localSheetId="64">'310'!$P$69:$P$72</definedName>
    <definedName name="OSRRefP22_13x_0" localSheetId="72">'310 &amp; 491'!$P$74:$P$76</definedName>
    <definedName name="OSRRefP22_13x_0" localSheetId="55">'311'!$P$106</definedName>
    <definedName name="OSRRefP22_13x_0" localSheetId="58">'315'!$P$133</definedName>
    <definedName name="OSRRefP22_13x_0" localSheetId="69">'325'!$P$67</definedName>
    <definedName name="OSRRefP22_13x_0" localSheetId="59">'326'!$P$92:$P$93</definedName>
    <definedName name="OSRRefP22_13x_0" localSheetId="57">'331'!$P$127</definedName>
    <definedName name="OSRRefP22_13x_0" localSheetId="74">'405'!$P$65:$P$72</definedName>
    <definedName name="OSRRefP22_13x_0" localSheetId="76">'411'!$P$63:$P$64</definedName>
    <definedName name="OSRRefP22_13x_0" localSheetId="80">'415'!$P$65</definedName>
    <definedName name="OSRRefP22_13x_0" localSheetId="89">'433'!$P$66:$P$73</definedName>
    <definedName name="OSRRefP22_13x_0" localSheetId="91">'444'!$P$67</definedName>
    <definedName name="OSRRefP22_13x_0" localSheetId="92">'450'!$P$64:$P$66</definedName>
    <definedName name="OSRRefP22_13x_0" localSheetId="73">'491'!$P$65:$P$67</definedName>
    <definedName name="OSRRefP22_13x_0" localSheetId="87">'492'!$P$66:$P$69</definedName>
    <definedName name="OSRRefP22_13x_0" localSheetId="39">'Div 2'!$P$64:$P$67</definedName>
    <definedName name="OSRRefP22_13x_0" localSheetId="47">'Div 3'!$P$174</definedName>
    <definedName name="OSRRefP22_13x_0" localSheetId="71">'Div 4'!$P$68</definedName>
    <definedName name="OSRRefP22_13x_0" localSheetId="2">Summary!$P$201</definedName>
    <definedName name="OSRRefP22_14x_0" localSheetId="48">'300'!$P$172</definedName>
    <definedName name="OSRRefP22_14x_0" localSheetId="49">'300 &amp; 317'!$P$195</definedName>
    <definedName name="OSRRefP22_14x_0" localSheetId="50">'301'!$P$66</definedName>
    <definedName name="OSRRefP22_14x_0" localSheetId="64">'310'!$P$74:$P$78</definedName>
    <definedName name="OSRRefP22_14x_0" localSheetId="72">'310 &amp; 491'!$P$78</definedName>
    <definedName name="OSRRefP22_14x_0" localSheetId="58">'315'!$P$135</definedName>
    <definedName name="OSRRefP22_14x_0" localSheetId="69">'325'!$P$69</definedName>
    <definedName name="OSRRefP22_14x_0" localSheetId="59">'326'!$P$95:$P$98</definedName>
    <definedName name="OSRRefP22_14x_0" localSheetId="57">'331'!$P$129:$P$131</definedName>
    <definedName name="OSRRefP22_14x_0" localSheetId="74">'405'!$P$74</definedName>
    <definedName name="OSRRefP22_14x_0" localSheetId="76">'411'!$P$66</definedName>
    <definedName name="OSRRefP22_14x_0" localSheetId="80">'415'!$P$67:$P$72</definedName>
    <definedName name="OSRRefP22_14x_0" localSheetId="89">'433'!$P$75</definedName>
    <definedName name="OSRRefP22_14x_0" localSheetId="91">'444'!$P$69:$P$76</definedName>
    <definedName name="OSRRefP22_14x_0" localSheetId="92">'450'!$P$68:$P$73</definedName>
    <definedName name="OSRRefP22_14x_0" localSheetId="73">'491'!$P$69</definedName>
    <definedName name="OSRRefP22_14x_0" localSheetId="87">'492'!$P$71</definedName>
    <definedName name="OSRRefP22_14x_0" localSheetId="39">'Div 2'!$P$69</definedName>
    <definedName name="OSRRefP22_14x_0" localSheetId="47">'Div 3'!$P$176:$P$177</definedName>
    <definedName name="OSRRefP22_14x_0" localSheetId="71">'Div 4'!$P$70</definedName>
    <definedName name="OSRRefP22_14x_0" localSheetId="2">Summary!$P$203:$P$204</definedName>
    <definedName name="OSRRefP22_15x_0" localSheetId="48">'300'!$P$174</definedName>
    <definedName name="OSRRefP22_15x_0" localSheetId="49">'300 &amp; 317'!$P$197</definedName>
    <definedName name="OSRRefP22_15x_0" localSheetId="50">'301'!$P$68:$P$71</definedName>
    <definedName name="OSRRefP22_15x_0" localSheetId="64">'310'!$P$80</definedName>
    <definedName name="OSRRefP22_15x_0" localSheetId="72">'310 &amp; 491'!$P$80:$P$83</definedName>
    <definedName name="OSRRefP22_15x_0" localSheetId="59">'326'!$P$100</definedName>
    <definedName name="OSRRefP22_15x_0" localSheetId="57">'331'!$P$133:$P$134</definedName>
    <definedName name="OSRRefP22_15x_0" localSheetId="74">'405'!$P$76</definedName>
    <definedName name="OSRRefP22_15x_0" localSheetId="80">'415'!$P$74</definedName>
    <definedName name="OSRRefP22_15x_0" localSheetId="91">'444'!$P$78</definedName>
    <definedName name="OSRRefP22_15x_0" localSheetId="92">'450'!$P$75</definedName>
    <definedName name="OSRRefP22_15x_0" localSheetId="73">'491'!$P$71:$P$74</definedName>
    <definedName name="OSRRefP22_15x_0" localSheetId="87">'492'!$P$73:$P$80</definedName>
    <definedName name="OSRRefP22_15x_0" localSheetId="39">'Div 2'!$P$71</definedName>
    <definedName name="OSRRefP22_15x_0" localSheetId="47">'Div 3'!$P$179</definedName>
    <definedName name="OSRRefP22_15x_0" localSheetId="71">'Div 4'!$P$72:$P$74</definedName>
    <definedName name="OSRRefP22_15x_0" localSheetId="2">Summary!$P$206</definedName>
    <definedName name="OSRRefP22_16x_0" localSheetId="48">'300'!$P$176:$P$179</definedName>
    <definedName name="OSRRefP22_16x_0" localSheetId="49">'300 &amp; 317'!$P$199:$P$202</definedName>
    <definedName name="OSRRefP22_16x_0" localSheetId="50">'301'!$P$73:$P$75</definedName>
    <definedName name="OSRRefP22_16x_0" localSheetId="64">'310'!$P$82</definedName>
    <definedName name="OSRRefP22_16x_0" localSheetId="72">'310 &amp; 491'!$P$85</definedName>
    <definedName name="OSRRefP22_16x_0" localSheetId="59">'326'!$P$102</definedName>
    <definedName name="OSRRefP22_16x_0" localSheetId="57">'331'!$P$136:$P$138</definedName>
    <definedName name="OSRRefP22_16x_0" localSheetId="80">'415'!$P$76</definedName>
    <definedName name="OSRRefP22_16x_0" localSheetId="91">'444'!$P$80</definedName>
    <definedName name="OSRRefP22_16x_0" localSheetId="92">'450'!$P$77</definedName>
    <definedName name="OSRRefP22_16x_0" localSheetId="73">'491'!$P$76</definedName>
    <definedName name="OSRRefP22_16x_0" localSheetId="87">'492'!$P$82</definedName>
    <definedName name="OSRRefP22_16x_0" localSheetId="39">'Div 2'!$P$73:$P$77</definedName>
    <definedName name="OSRRefP22_16x_0" localSheetId="47">'Div 3'!$P$181</definedName>
    <definedName name="OSRRefP22_16x_0" localSheetId="71">'Div 4'!$P$76</definedName>
    <definedName name="OSRRefP22_16x_0" localSheetId="2">Summary!$P$208</definedName>
    <definedName name="OSRRefP22_17x_0" localSheetId="48">'300'!$P$181:$P$183</definedName>
    <definedName name="OSRRefP22_17x_0" localSheetId="49">'300 &amp; 317'!$P$204:$P$206</definedName>
    <definedName name="OSRRefP22_17x_0" localSheetId="50">'301'!$P$77</definedName>
    <definedName name="OSRRefP22_17x_0" localSheetId="72">'310 &amp; 491'!$P$87:$P$95</definedName>
    <definedName name="OSRRefP22_17x_0" localSheetId="59">'326'!$P$104</definedName>
    <definedName name="OSRRefP22_17x_0" localSheetId="57">'331'!$P$140:$P$141</definedName>
    <definedName name="OSRRefP22_17x_0" localSheetId="80">'415'!$P$78</definedName>
    <definedName name="OSRRefP22_17x_0" localSheetId="73">'491'!$P$78:$P$86</definedName>
    <definedName name="OSRRefP22_17x_0" localSheetId="87">'492'!$P$84</definedName>
    <definedName name="OSRRefP22_17x_0" localSheetId="39">'Div 2'!$P$79:$P$80</definedName>
    <definedName name="OSRRefP22_17x_0" localSheetId="47">'Div 3'!$P$183:$P$186</definedName>
    <definedName name="OSRRefP22_17x_0" localSheetId="71">'Div 4'!$P$78:$P$81</definedName>
    <definedName name="OSRRefP22_17x_0" localSheetId="2">Summary!$P$210</definedName>
    <definedName name="OSRRefP22_18x_0" localSheetId="48">'300'!$P$185:$P$188</definedName>
    <definedName name="OSRRefP22_18x_0" localSheetId="49">'300 &amp; 317'!$P$208:$P$211</definedName>
    <definedName name="OSRRefP22_18x_0" localSheetId="50">'301'!$P$79:$P$84</definedName>
    <definedName name="OSRRefP22_18x_0" localSheetId="72">'310 &amp; 491'!$P$97</definedName>
    <definedName name="OSRRefP22_18x_0" localSheetId="57">'331'!$P$143:$P$147</definedName>
    <definedName name="OSRRefP22_18x_0" localSheetId="73">'491'!$P$88</definedName>
    <definedName name="OSRRefP22_18x_0" localSheetId="87">'492'!$P$86:$P$87</definedName>
    <definedName name="OSRRefP22_18x_0" localSheetId="39">'Div 2'!$P$82</definedName>
    <definedName name="OSRRefP22_18x_0" localSheetId="47">'Div 3'!$P$188:$P$190</definedName>
    <definedName name="OSRRefP22_18x_0" localSheetId="71">'Div 4'!$P$83:$P$84</definedName>
    <definedName name="OSRRefP22_18x_0" localSheetId="2">Summary!$P$212:$P$215</definedName>
    <definedName name="OSRRefP22_19x_0" localSheetId="48">'300'!$P$190:$P$191</definedName>
    <definedName name="OSRRefP22_19x_0" localSheetId="49">'300 &amp; 317'!$P$213:$P$214</definedName>
    <definedName name="OSRRefP22_19x_0" localSheetId="50">'301'!$P$86</definedName>
    <definedName name="OSRRefP22_19x_0" localSheetId="72">'310 &amp; 491'!$P$99</definedName>
    <definedName name="OSRRefP22_19x_0" localSheetId="57">'331'!$P$149</definedName>
    <definedName name="OSRRefP22_19x_0" localSheetId="73">'491'!$P$90</definedName>
    <definedName name="OSRRefP22_19x_0" localSheetId="39">'Div 2'!$P$84:$P$85</definedName>
    <definedName name="OSRRefP22_19x_0" localSheetId="47">'Div 3'!$P$192:$P$196</definedName>
    <definedName name="OSRRefP22_19x_0" localSheetId="71">'Div 4'!$P$86:$P$94</definedName>
    <definedName name="OSRRefP22_19x_0" localSheetId="2">Summary!$P$217:$P$219</definedName>
    <definedName name="OSRRefP22_1x_0" localSheetId="40">'200'!$P$22</definedName>
    <definedName name="OSRRefP22_1x_0" localSheetId="41">'201'!$P$29:$P$31</definedName>
    <definedName name="OSRRefP22_1x_0" localSheetId="42">'202'!$P$29:$P$31</definedName>
    <definedName name="OSRRefP22_1x_0" localSheetId="43">'203'!$P$31:$P$35</definedName>
    <definedName name="OSRRefP22_1x_0" localSheetId="44">'204'!$P$30:$P$32</definedName>
    <definedName name="OSRRefP22_1x_0" localSheetId="45">'205'!$P$29</definedName>
    <definedName name="OSRRefP22_1x_0" localSheetId="46">'206'!$P$28:$P$30</definedName>
    <definedName name="OSRRefP22_1x_0" localSheetId="48">'300'!$P$136:$P$142</definedName>
    <definedName name="OSRRefP22_1x_0" localSheetId="49">'300 &amp; 317'!$P$159:$P$165</definedName>
    <definedName name="OSRRefP22_1x_0" localSheetId="50">'301'!$P$32:$P$38</definedName>
    <definedName name="OSRRefP22_1x_0" localSheetId="51">'306'!$P$25:$P$26</definedName>
    <definedName name="OSRRefP22_1x_0" localSheetId="53">'307'!$P$47:$P$50</definedName>
    <definedName name="OSRRefP22_1x_0" localSheetId="54">'308'!$P$71:$P$77</definedName>
    <definedName name="OSRRefP22_1x_0" localSheetId="65">'309'!$P$22</definedName>
    <definedName name="OSRRefP22_1x_0" localSheetId="64">'310'!$P$40:$P$43</definedName>
    <definedName name="OSRRefP22_1x_0" localSheetId="72">'310 &amp; 491'!$P$44:$P$48</definedName>
    <definedName name="OSRRefP22_1x_0" localSheetId="55">'311'!$P$71:$P$77</definedName>
    <definedName name="OSRRefP22_1x_0" localSheetId="66">'313'!$P$34</definedName>
    <definedName name="OSRRefP22_1x_0" localSheetId="58">'315'!$P$96:$P$100</definedName>
    <definedName name="OSRRefP22_1x_0" localSheetId="61">'316'!$P$41:$P$43</definedName>
    <definedName name="OSRRefP22_1x_0" localSheetId="63">'317'!$P$64:$P$68</definedName>
    <definedName name="OSRRefP22_1x_0" localSheetId="67">'321'!$P$33:$P$36</definedName>
    <definedName name="OSRRefP22_1x_0" localSheetId="68">'322'!$P$27</definedName>
    <definedName name="OSRRefP22_1x_0" localSheetId="69">'325'!$P$33:$P$35</definedName>
    <definedName name="OSRRefP22_1x_0" localSheetId="59">'326'!$P$60:$P$64</definedName>
    <definedName name="OSRRefP22_1x_0" localSheetId="52">'330'!$P$51:$P$54</definedName>
    <definedName name="OSRRefP22_1x_0" localSheetId="57">'331'!$P$96:$P$100</definedName>
    <definedName name="OSRRefP22_1x_0" localSheetId="60">'332'!$P$43:$P$45</definedName>
    <definedName name="OSRRefP22_1x_0" localSheetId="74">'405'!$P$33:$P$36</definedName>
    <definedName name="OSRRefP22_1x_0" localSheetId="75">'406'!$P$22</definedName>
    <definedName name="OSRRefP22_1x_0" localSheetId="76">'411'!$P$29:$P$33</definedName>
    <definedName name="OSRRefP22_1x_0" localSheetId="77">'412'!$P$22</definedName>
    <definedName name="OSRRefP22_1x_0" localSheetId="78">'413'!$P$26</definedName>
    <definedName name="OSRRefP22_1x_0" localSheetId="79">'414'!$P$23</definedName>
    <definedName name="OSRRefP22_1x_0" localSheetId="80">'415'!$P$33:$P$36</definedName>
    <definedName name="OSRRefP22_1x_0" localSheetId="81">'418'!$P$30:$P$33</definedName>
    <definedName name="OSRRefP22_1x_0" localSheetId="83">'423'!$P$23</definedName>
    <definedName name="OSRRefP22_1x_0" localSheetId="84">'424'!$P$22</definedName>
    <definedName name="OSRRefP22_1x_0" localSheetId="85">'425'!$P$28</definedName>
    <definedName name="OSRRefP22_1x_0" localSheetId="88">'430'!$P$29</definedName>
    <definedName name="OSRRefP22_1x_0" localSheetId="89">'433'!$P$35:$P$39</definedName>
    <definedName name="OSRRefP22_1x_0" localSheetId="91">'444'!$P$35:$P$39</definedName>
    <definedName name="OSRRefP22_1x_0" localSheetId="92">'450'!$P$35:$P$39</definedName>
    <definedName name="OSRRefP22_1x_0" localSheetId="73">'491'!$P$36:$P$40</definedName>
    <definedName name="OSRRefP22_1x_0" localSheetId="87">'492'!$P$35:$P$40</definedName>
    <definedName name="OSRRefP22_1x_0" localSheetId="94">'501'!$P$31:$P$36</definedName>
    <definedName name="OSRRefP22_1x_0" localSheetId="39">'Div 2'!$P$32:$P$37</definedName>
    <definedName name="OSRRefP22_1x_0" localSheetId="47">'Div 3'!$P$141:$P$147</definedName>
    <definedName name="OSRRefP22_1x_0" localSheetId="71">'Div 4'!$P$38:$P$43</definedName>
    <definedName name="OSRRefP22_1x_0" localSheetId="93">'Div 5'!$P$31:$P$36</definedName>
    <definedName name="OSRRefP22_1x_0" localSheetId="62">'Div 6'!$P$64:$P$68</definedName>
    <definedName name="OSRRefP22_1x_0" localSheetId="2">Summary!$P$168:$P$174</definedName>
    <definedName name="OSRRefP22_20x_0" localSheetId="48">'300'!$P$193:$P$199</definedName>
    <definedName name="OSRRefP22_20x_0" localSheetId="49">'300 &amp; 317'!$P$216:$P$222</definedName>
    <definedName name="OSRRefP22_20x_0" localSheetId="50">'301'!$P$88</definedName>
    <definedName name="OSRRefP22_20x_0" localSheetId="72">'310 &amp; 491'!$P$101:$P$102</definedName>
    <definedName name="OSRRefP22_20x_0" localSheetId="57">'331'!$P$151</definedName>
    <definedName name="OSRRefP22_20x_0" localSheetId="73">'491'!$P$92:$P$93</definedName>
    <definedName name="OSRRefP22_20x_0" localSheetId="47">'Div 3'!$P$198:$P$199</definedName>
    <definedName name="OSRRefP22_20x_0" localSheetId="71">'Div 4'!$P$96</definedName>
    <definedName name="OSRRefP22_20x_0" localSheetId="2">Summary!$P$221:$P$225</definedName>
    <definedName name="OSRRefP22_21x_0" localSheetId="48">'300'!$P$201:$P$202</definedName>
    <definedName name="OSRRefP22_21x_0" localSheetId="49">'300 &amp; 317'!$P$224:$P$225</definedName>
    <definedName name="OSRRefP22_21x_0" localSheetId="50">'301'!$P$90:$P$91</definedName>
    <definedName name="OSRRefP22_21x_0" localSheetId="72">'310 &amp; 491'!$P$104</definedName>
    <definedName name="OSRRefP22_21x_0" localSheetId="57">'331'!$P$153</definedName>
    <definedName name="OSRRefP22_21x_0" localSheetId="73">'491'!$P$95</definedName>
    <definedName name="OSRRefP22_21x_0" localSheetId="47">'Div 3'!$P$201:$P$207</definedName>
    <definedName name="OSRRefP22_21x_0" localSheetId="71">'Div 4'!$P$98</definedName>
    <definedName name="OSRRefP22_21x_0" localSheetId="2">Summary!$P$227:$P$228</definedName>
    <definedName name="OSRRefP22_22x_0" localSheetId="48">'300'!$P$204</definedName>
    <definedName name="OSRRefP22_22x_0" localSheetId="49">'300 &amp; 317'!$P$227</definedName>
    <definedName name="OSRRefP22_22x_0" localSheetId="50">'301'!$P$93</definedName>
    <definedName name="OSRRefP22_22x_0" localSheetId="47">'Div 3'!$P$209:$P$210</definedName>
    <definedName name="OSRRefP22_22x_0" localSheetId="71">'Div 4'!$P$100:$P$101</definedName>
    <definedName name="OSRRefP22_22x_0" localSheetId="2">Summary!$P$230:$P$238</definedName>
    <definedName name="OSRRefP22_23x_0" localSheetId="48">'300'!$P$206:$P$208</definedName>
    <definedName name="OSRRefP22_23x_0" localSheetId="49">'300 &amp; 317'!$P$229:$P$231</definedName>
    <definedName name="OSRRefP22_23x_0" localSheetId="47">'Div 3'!$P$212</definedName>
    <definedName name="OSRRefP22_23x_0" localSheetId="71">'Div 4'!$P$103</definedName>
    <definedName name="OSRRefP22_23x_0" localSheetId="2">Summary!$P$240:$P$241</definedName>
    <definedName name="OSRRefP22_24x_0" localSheetId="48">'300'!$P$210</definedName>
    <definedName name="OSRRefP22_24x_0" localSheetId="49">'300 &amp; 317'!$P$233</definedName>
    <definedName name="OSRRefP22_24x_0" localSheetId="47">'Div 3'!$P$214:$P$216</definedName>
    <definedName name="OSRRefP22_24x_0" localSheetId="2">Summary!$P$243</definedName>
    <definedName name="OSRRefP22_25x_0" localSheetId="47">'Div 3'!$P$218</definedName>
    <definedName name="OSRRefP22_25x_0" localSheetId="2">Summary!$P$245:$P$247</definedName>
    <definedName name="OSRRefP22_26x_0" localSheetId="2">Summary!$P$249</definedName>
    <definedName name="OSRRefP22_2x_0" localSheetId="40">'200'!$P$24</definedName>
    <definedName name="OSRRefP22_2x_0" localSheetId="41">'201'!$P$33</definedName>
    <definedName name="OSRRefP22_2x_0" localSheetId="42">'202'!$P$33</definedName>
    <definedName name="OSRRefP22_2x_0" localSheetId="43">'203'!$P$37</definedName>
    <definedName name="OSRRefP22_2x_0" localSheetId="44">'204'!$P$34</definedName>
    <definedName name="OSRRefP22_2x_0" localSheetId="45">'205'!$P$31</definedName>
    <definedName name="OSRRefP22_2x_0" localSheetId="46">'206'!$P$32</definedName>
    <definedName name="OSRRefP22_2x_0" localSheetId="48">'300'!$P$144</definedName>
    <definedName name="OSRRefP22_2x_0" localSheetId="49">'300 &amp; 317'!$P$167</definedName>
    <definedName name="OSRRefP22_2x_0" localSheetId="50">'301'!$P$40</definedName>
    <definedName name="OSRRefP22_2x_0" localSheetId="51">'306'!$P$28</definedName>
    <definedName name="OSRRefP22_2x_0" localSheetId="53">'307'!$P$52</definedName>
    <definedName name="OSRRefP22_2x_0" localSheetId="54">'308'!$P$79</definedName>
    <definedName name="OSRRefP22_2x_0" localSheetId="65">'309'!$P$24</definedName>
    <definedName name="OSRRefP22_2x_0" localSheetId="64">'310'!$P$45</definedName>
    <definedName name="OSRRefP22_2x_0" localSheetId="72">'310 &amp; 491'!$P$50</definedName>
    <definedName name="OSRRefP22_2x_0" localSheetId="55">'311'!$P$79</definedName>
    <definedName name="OSRRefP22_2x_0" localSheetId="66">'313'!$P$36</definedName>
    <definedName name="OSRRefP22_2x_0" localSheetId="58">'315'!$P$102</definedName>
    <definedName name="OSRRefP22_2x_0" localSheetId="61">'316'!$P$45</definedName>
    <definedName name="OSRRefP22_2x_0" localSheetId="63">'317'!$P$70</definedName>
    <definedName name="OSRRefP22_2x_0" localSheetId="67">'321'!$P$38</definedName>
    <definedName name="OSRRefP22_2x_0" localSheetId="68">'322'!$P$29</definedName>
    <definedName name="OSRRefP22_2x_0" localSheetId="69">'325'!$P$37</definedName>
    <definedName name="OSRRefP22_2x_0" localSheetId="59">'326'!$P$66</definedName>
    <definedName name="OSRRefP22_2x_0" localSheetId="52">'330'!$P$56</definedName>
    <definedName name="OSRRefP22_2x_0" localSheetId="57">'331'!$P$102</definedName>
    <definedName name="OSRRefP22_2x_0" localSheetId="60">'332'!$P$47</definedName>
    <definedName name="OSRRefP22_2x_0" localSheetId="74">'405'!$P$38</definedName>
    <definedName name="OSRRefP22_2x_0" localSheetId="75">'406'!$P$24</definedName>
    <definedName name="OSRRefP22_2x_0" localSheetId="76">'411'!$P$35</definedName>
    <definedName name="OSRRefP22_2x_0" localSheetId="77">'412'!$P$24:$P$25</definedName>
    <definedName name="OSRRefP22_2x_0" localSheetId="78">'413'!$P$28</definedName>
    <definedName name="OSRRefP22_2x_0" localSheetId="79">'414'!$P$25</definedName>
    <definedName name="OSRRefP22_2x_0" localSheetId="80">'415'!$P$38</definedName>
    <definedName name="OSRRefP22_2x_0" localSheetId="81">'418'!$P$35</definedName>
    <definedName name="OSRRefP22_2x_0" localSheetId="83">'423'!$P$25</definedName>
    <definedName name="OSRRefP22_2x_0" localSheetId="84">'424'!$P$24</definedName>
    <definedName name="OSRRefP22_2x_0" localSheetId="85">'425'!$P$30</definedName>
    <definedName name="OSRRefP22_2x_0" localSheetId="88">'430'!$P$31</definedName>
    <definedName name="OSRRefP22_2x_0" localSheetId="89">'433'!$P$41</definedName>
    <definedName name="OSRRefP22_2x_0" localSheetId="91">'444'!$P$41</definedName>
    <definedName name="OSRRefP22_2x_0" localSheetId="92">'450'!$P$41</definedName>
    <definedName name="OSRRefP22_2x_0" localSheetId="73">'491'!$P$42</definedName>
    <definedName name="OSRRefP22_2x_0" localSheetId="87">'492'!$P$42</definedName>
    <definedName name="OSRRefP22_2x_0" localSheetId="94">'501'!$P$38</definedName>
    <definedName name="OSRRefP22_2x_0" localSheetId="39">'Div 2'!$P$39</definedName>
    <definedName name="OSRRefP22_2x_0" localSheetId="47">'Div 3'!$P$149</definedName>
    <definedName name="OSRRefP22_2x_0" localSheetId="71">'Div 4'!$P$45</definedName>
    <definedName name="OSRRefP22_2x_0" localSheetId="93">'Div 5'!$P$38</definedName>
    <definedName name="OSRRefP22_2x_0" localSheetId="62">'Div 6'!$P$70</definedName>
    <definedName name="OSRRefP22_2x_0" localSheetId="2">Summary!$P$176</definedName>
    <definedName name="OSRRefP22_3x_0" localSheetId="40">'200'!$P$26</definedName>
    <definedName name="OSRRefP22_3x_0" localSheetId="41">'201'!$P$35</definedName>
    <definedName name="OSRRefP22_3x_0" localSheetId="42">'202'!$P$35</definedName>
    <definedName name="OSRRefP22_3x_0" localSheetId="43">'203'!$P$39</definedName>
    <definedName name="OSRRefP22_3x_0" localSheetId="44">'204'!$P$36</definedName>
    <definedName name="OSRRefP22_3x_0" localSheetId="45">'205'!$P$33</definedName>
    <definedName name="OSRRefP22_3x_0" localSheetId="46">'206'!$P$34</definedName>
    <definedName name="OSRRefP22_3x_0" localSheetId="48">'300'!$P$146</definedName>
    <definedName name="OSRRefP22_3x_0" localSheetId="49">'300 &amp; 317'!$P$169</definedName>
    <definedName name="OSRRefP22_3x_0" localSheetId="50">'301'!$P$42</definedName>
    <definedName name="OSRRefP22_3x_0" localSheetId="51">'306'!$P$30</definedName>
    <definedName name="OSRRefP22_3x_0" localSheetId="53">'307'!$P$54</definedName>
    <definedName name="OSRRefP22_3x_0" localSheetId="54">'308'!$P$81</definedName>
    <definedName name="OSRRefP22_3x_0" localSheetId="65">'309'!$P$26:$P$27</definedName>
    <definedName name="OSRRefP22_3x_0" localSheetId="64">'310'!$P$47</definedName>
    <definedName name="OSRRefP22_3x_0" localSheetId="72">'310 &amp; 491'!$P$52</definedName>
    <definedName name="OSRRefP22_3x_0" localSheetId="55">'311'!$P$81</definedName>
    <definedName name="OSRRefP22_3x_0" localSheetId="66">'313'!$P$38</definedName>
    <definedName name="OSRRefP22_3x_0" localSheetId="58">'315'!$P$104:$P$105</definedName>
    <definedName name="OSRRefP22_3x_0" localSheetId="61">'316'!$P$47</definedName>
    <definedName name="OSRRefP22_3x_0" localSheetId="63">'317'!$P$72</definedName>
    <definedName name="OSRRefP22_3x_0" localSheetId="67">'321'!$P$40</definedName>
    <definedName name="OSRRefP22_3x_0" localSheetId="68">'322'!$P$31</definedName>
    <definedName name="OSRRefP22_3x_0" localSheetId="69">'325'!$P$39</definedName>
    <definedName name="OSRRefP22_3x_0" localSheetId="59">'326'!$P$68</definedName>
    <definedName name="OSRRefP22_3x_0" localSheetId="52">'330'!$P$58</definedName>
    <definedName name="OSRRefP22_3x_0" localSheetId="57">'331'!$P$104</definedName>
    <definedName name="OSRRefP22_3x_0" localSheetId="60">'332'!$P$49</definedName>
    <definedName name="OSRRefP22_3x_0" localSheetId="74">'405'!$P$40</definedName>
    <definedName name="OSRRefP22_3x_0" localSheetId="75">'406'!$P$26</definedName>
    <definedName name="OSRRefP22_3x_0" localSheetId="76">'411'!$P$37:$P$38</definedName>
    <definedName name="OSRRefP22_3x_0" localSheetId="77">'412'!$P$27</definedName>
    <definedName name="OSRRefP22_3x_0" localSheetId="78">'413'!$P$30</definedName>
    <definedName name="OSRRefP22_3x_0" localSheetId="79">'414'!$P$27</definedName>
    <definedName name="OSRRefP22_3x_0" localSheetId="80">'415'!$P$40</definedName>
    <definedName name="OSRRefP22_3x_0" localSheetId="81">'418'!$P$37</definedName>
    <definedName name="OSRRefP22_3x_0" localSheetId="83">'423'!$P$27</definedName>
    <definedName name="OSRRefP22_3x_0" localSheetId="84">'424'!$P$26</definedName>
    <definedName name="OSRRefP22_3x_0" localSheetId="85">'425'!$P$32</definedName>
    <definedName name="OSRRefP22_3x_0" localSheetId="88">'430'!$P$33</definedName>
    <definedName name="OSRRefP22_3x_0" localSheetId="89">'433'!$P$43</definedName>
    <definedName name="OSRRefP22_3x_0" localSheetId="91">'444'!$P$43</definedName>
    <definedName name="OSRRefP22_3x_0" localSheetId="92">'450'!$P$43</definedName>
    <definedName name="OSRRefP22_3x_0" localSheetId="73">'491'!$P$44</definedName>
    <definedName name="OSRRefP22_3x_0" localSheetId="87">'492'!$P$44</definedName>
    <definedName name="OSRRefP22_3x_0" localSheetId="94">'501'!$P$40</definedName>
    <definedName name="OSRRefP22_3x_0" localSheetId="39">'Div 2'!$P$41</definedName>
    <definedName name="OSRRefP22_3x_0" localSheetId="47">'Div 3'!$P$151</definedName>
    <definedName name="OSRRefP22_3x_0" localSheetId="71">'Div 4'!$P$47</definedName>
    <definedName name="OSRRefP22_3x_0" localSheetId="93">'Div 5'!$P$40</definedName>
    <definedName name="OSRRefP22_3x_0" localSheetId="62">'Div 6'!$P$72</definedName>
    <definedName name="OSRRefP22_3x_0" localSheetId="2">Summary!$P$178</definedName>
    <definedName name="OSRRefP22_4x_0" localSheetId="41">'201'!$P$37</definedName>
    <definedName name="OSRRefP22_4x_0" localSheetId="42">'202'!$P$37</definedName>
    <definedName name="OSRRefP22_4x_0" localSheetId="43">'203'!$P$41</definedName>
    <definedName name="OSRRefP22_4x_0" localSheetId="44">'204'!$P$38</definedName>
    <definedName name="OSRRefP22_4x_0" localSheetId="45">'205'!$P$35:$P$36</definedName>
    <definedName name="OSRRefP22_4x_0" localSheetId="46">'206'!$P$36</definedName>
    <definedName name="OSRRefP22_4x_0" localSheetId="48">'300'!$P$148</definedName>
    <definedName name="OSRRefP22_4x_0" localSheetId="49">'300 &amp; 317'!$P$171</definedName>
    <definedName name="OSRRefP22_4x_0" localSheetId="50">'301'!$P$44</definedName>
    <definedName name="OSRRefP22_4x_0" localSheetId="51">'306'!$P$32</definedName>
    <definedName name="OSRRefP22_4x_0" localSheetId="53">'307'!$P$56:$P$57</definedName>
    <definedName name="OSRRefP22_4x_0" localSheetId="54">'308'!$P$83</definedName>
    <definedName name="OSRRefP22_4x_0" localSheetId="65">'309'!$P$29:$P$30</definedName>
    <definedName name="OSRRefP22_4x_0" localSheetId="64">'310'!$P$49</definedName>
    <definedName name="OSRRefP22_4x_0" localSheetId="72">'310 &amp; 491'!$P$54</definedName>
    <definedName name="OSRRefP22_4x_0" localSheetId="55">'311'!$P$83</definedName>
    <definedName name="OSRRefP22_4x_0" localSheetId="66">'313'!$P$40</definedName>
    <definedName name="OSRRefP22_4x_0" localSheetId="58">'315'!$P$107</definedName>
    <definedName name="OSRRefP22_4x_0" localSheetId="61">'316'!$P$49</definedName>
    <definedName name="OSRRefP22_4x_0" localSheetId="63">'317'!$P$74</definedName>
    <definedName name="OSRRefP22_4x_0" localSheetId="67">'321'!$P$42</definedName>
    <definedName name="OSRRefP22_4x_0" localSheetId="68">'322'!$P$33:$P$34</definedName>
    <definedName name="OSRRefP22_4x_0" localSheetId="69">'325'!$P$41</definedName>
    <definedName name="OSRRefP22_4x_0" localSheetId="59">'326'!$P$70</definedName>
    <definedName name="OSRRefP22_4x_0" localSheetId="52">'330'!$P$60:$P$61</definedName>
    <definedName name="OSRRefP22_4x_0" localSheetId="57">'331'!$P$106</definedName>
    <definedName name="OSRRefP22_4x_0" localSheetId="60">'332'!$P$51</definedName>
    <definedName name="OSRRefP22_4x_0" localSheetId="74">'405'!$P$42</definedName>
    <definedName name="OSRRefP22_4x_0" localSheetId="75">'406'!$P$28</definedName>
    <definedName name="OSRRefP22_4x_0" localSheetId="76">'411'!$P$40</definedName>
    <definedName name="OSRRefP22_4x_0" localSheetId="77">'412'!$P$29</definedName>
    <definedName name="OSRRefP22_4x_0" localSheetId="78">'413'!$P$32</definedName>
    <definedName name="OSRRefP22_4x_0" localSheetId="79">'414'!$P$29:$P$30</definedName>
    <definedName name="OSRRefP22_4x_0" localSheetId="80">'415'!$P$42</definedName>
    <definedName name="OSRRefP22_4x_0" localSheetId="81">'418'!$P$39:$P$40</definedName>
    <definedName name="OSRRefP22_4x_0" localSheetId="85">'425'!$P$34</definedName>
    <definedName name="OSRRefP22_4x_0" localSheetId="88">'430'!$P$35</definedName>
    <definedName name="OSRRefP22_4x_0" localSheetId="89">'433'!$P$45</definedName>
    <definedName name="OSRRefP22_4x_0" localSheetId="91">'444'!$P$45</definedName>
    <definedName name="OSRRefP22_4x_0" localSheetId="92">'450'!$P$45</definedName>
    <definedName name="OSRRefP22_4x_0" localSheetId="73">'491'!$P$46</definedName>
    <definedName name="OSRRefP22_4x_0" localSheetId="87">'492'!$P$46</definedName>
    <definedName name="OSRRefP22_4x_0" localSheetId="94">'501'!$P$42:$P$43</definedName>
    <definedName name="OSRRefP22_4x_0" localSheetId="39">'Div 2'!$P$43</definedName>
    <definedName name="OSRRefP22_4x_0" localSheetId="47">'Div 3'!$P$153</definedName>
    <definedName name="OSRRefP22_4x_0" localSheetId="71">'Div 4'!$P$49</definedName>
    <definedName name="OSRRefP22_4x_0" localSheetId="93">'Div 5'!$P$42:$P$43</definedName>
    <definedName name="OSRRefP22_4x_0" localSheetId="62">'Div 6'!$P$74</definedName>
    <definedName name="OSRRefP22_4x_0" localSheetId="2">Summary!$P$180</definedName>
    <definedName name="OSRRefP22_5x_0" localSheetId="41">'201'!$P$39</definedName>
    <definedName name="OSRRefP22_5x_0" localSheetId="42">'202'!$P$39:$P$40</definedName>
    <definedName name="OSRRefP22_5x_0" localSheetId="43">'203'!$P$43</definedName>
    <definedName name="OSRRefP22_5x_0" localSheetId="44">'204'!$P$40:$P$43</definedName>
    <definedName name="OSRRefP22_5x_0" localSheetId="45">'205'!$P$38:$P$40</definedName>
    <definedName name="OSRRefP22_5x_0" localSheetId="46">'206'!$P$38</definedName>
    <definedName name="OSRRefP22_5x_0" localSheetId="48">'300'!$P$150:$P$151</definedName>
    <definedName name="OSRRefP22_5x_0" localSheetId="49">'300 &amp; 317'!$P$173:$P$174</definedName>
    <definedName name="OSRRefP22_5x_0" localSheetId="50">'301'!$P$46:$P$47</definedName>
    <definedName name="OSRRefP22_5x_0" localSheetId="51">'306'!$P$34</definedName>
    <definedName name="OSRRefP22_5x_0" localSheetId="53">'307'!$P$59</definedName>
    <definedName name="OSRRefP22_5x_0" localSheetId="54">'308'!$P$85</definedName>
    <definedName name="OSRRefP22_5x_0" localSheetId="65">'309'!$P$32</definedName>
    <definedName name="OSRRefP22_5x_0" localSheetId="64">'310'!$P$51:$P$52</definedName>
    <definedName name="OSRRefP22_5x_0" localSheetId="72">'310 &amp; 491'!$P$56:$P$57</definedName>
    <definedName name="OSRRefP22_5x_0" localSheetId="55">'311'!$P$85</definedName>
    <definedName name="OSRRefP22_5x_0" localSheetId="66">'313'!$P$42</definedName>
    <definedName name="OSRRefP22_5x_0" localSheetId="58">'315'!$P$109</definedName>
    <definedName name="OSRRefP22_5x_0" localSheetId="61">'316'!$P$51</definedName>
    <definedName name="OSRRefP22_5x_0" localSheetId="63">'317'!$P$76:$P$77</definedName>
    <definedName name="OSRRefP22_5x_0" localSheetId="67">'321'!$P$44</definedName>
    <definedName name="OSRRefP22_5x_0" localSheetId="68">'322'!$P$36</definedName>
    <definedName name="OSRRefP22_5x_0" localSheetId="69">'325'!$P$43:$P$44</definedName>
    <definedName name="OSRRefP22_5x_0" localSheetId="59">'326'!$P$72</definedName>
    <definedName name="OSRRefP22_5x_0" localSheetId="52">'330'!$P$63:$P$64</definedName>
    <definedName name="OSRRefP22_5x_0" localSheetId="57">'331'!$P$108:$P$109</definedName>
    <definedName name="OSRRefP22_5x_0" localSheetId="60">'332'!$P$53</definedName>
    <definedName name="OSRRefP22_5x_0" localSheetId="74">'405'!$P$44:$P$45</definedName>
    <definedName name="OSRRefP22_5x_0" localSheetId="76">'411'!$P$42</definedName>
    <definedName name="OSRRefP22_5x_0" localSheetId="78">'413'!$P$34</definedName>
    <definedName name="OSRRefP22_5x_0" localSheetId="80">'415'!$P$44:$P$45</definedName>
    <definedName name="OSRRefP22_5x_0" localSheetId="81">'418'!$P$42</definedName>
    <definedName name="OSRRefP22_5x_0" localSheetId="85">'425'!$P$36:$P$37</definedName>
    <definedName name="OSRRefP22_5x_0" localSheetId="88">'430'!$P$37:$P$38</definedName>
    <definedName name="OSRRefP22_5x_0" localSheetId="89">'433'!$P$47</definedName>
    <definedName name="OSRRefP22_5x_0" localSheetId="91">'444'!$P$47</definedName>
    <definedName name="OSRRefP22_5x_0" localSheetId="92">'450'!$P$47</definedName>
    <definedName name="OSRRefP22_5x_0" localSheetId="73">'491'!$P$48:$P$49</definedName>
    <definedName name="OSRRefP22_5x_0" localSheetId="87">'492'!$P$48</definedName>
    <definedName name="OSRRefP22_5x_0" localSheetId="94">'501'!$P$45</definedName>
    <definedName name="OSRRefP22_5x_0" localSheetId="39">'Div 2'!$P$45</definedName>
    <definedName name="OSRRefP22_5x_0" localSheetId="47">'Div 3'!$P$155:$P$156</definedName>
    <definedName name="OSRRefP22_5x_0" localSheetId="71">'Div 4'!$P$51:$P$52</definedName>
    <definedName name="OSRRefP22_5x_0" localSheetId="93">'Div 5'!$P$45</definedName>
    <definedName name="OSRRefP22_5x_0" localSheetId="62">'Div 6'!$P$76:$P$77</definedName>
    <definedName name="OSRRefP22_5x_0" localSheetId="2">Summary!$P$182:$P$183</definedName>
    <definedName name="OSRRefP22_6x_0" localSheetId="41">'201'!$P$41</definedName>
    <definedName name="OSRRefP22_6x_0" localSheetId="42">'202'!$P$42</definedName>
    <definedName name="OSRRefP22_6x_0" localSheetId="43">'203'!$P$45</definedName>
    <definedName name="OSRRefP22_6x_0" localSheetId="44">'204'!$P$45</definedName>
    <definedName name="OSRRefP22_6x_0" localSheetId="45">'205'!$P$42</definedName>
    <definedName name="OSRRefP22_6x_0" localSheetId="46">'206'!$P$40</definedName>
    <definedName name="OSRRefP22_6x_0" localSheetId="48">'300'!$P$153:$P$154</definedName>
    <definedName name="OSRRefP22_6x_0" localSheetId="49">'300 &amp; 317'!$P$176:$P$177</definedName>
    <definedName name="OSRRefP22_6x_0" localSheetId="50">'301'!$P$49:$P$50</definedName>
    <definedName name="OSRRefP22_6x_0" localSheetId="53">'307'!$P$61</definedName>
    <definedName name="OSRRefP22_6x_0" localSheetId="54">'308'!$P$87:$P$88</definedName>
    <definedName name="OSRRefP22_6x_0" localSheetId="65">'309'!$P$34</definedName>
    <definedName name="OSRRefP22_6x_0" localSheetId="64">'310'!$P$54</definedName>
    <definedName name="OSRRefP22_6x_0" localSheetId="72">'310 &amp; 491'!$P$59</definedName>
    <definedName name="OSRRefP22_6x_0" localSheetId="55">'311'!$P$87:$P$88</definedName>
    <definedName name="OSRRefP22_6x_0" localSheetId="66">'313'!$P$44</definedName>
    <definedName name="OSRRefP22_6x_0" localSheetId="58">'315'!$P$111:$P$112</definedName>
    <definedName name="OSRRefP22_6x_0" localSheetId="61">'316'!$P$53:$P$54</definedName>
    <definedName name="OSRRefP22_6x_0" localSheetId="63">'317'!$P$79</definedName>
    <definedName name="OSRRefP22_6x_0" localSheetId="67">'321'!$P$46:$P$47</definedName>
    <definedName name="OSRRefP22_6x_0" localSheetId="68">'322'!$P$38</definedName>
    <definedName name="OSRRefP22_6x_0" localSheetId="69">'325'!$P$46</definedName>
    <definedName name="OSRRefP22_6x_0" localSheetId="59">'326'!$P$74</definedName>
    <definedName name="OSRRefP22_6x_0" localSheetId="52">'330'!$P$66</definedName>
    <definedName name="OSRRefP22_6x_0" localSheetId="57">'331'!$P$111</definedName>
    <definedName name="OSRRefP22_6x_0" localSheetId="60">'332'!$P$55:$P$56</definedName>
    <definedName name="OSRRefP22_6x_0" localSheetId="74">'405'!$P$47</definedName>
    <definedName name="OSRRefP22_6x_0" localSheetId="76">'411'!$P$44</definedName>
    <definedName name="OSRRefP22_6x_0" localSheetId="80">'415'!$P$47</definedName>
    <definedName name="OSRRefP22_6x_0" localSheetId="81">'418'!$P$44</definedName>
    <definedName name="OSRRefP22_6x_0" localSheetId="85">'425'!$P$39</definedName>
    <definedName name="OSRRefP22_6x_0" localSheetId="88">'430'!$P$40</definedName>
    <definedName name="OSRRefP22_6x_0" localSheetId="89">'433'!$P$49</definedName>
    <definedName name="OSRRefP22_6x_0" localSheetId="91">'444'!$P$49</definedName>
    <definedName name="OSRRefP22_6x_0" localSheetId="92">'450'!$P$49</definedName>
    <definedName name="OSRRefP22_6x_0" localSheetId="73">'491'!$P$51</definedName>
    <definedName name="OSRRefP22_6x_0" localSheetId="87">'492'!$P$50</definedName>
    <definedName name="OSRRefP22_6x_0" localSheetId="94">'501'!$P$47</definedName>
    <definedName name="OSRRefP22_6x_0" localSheetId="39">'Div 2'!$P$47</definedName>
    <definedName name="OSRRefP22_6x_0" localSheetId="47">'Div 3'!$P$158:$P$159</definedName>
    <definedName name="OSRRefP22_6x_0" localSheetId="71">'Div 4'!$P$54</definedName>
    <definedName name="OSRRefP22_6x_0" localSheetId="93">'Div 5'!$P$47</definedName>
    <definedName name="OSRRefP22_6x_0" localSheetId="62">'Div 6'!$P$79</definedName>
    <definedName name="OSRRefP22_6x_0" localSheetId="2">Summary!$P$185:$P$186</definedName>
    <definedName name="OSRRefP22_7x_0" localSheetId="41">'201'!$P$43</definedName>
    <definedName name="OSRRefP22_7x_0" localSheetId="42">'202'!$P$44:$P$46</definedName>
    <definedName name="OSRRefP22_7x_0" localSheetId="43">'203'!$P$47:$P$48</definedName>
    <definedName name="OSRRefP22_7x_0" localSheetId="44">'204'!$P$47:$P$48</definedName>
    <definedName name="OSRRefP22_7x_0" localSheetId="48">'300'!$P$156</definedName>
    <definedName name="OSRRefP22_7x_0" localSheetId="49">'300 &amp; 317'!$P$179</definedName>
    <definedName name="OSRRefP22_7x_0" localSheetId="50">'301'!$P$52</definedName>
    <definedName name="OSRRefP22_7x_0" localSheetId="53">'307'!$P$63</definedName>
    <definedName name="OSRRefP22_7x_0" localSheetId="54">'308'!$P$90</definedName>
    <definedName name="OSRRefP22_7x_0" localSheetId="64">'310'!$P$56</definedName>
    <definedName name="OSRRefP22_7x_0" localSheetId="72">'310 &amp; 491'!$P$61</definedName>
    <definedName name="OSRRefP22_7x_0" localSheetId="55">'311'!$P$90</definedName>
    <definedName name="OSRRefP22_7x_0" localSheetId="66">'313'!$P$46</definedName>
    <definedName name="OSRRefP22_7x_0" localSheetId="58">'315'!$P$114:$P$115</definedName>
    <definedName name="OSRRefP22_7x_0" localSheetId="61">'316'!$P$56</definedName>
    <definedName name="OSRRefP22_7x_0" localSheetId="63">'317'!$P$81</definedName>
    <definedName name="OSRRefP22_7x_0" localSheetId="67">'321'!$P$49</definedName>
    <definedName name="OSRRefP22_7x_0" localSheetId="68">'322'!$P$40</definedName>
    <definedName name="OSRRefP22_7x_0" localSheetId="69">'325'!$P$48</definedName>
    <definedName name="OSRRefP22_7x_0" localSheetId="59">'326'!$P$76</definedName>
    <definedName name="OSRRefP22_7x_0" localSheetId="52">'330'!$P$68</definedName>
    <definedName name="OSRRefP22_7x_0" localSheetId="57">'331'!$P$113</definedName>
    <definedName name="OSRRefP22_7x_0" localSheetId="60">'332'!$P$58</definedName>
    <definedName name="OSRRefP22_7x_0" localSheetId="74">'405'!$P$49</definedName>
    <definedName name="OSRRefP22_7x_0" localSheetId="76">'411'!$P$46</definedName>
    <definedName name="OSRRefP22_7x_0" localSheetId="80">'415'!$P$49</definedName>
    <definedName name="OSRRefP22_7x_0" localSheetId="81">'418'!$P$46</definedName>
    <definedName name="OSRRefP22_7x_0" localSheetId="85">'425'!$P$41</definedName>
    <definedName name="OSRRefP22_7x_0" localSheetId="88">'430'!$P$42</definedName>
    <definedName name="OSRRefP22_7x_0" localSheetId="89">'433'!$P$51</definedName>
    <definedName name="OSRRefP22_7x_0" localSheetId="91">'444'!$P$51</definedName>
    <definedName name="OSRRefP22_7x_0" localSheetId="92">'450'!$P$51</definedName>
    <definedName name="OSRRefP22_7x_0" localSheetId="73">'491'!$P$53</definedName>
    <definedName name="OSRRefP22_7x_0" localSheetId="87">'492'!$P$52</definedName>
    <definedName name="OSRRefP22_7x_0" localSheetId="94">'501'!$P$49:$P$50</definedName>
    <definedName name="OSRRefP22_7x_0" localSheetId="39">'Div 2'!$P$49</definedName>
    <definedName name="OSRRefP22_7x_0" localSheetId="47">'Div 3'!$P$161</definedName>
    <definedName name="OSRRefP22_7x_0" localSheetId="71">'Div 4'!$P$56</definedName>
    <definedName name="OSRRefP22_7x_0" localSheetId="93">'Div 5'!$P$49:$P$50</definedName>
    <definedName name="OSRRefP22_7x_0" localSheetId="62">'Div 6'!$P$81</definedName>
    <definedName name="OSRRefP22_7x_0" localSheetId="2">Summary!$P$188</definedName>
    <definedName name="OSRRefP22_8x_0" localSheetId="41">'201'!$P$45:$P$47</definedName>
    <definedName name="OSRRefP22_8x_0" localSheetId="42">'202'!$P$48</definedName>
    <definedName name="OSRRefP22_8x_0" localSheetId="43">'203'!$P$50:$P$51</definedName>
    <definedName name="OSRRefP22_8x_0" localSheetId="44">'204'!$P$50</definedName>
    <definedName name="OSRRefP22_8x_0" localSheetId="48">'300'!$P$158</definedName>
    <definedName name="OSRRefP22_8x_0" localSheetId="49">'300 &amp; 317'!$P$181</definedName>
    <definedName name="OSRRefP22_8x_0" localSheetId="50">'301'!$P$54</definedName>
    <definedName name="OSRRefP22_8x_0" localSheetId="53">'307'!$P$65:$P$66</definedName>
    <definedName name="OSRRefP22_8x_0" localSheetId="54">'308'!$P$92</definedName>
    <definedName name="OSRRefP22_8x_0" localSheetId="64">'310'!$P$58</definedName>
    <definedName name="OSRRefP22_8x_0" localSheetId="72">'310 &amp; 491'!$P$63:$P$64</definedName>
    <definedName name="OSRRefP22_8x_0" localSheetId="55">'311'!$P$92</definedName>
    <definedName name="OSRRefP22_8x_0" localSheetId="58">'315'!$P$117</definedName>
    <definedName name="OSRRefP22_8x_0" localSheetId="61">'316'!$P$58:$P$60</definedName>
    <definedName name="OSRRefP22_8x_0" localSheetId="63">'317'!$P$83:$P$85</definedName>
    <definedName name="OSRRefP22_8x_0" localSheetId="67">'321'!$P$51:$P$52</definedName>
    <definedName name="OSRRefP22_8x_0" localSheetId="69">'325'!$P$50</definedName>
    <definedName name="OSRRefP22_8x_0" localSheetId="59">'326'!$P$78</definedName>
    <definedName name="OSRRefP22_8x_0" localSheetId="52">'330'!$P$70:$P$71</definedName>
    <definedName name="OSRRefP22_8x_0" localSheetId="57">'331'!$P$115:$P$116</definedName>
    <definedName name="OSRRefP22_8x_0" localSheetId="60">'332'!$P$60:$P$62</definedName>
    <definedName name="OSRRefP22_8x_0" localSheetId="74">'405'!$P$51</definedName>
    <definedName name="OSRRefP22_8x_0" localSheetId="76">'411'!$P$48</definedName>
    <definedName name="OSRRefP22_8x_0" localSheetId="80">'415'!$P$51</definedName>
    <definedName name="OSRRefP22_8x_0" localSheetId="81">'418'!$P$48:$P$49</definedName>
    <definedName name="OSRRefP22_8x_0" localSheetId="85">'425'!$P$43</definedName>
    <definedName name="OSRRefP22_8x_0" localSheetId="88">'430'!$P$44</definedName>
    <definedName name="OSRRefP22_8x_0" localSheetId="89">'433'!$P$53</definedName>
    <definedName name="OSRRefP22_8x_0" localSheetId="91">'444'!$P$53</definedName>
    <definedName name="OSRRefP22_8x_0" localSheetId="92">'450'!$P$53</definedName>
    <definedName name="OSRRefP22_8x_0" localSheetId="73">'491'!$P$55</definedName>
    <definedName name="OSRRefP22_8x_0" localSheetId="87">'492'!$P$54</definedName>
    <definedName name="OSRRefP22_8x_0" localSheetId="94">'501'!$P$52:$P$53</definedName>
    <definedName name="OSRRefP22_8x_0" localSheetId="39">'Div 2'!$P$51</definedName>
    <definedName name="OSRRefP22_8x_0" localSheetId="47">'Div 3'!$P$163</definedName>
    <definedName name="OSRRefP22_8x_0" localSheetId="71">'Div 4'!$P$58</definedName>
    <definedName name="OSRRefP22_8x_0" localSheetId="93">'Div 5'!$P$52:$P$53</definedName>
    <definedName name="OSRRefP22_8x_0" localSheetId="62">'Div 6'!$P$83:$P$85</definedName>
    <definedName name="OSRRefP22_8x_0" localSheetId="2">Summary!$P$190</definedName>
    <definedName name="OSRRefP22_9x_0" localSheetId="41">'201'!$P$49:$P$50</definedName>
    <definedName name="OSRRefP22_9x_0" localSheetId="42">'202'!$P$50:$P$51</definedName>
    <definedName name="OSRRefP22_9x_0" localSheetId="43">'203'!$P$53</definedName>
    <definedName name="OSRRefP22_9x_0" localSheetId="48">'300'!$P$160</definedName>
    <definedName name="OSRRefP22_9x_0" localSheetId="49">'300 &amp; 317'!$P$183</definedName>
    <definedName name="OSRRefP22_9x_0" localSheetId="50">'301'!$P$56</definedName>
    <definedName name="OSRRefP22_9x_0" localSheetId="53">'307'!$P$68:$P$69</definedName>
    <definedName name="OSRRefP22_9x_0" localSheetId="54">'308'!$P$94:$P$96</definedName>
    <definedName name="OSRRefP22_9x_0" localSheetId="64">'310'!$P$60</definedName>
    <definedName name="OSRRefP22_9x_0" localSheetId="72">'310 &amp; 491'!$P$66</definedName>
    <definedName name="OSRRefP22_9x_0" localSheetId="55">'311'!$P$94:$P$96</definedName>
    <definedName name="OSRRefP22_9x_0" localSheetId="58">'315'!$P$119:$P$120</definedName>
    <definedName name="OSRRefP22_9x_0" localSheetId="61">'316'!$P$62</definedName>
    <definedName name="OSRRefP22_9x_0" localSheetId="63">'317'!$P$87</definedName>
    <definedName name="OSRRefP22_9x_0" localSheetId="67">'321'!$P$54:$P$58</definedName>
    <definedName name="OSRRefP22_9x_0" localSheetId="69">'325'!$P$52</definedName>
    <definedName name="OSRRefP22_9x_0" localSheetId="59">'326'!$P$80</definedName>
    <definedName name="OSRRefP22_9x_0" localSheetId="52">'330'!$P$73:$P$74</definedName>
    <definedName name="OSRRefP22_9x_0" localSheetId="57">'331'!$P$118</definedName>
    <definedName name="OSRRefP22_9x_0" localSheetId="60">'332'!$P$64</definedName>
    <definedName name="OSRRefP22_9x_0" localSheetId="74">'405'!$P$53</definedName>
    <definedName name="OSRRefP22_9x_0" localSheetId="76">'411'!$P$50:$P$52</definedName>
    <definedName name="OSRRefP22_9x_0" localSheetId="80">'415'!$P$53</definedName>
    <definedName name="OSRRefP22_9x_0" localSheetId="81">'418'!$P$51</definedName>
    <definedName name="OSRRefP22_9x_0" localSheetId="89">'433'!$P$55</definedName>
    <definedName name="OSRRefP22_9x_0" localSheetId="91">'444'!$P$55</definedName>
    <definedName name="OSRRefP22_9x_0" localSheetId="92">'450'!$P$55</definedName>
    <definedName name="OSRRefP22_9x_0" localSheetId="73">'491'!$P$57</definedName>
    <definedName name="OSRRefP22_9x_0" localSheetId="87">'492'!$P$56</definedName>
    <definedName name="OSRRefP22_9x_0" localSheetId="94">'501'!$P$55</definedName>
    <definedName name="OSRRefP22_9x_0" localSheetId="39">'Div 2'!$P$53:$P$54</definedName>
    <definedName name="OSRRefP22_9x_0" localSheetId="47">'Div 3'!$P$165</definedName>
    <definedName name="OSRRefP22_9x_0" localSheetId="71">'Div 4'!$P$60</definedName>
    <definedName name="OSRRefP22_9x_0" localSheetId="93">'Div 5'!$P$55</definedName>
    <definedName name="OSRRefP22_9x_0" localSheetId="62">'Div 6'!$P$87</definedName>
    <definedName name="OSRRefP22_9x_0" localSheetId="2">Summary!$P$192</definedName>
    <definedName name="OSRRefP22x_0" localSheetId="40">'200'!$P$20,'200'!$P$22,'200'!$P$24,'200'!$P$26</definedName>
    <definedName name="OSRRefP22x_0" localSheetId="41">'201'!$P$20:$P$27,'201'!$P$29:$P$31,'201'!$P$33,'201'!$P$35,'201'!$P$37,'201'!$P$39,'201'!$P$41,'201'!$P$43,'201'!$P$45:$P$47,'201'!$P$49:$P$50,'201'!$P$52,'201'!$P$54:$P$55,'201'!$P$57,'201'!$P$59</definedName>
    <definedName name="OSRRefP22x_0" localSheetId="42">'202'!$P$20:$P$27,'202'!$P$29:$P$31,'202'!$P$33,'202'!$P$35,'202'!$P$37,'202'!$P$39:$P$40,'202'!$P$42,'202'!$P$44:$P$46,'202'!$P$48,'202'!$P$50:$P$51,'202'!$P$53,'202'!$P$55,'202'!$P$57</definedName>
    <definedName name="OSRRefP22x_0" localSheetId="43">'203'!$P$20:$P$29,'203'!$P$31:$P$35,'203'!$P$37,'203'!$P$39,'203'!$P$41,'203'!$P$43,'203'!$P$45,'203'!$P$47:$P$48,'203'!$P$50:$P$51,'203'!$P$53,'203'!$P$55:$P$58,'203'!$P$60,'203'!$P$62,'203'!$P$64</definedName>
    <definedName name="OSRRefP22x_0" localSheetId="44">'204'!$P$20:$P$28,'204'!$P$30:$P$32,'204'!$P$34,'204'!$P$36,'204'!$P$38,'204'!$P$40:$P$43,'204'!$P$45,'204'!$P$47:$P$48,'204'!$P$50</definedName>
    <definedName name="OSRRefP22x_0" localSheetId="45">'205'!$P$20:$P$27,'205'!$P$29,'205'!$P$31,'205'!$P$33,'205'!$P$35:$P$36,'205'!$P$38:$P$40,'205'!$P$42</definedName>
    <definedName name="OSRRefP22x_0" localSheetId="46">'206'!$P$20:$P$26,'206'!$P$28:$P$30,'206'!$P$32,'206'!$P$34,'206'!$P$36,'206'!$P$38,'206'!$P$40</definedName>
    <definedName name="OSRRefP22x_0" localSheetId="48">'300'!$P$125:$P$134,'300'!$P$136:$P$142,'300'!$P$144,'300'!$P$146,'300'!$P$148,'300'!$P$150:$P$151,'300'!$P$153:$P$154,'300'!$P$156,'300'!$P$158,'300'!$P$160,'300'!$P$162:$P$163,'300'!$P$165,'300'!$P$167,'300'!$P$169:$P$170,'300'!$P$172,'300'!$P$174,'300'!$P$176:$P$179,'300'!$P$181:$P$183,'300'!$P$185:$P$188,'300'!$P$190:$P$191,'300'!$P$193:$P$199,'300'!$P$201:$P$202,'300'!$P$204,'300'!$P$206:$P$208,'300'!$P$210</definedName>
    <definedName name="OSRRefP22x_0" localSheetId="49">'300 &amp; 317'!$P$148:$P$157,'300 &amp; 317'!$P$159:$P$165,'300 &amp; 317'!$P$167,'300 &amp; 317'!$P$169,'300 &amp; 317'!$P$171,'300 &amp; 317'!$P$173:$P$174,'300 &amp; 317'!$P$176:$P$177,'300 &amp; 317'!$P$179,'300 &amp; 317'!$P$181,'300 &amp; 317'!$P$183,'300 &amp; 317'!$P$185:$P$186,'300 &amp; 317'!$P$188,'300 &amp; 317'!$P$190,'300 &amp; 317'!$P$192:$P$193,'300 &amp; 317'!$P$195,'300 &amp; 317'!$P$197,'300 &amp; 317'!$P$199:$P$202,'300 &amp; 317'!$P$204:$P$206,'300 &amp; 317'!$P$208:$P$211,'300 &amp; 317'!$P$213:$P$214,'300 &amp; 317'!$P$216:$P$222,'300 &amp; 317'!$P$224:$P$225,'300 &amp; 317'!$P$227,'300 &amp; 317'!$P$229:$P$231,'300 &amp; 317'!$P$233</definedName>
    <definedName name="OSRRefP22x_0" localSheetId="50">'301'!$P$21:$P$30,'301'!$P$32:$P$38,'301'!$P$40,'301'!$P$42,'301'!$P$44,'301'!$P$46:$P$47,'301'!$P$49:$P$50,'301'!$P$52,'301'!$P$54,'301'!$P$56,'301'!$P$58,'301'!$P$60,'301'!$P$62,'301'!$P$64,'301'!$P$66,'301'!$P$68:$P$71,'301'!$P$73:$P$75,'301'!$P$77,'301'!$P$79:$P$84,'301'!$P$86,'301'!$P$88,'301'!$P$90:$P$91,'301'!$P$93</definedName>
    <definedName name="OSRRefP22x_0" localSheetId="51">'306'!$P$20:$P$23,'306'!$P$25:$P$26,'306'!$P$28,'306'!$P$30,'306'!$P$32,'306'!$P$34</definedName>
    <definedName name="OSRRefP22x_0" localSheetId="53">'307'!$P$43:$P$45,'307'!$P$47:$P$50,'307'!$P$52,'307'!$P$54,'307'!$P$56:$P$57,'307'!$P$59,'307'!$P$61,'307'!$P$63,'307'!$P$65:$P$66,'307'!$P$68:$P$69,'307'!$P$71:$P$74,'307'!$P$76,'307'!$P$78</definedName>
    <definedName name="OSRRefP22x_0" localSheetId="54">'308'!$P$61:$P$69,'308'!$P$71:$P$77,'308'!$P$79,'308'!$P$81,'308'!$P$83,'308'!$P$85,'308'!$P$87:$P$88,'308'!$P$90,'308'!$P$92,'308'!$P$94:$P$96,'308'!$P$98,'308'!$P$100:$P$101,'308'!$P$103:$P$104,'308'!$P$106</definedName>
    <definedName name="OSRRefP22x_0" localSheetId="65">'309'!$P$20,'309'!$P$22,'309'!$P$24,'309'!$P$26:$P$27,'309'!$P$29:$P$30,'309'!$P$32,'309'!$P$34</definedName>
    <definedName name="OSRRefP22x_0" localSheetId="64">'310'!$P$31:$P$38,'310'!$P$40:$P$43,'310'!$P$45,'310'!$P$47,'310'!$P$49,'310'!$P$51:$P$52,'310'!$P$54,'310'!$P$56,'310'!$P$58,'310'!$P$60,'310'!$P$62,'310'!$P$64:$P$65,'310'!$P$67,'310'!$P$69:$P$72,'310'!$P$74:$P$78,'310'!$P$80,'310'!$P$82</definedName>
    <definedName name="OSRRefP22x_0" localSheetId="72">'310 &amp; 491'!$P$35:$P$42,'310 &amp; 491'!$P$44:$P$48,'310 &amp; 491'!$P$50,'310 &amp; 491'!$P$52,'310 &amp; 491'!$P$54,'310 &amp; 491'!$P$56:$P$57,'310 &amp; 491'!$P$59,'310 &amp; 491'!$P$61,'310 &amp; 491'!$P$63:$P$64,'310 &amp; 491'!$P$66,'310 &amp; 491'!$P$68,'310 &amp; 491'!$P$70,'310 &amp; 491'!$P$72,'310 &amp; 491'!$P$74:$P$76,'310 &amp; 491'!$P$78,'310 &amp; 491'!$P$80:$P$83,'310 &amp; 491'!$P$85,'310 &amp; 491'!$P$87:$P$95,'310 &amp; 491'!$P$97,'310 &amp; 491'!$P$99,'310 &amp; 491'!$P$101:$P$102,'310 &amp; 491'!$P$104</definedName>
    <definedName name="OSRRefP22x_0" localSheetId="55">'311'!$P$61:$P$69,'311'!$P$71:$P$77,'311'!$P$79,'311'!$P$81,'311'!$P$83,'311'!$P$85,'311'!$P$87:$P$88,'311'!$P$90,'311'!$P$92,'311'!$P$94:$P$96,'311'!$P$98,'311'!$P$100:$P$101,'311'!$P$103:$P$104,'311'!$P$106</definedName>
    <definedName name="OSRRefP22x_0" localSheetId="66">'313'!$P$25:$P$32,'313'!$P$34,'313'!$P$36,'313'!$P$38,'313'!$P$40,'313'!$P$42,'313'!$P$44,'313'!$P$46</definedName>
    <definedName name="OSRRefP22x_0" localSheetId="58">'315'!$P$87:$P$94,'315'!$P$96:$P$100,'315'!$P$102,'315'!$P$104:$P$105,'315'!$P$107,'315'!$P$109,'315'!$P$111:$P$112,'315'!$P$114:$P$115,'315'!$P$117,'315'!$P$119:$P$120,'315'!$P$122:$P$123,'315'!$P$125:$P$126,'315'!$P$128:$P$131,'315'!$P$133,'315'!$P$135</definedName>
    <definedName name="OSRRefP22x_0" localSheetId="61">'316'!$P$32:$P$39,'316'!$P$41:$P$43,'316'!$P$45,'316'!$P$47,'316'!$P$49,'316'!$P$51,'316'!$P$53:$P$54,'316'!$P$56,'316'!$P$58:$P$60,'316'!$P$62,'316'!$P$64:$P$68,'316'!$P$70,'316'!$P$72</definedName>
    <definedName name="OSRRefP22x_0" localSheetId="63">'317'!$P$54:$P$62,'317'!$P$64:$P$68,'317'!$P$70,'317'!$P$72,'317'!$P$74,'317'!$P$76:$P$77,'317'!$P$79,'317'!$P$81,'317'!$P$83:$P$85,'317'!$P$87,'317'!$P$89</definedName>
    <definedName name="OSRRefP22x_0" localSheetId="67">'321'!$P$24:$P$31,'321'!$P$33:$P$36,'321'!$P$38,'321'!$P$40,'321'!$P$42,'321'!$P$44,'321'!$P$46:$P$47,'321'!$P$49,'321'!$P$51:$P$52,'321'!$P$54:$P$58,'321'!$P$60,'321'!$P$62</definedName>
    <definedName name="OSRRefP22x_0" localSheetId="68">'322'!$P$21:$P$25,'322'!$P$27,'322'!$P$29,'322'!$P$31,'322'!$P$33:$P$34,'322'!$P$36,'322'!$P$38,'322'!$P$40</definedName>
    <definedName name="OSRRefP22x_0" localSheetId="69">'325'!$P$24:$P$31,'325'!$P$33:$P$35,'325'!$P$37,'325'!$P$39,'325'!$P$41,'325'!$P$43:$P$44,'325'!$P$46,'325'!$P$48,'325'!$P$50,'325'!$P$52,'325'!$P$54:$P$55,'325'!$P$57:$P$60,'325'!$P$62:$P$65,'325'!$P$67,'325'!$P$69</definedName>
    <definedName name="OSRRefP22x_0" localSheetId="59">'326'!$P$51:$P$58,'326'!$P$60:$P$64,'326'!$P$66,'326'!$P$68,'326'!$P$70,'326'!$P$72,'326'!$P$74,'326'!$P$76,'326'!$P$78,'326'!$P$80,'326'!$P$82,'326'!$P$84:$P$86,'326'!$P$88:$P$90,'326'!$P$92:$P$93,'326'!$P$95:$P$98,'326'!$P$100,'326'!$P$102,'326'!$P$104</definedName>
    <definedName name="OSRRefP22x_0" localSheetId="70">'327'!$P$24</definedName>
    <definedName name="OSRRefP22x_0" localSheetId="52">'330'!$P$46:$P$49,'330'!$P$51:$P$54,'330'!$P$56,'330'!$P$58,'330'!$P$60:$P$61,'330'!$P$63:$P$64,'330'!$P$66,'330'!$P$68,'330'!$P$70:$P$71,'330'!$P$73:$P$74,'330'!$P$76:$P$79,'330'!$P$81,'330'!$P$83</definedName>
    <definedName name="OSRRefP22x_0" localSheetId="57">'331'!$P$87:$P$94,'331'!$P$96:$P$100,'331'!$P$102,'331'!$P$104,'331'!$P$106,'331'!$P$108:$P$109,'331'!$P$111,'331'!$P$113,'331'!$P$115:$P$116,'331'!$P$118,'331'!$P$120,'331'!$P$122:$P$123,'331'!$P$125,'331'!$P$127,'331'!$P$129:$P$131,'331'!$P$133:$P$134,'331'!$P$136:$P$138,'331'!$P$140:$P$141,'331'!$P$143:$P$147,'331'!$P$149,'331'!$P$151,'331'!$P$153</definedName>
    <definedName name="OSRRefP22x_0" localSheetId="60">'332'!$P$34:$P$41,'332'!$P$43:$P$45,'332'!$P$47,'332'!$P$49,'332'!$P$51,'332'!$P$53,'332'!$P$55:$P$56,'332'!$P$58,'332'!$P$60:$P$62,'332'!$P$64,'332'!$P$66:$P$70,'332'!$P$72,'332'!$P$74</definedName>
    <definedName name="OSRRefP22x_0" localSheetId="74">'405'!$P$24:$P$31,'405'!$P$33:$P$36,'405'!$P$38,'405'!$P$40,'405'!$P$42,'405'!$P$44:$P$45,'405'!$P$47,'405'!$P$49,'405'!$P$51,'405'!$P$53,'405'!$P$55:$P$56,'405'!$P$58:$P$61,'405'!$P$63,'405'!$P$65:$P$72,'405'!$P$74,'405'!$P$76</definedName>
    <definedName name="OSRRefP22x_0" localSheetId="75">'406'!$P$20,'406'!$P$22,'406'!$P$24,'406'!$P$26,'406'!$P$28</definedName>
    <definedName name="OSRRefP22x_0" localSheetId="76">'411'!$P$20:$P$27,'411'!$P$29:$P$33,'411'!$P$35,'411'!$P$37:$P$38,'411'!$P$40,'411'!$P$42,'411'!$P$44,'411'!$P$46,'411'!$P$48,'411'!$P$50:$P$52,'411'!$P$54:$P$56,'411'!$P$58:$P$59,'411'!$P$61,'411'!$P$63:$P$64,'411'!$P$66</definedName>
    <definedName name="OSRRefP22x_0" localSheetId="77">'412'!$P$20,'412'!$P$22,'412'!$P$24:$P$25,'412'!$P$27,'412'!$P$29</definedName>
    <definedName name="OSRRefP22x_0" localSheetId="78">'413'!$P$20:$P$24,'413'!$P$26,'413'!$P$28,'413'!$P$30,'413'!$P$32,'413'!$P$34</definedName>
    <definedName name="OSRRefP22x_0" localSheetId="79">'414'!$P$21,'414'!$P$23,'414'!$P$25,'414'!$P$27,'414'!$P$29:$P$30</definedName>
    <definedName name="OSRRefP22x_0" localSheetId="80">'415'!$P$24:$P$31,'415'!$P$33:$P$36,'415'!$P$38,'415'!$P$40,'415'!$P$42,'415'!$P$44:$P$45,'415'!$P$47,'415'!$P$49,'415'!$P$51,'415'!$P$53,'415'!$P$55,'415'!$P$57:$P$58,'415'!$P$60:$P$63,'415'!$P$65,'415'!$P$67:$P$72,'415'!$P$74,'415'!$P$76,'415'!$P$78</definedName>
    <definedName name="OSRRefP22x_0" localSheetId="81">'418'!$P$21:$P$28,'418'!$P$30:$P$33,'418'!$P$35,'418'!$P$37,'418'!$P$39:$P$40,'418'!$P$42,'418'!$P$44,'418'!$P$46,'418'!$P$48:$P$49,'418'!$P$51,'418'!$P$53,'418'!$P$55:$P$59,'418'!$P$61</definedName>
    <definedName name="OSRRefP22x_0" localSheetId="82">'420'!$P$21</definedName>
    <definedName name="OSRRefP22x_0" localSheetId="83">'423'!$P$20:$P$21,'423'!$P$23,'423'!$P$25,'423'!$P$27</definedName>
    <definedName name="OSRRefP22x_0" localSheetId="84">'424'!$P$20,'424'!$P$22,'424'!$P$24,'424'!$P$26</definedName>
    <definedName name="OSRRefP22x_0" localSheetId="85">'425'!$P$22:$P$26,'425'!$P$28,'425'!$P$30,'425'!$P$32,'425'!$P$34,'425'!$P$36:$P$37,'425'!$P$39,'425'!$P$41,'425'!$P$43</definedName>
    <definedName name="OSRRefP22x_0" localSheetId="88">'430'!$P$20:$P$27,'430'!$P$29,'430'!$P$31,'430'!$P$33,'430'!$P$35,'430'!$P$37:$P$38,'430'!$P$40,'430'!$P$42,'430'!$P$44</definedName>
    <definedName name="OSRRefP22x_0" localSheetId="89">'433'!$P$25:$P$33,'433'!$P$35:$P$39,'433'!$P$41,'433'!$P$43,'433'!$P$45,'433'!$P$47,'433'!$P$49,'433'!$P$51,'433'!$P$53,'433'!$P$55,'433'!$P$57,'433'!$P$59:$P$60,'433'!$P$62:$P$64,'433'!$P$66:$P$73,'433'!$P$75</definedName>
    <definedName name="OSRRefP22x_0" localSheetId="90">'435'!$P$20</definedName>
    <definedName name="OSRRefP22x_0" localSheetId="91">'444'!$P$25:$P$33,'444'!$P$35:$P$39,'444'!$P$41,'444'!$P$43,'444'!$P$45,'444'!$P$47,'444'!$P$49,'444'!$P$51,'444'!$P$53,'444'!$P$55,'444'!$P$57,'444'!$P$59:$P$60,'444'!$P$62:$P$65,'444'!$P$67,'444'!$P$69:$P$76,'444'!$P$78,'444'!$P$80</definedName>
    <definedName name="OSRRefP22x_0" localSheetId="92">'450'!$P$25:$P$33,'450'!$P$35:$P$39,'450'!$P$41,'450'!$P$43,'450'!$P$45,'450'!$P$47,'450'!$P$49,'450'!$P$51,'450'!$P$53,'450'!$P$55,'450'!$P$57,'450'!$P$59,'450'!$P$61:$P$62,'450'!$P$64:$P$66,'450'!$P$68:$P$73,'450'!$P$75,'450'!$P$77</definedName>
    <definedName name="OSRRefP22x_0" localSheetId="73">'491'!$P$27:$P$34,'491'!$P$36:$P$40,'491'!$P$42,'491'!$P$44,'491'!$P$46,'491'!$P$48:$P$49,'491'!$P$51,'491'!$P$53,'491'!$P$55,'491'!$P$57,'491'!$P$59,'491'!$P$61,'491'!$P$63,'491'!$P$65:$P$67,'491'!$P$69,'491'!$P$71:$P$74,'491'!$P$76,'491'!$P$78:$P$86,'491'!$P$88,'491'!$P$90,'491'!$P$92:$P$93,'491'!$P$95</definedName>
    <definedName name="OSRRefP22x_0" localSheetId="87">'492'!$P$25:$P$33,'492'!$P$35:$P$40,'492'!$P$42,'492'!$P$44,'492'!$P$46,'492'!$P$48,'492'!$P$50,'492'!$P$52,'492'!$P$54,'492'!$P$56,'492'!$P$58,'492'!$P$60,'492'!$P$62:$P$64,'492'!$P$66:$P$69,'492'!$P$71,'492'!$P$73:$P$80,'492'!$P$82,'492'!$P$84,'492'!$P$86:$P$87</definedName>
    <definedName name="OSRRefP22x_0" localSheetId="94">'501'!$P$21:$P$29,'501'!$P$31:$P$36,'501'!$P$38,'501'!$P$40,'501'!$P$42:$P$43,'501'!$P$45,'501'!$P$47,'501'!$P$49:$P$50,'501'!$P$52:$P$53,'501'!$P$55,'501'!$P$57</definedName>
    <definedName name="OSRRefP22x_0" localSheetId="39">'Div 2'!$P$20:$P$30,'Div 2'!$P$32:$P$37,'Div 2'!$P$39,'Div 2'!$P$41,'Div 2'!$P$43,'Div 2'!$P$45,'Div 2'!$P$47,'Div 2'!$P$49,'Div 2'!$P$51,'Div 2'!$P$53:$P$54,'Div 2'!$P$56,'Div 2'!$P$58,'Div 2'!$P$60:$P$62,'Div 2'!$P$64:$P$67,'Div 2'!$P$69,'Div 2'!$P$71,'Div 2'!$P$73:$P$77,'Div 2'!$P$79:$P$80,'Div 2'!$P$82,'Div 2'!$P$84:$P$85</definedName>
    <definedName name="OSRRefP22x_0" localSheetId="47">'Div 3'!$P$130:$P$139,'Div 3'!$P$141:$P$147,'Div 3'!$P$149,'Div 3'!$P$151,'Div 3'!$P$153,'Div 3'!$P$155:$P$156,'Div 3'!$P$158:$P$159,'Div 3'!$P$161,'Div 3'!$P$163,'Div 3'!$P$165,'Div 3'!$P$167:$P$168,'Div 3'!$P$170,'Div 3'!$P$172,'Div 3'!$P$174,'Div 3'!$P$176:$P$177,'Div 3'!$P$179,'Div 3'!$P$181,'Div 3'!$P$183:$P$186,'Div 3'!$P$188:$P$190,'Div 3'!$P$192:$P$196,'Div 3'!$P$198:$P$199,'Div 3'!$P$201:$P$207,'Div 3'!$P$209:$P$210,'Div 3'!$P$212,'Div 3'!$P$214:$P$216,'Div 3'!$P$218</definedName>
    <definedName name="OSRRefP22x_0" localSheetId="71">'Div 4'!$P$28:$P$36,'Div 4'!$P$38:$P$43,'Div 4'!$P$45,'Div 4'!$P$47,'Div 4'!$P$49,'Div 4'!$P$51:$P$52,'Div 4'!$P$54,'Div 4'!$P$56,'Div 4'!$P$58,'Div 4'!$P$60,'Div 4'!$P$62,'Div 4'!$P$64,'Div 4'!$P$66,'Div 4'!$P$68,'Div 4'!$P$70,'Div 4'!$P$72:$P$74,'Div 4'!$P$76,'Div 4'!$P$78:$P$81,'Div 4'!$P$83:$P$84,'Div 4'!$P$86:$P$94,'Div 4'!$P$96,'Div 4'!$P$98,'Div 4'!$P$100:$P$101,'Div 4'!$P$103</definedName>
    <definedName name="OSRRefP22x_0" localSheetId="93">'Div 5'!$P$21:$P$29,'Div 5'!$P$31:$P$36,'Div 5'!$P$38,'Div 5'!$P$40,'Div 5'!$P$42:$P$43,'Div 5'!$P$45,'Div 5'!$P$47,'Div 5'!$P$49:$P$50,'Div 5'!$P$52:$P$53,'Div 5'!$P$55,'Div 5'!$P$57</definedName>
    <definedName name="OSRRefP22x_0" localSheetId="62">'Div 6'!$P$54:$P$62,'Div 6'!$P$64:$P$68,'Div 6'!$P$70,'Div 6'!$P$72,'Div 6'!$P$74,'Div 6'!$P$76:$P$77,'Div 6'!$P$79,'Div 6'!$P$81,'Div 6'!$P$83:$P$85,'Div 6'!$P$87,'Div 6'!$P$89</definedName>
    <definedName name="OSRRefP22x_0" localSheetId="2">Summary!$P$157:$P$166,Summary!$P$168:$P$174,Summary!$P$176,Summary!$P$178,Summary!$P$180,Summary!$P$182:$P$183,Summary!$P$185:$P$186,Summary!$P$188,Summary!$P$190,Summary!$P$192,Summary!$P$194:$P$195,Summary!$P$197,Summary!$P$199,Summary!$P$201,Summary!$P$203:$P$204,Summary!$P$206,Summary!$P$208,Summary!$P$210,Summary!$P$212:$P$215,Summary!$P$217:$P$219,Summary!$P$221:$P$225,Summary!$P$227:$P$228,Summary!$P$230:$P$238,Summary!$P$240:$P$241,Summary!$P$243,Summary!$P$245:$P$247,Summary!$P$249</definedName>
    <definedName name="OSRRefP25x_0" localSheetId="48">'300'!$P$213:$P$216</definedName>
    <definedName name="OSRRefP25x_0" localSheetId="49">'300 &amp; 317'!$P$236:$P$241</definedName>
    <definedName name="OSRRefP25x_0" localSheetId="50">'301'!$P$96</definedName>
    <definedName name="OSRRefP25x_0" localSheetId="54">'308'!$P$109:$P$111</definedName>
    <definedName name="OSRRefP25x_0" localSheetId="72">'310 &amp; 491'!$P$107:$P$109</definedName>
    <definedName name="OSRRefP25x_0" localSheetId="55">'311'!$P$109:$P$111</definedName>
    <definedName name="OSRRefP25x_0" localSheetId="58">'315'!$P$138:$P$139</definedName>
    <definedName name="OSRRefP25x_0" localSheetId="61">'316'!$P$75</definedName>
    <definedName name="OSRRefP25x_0" localSheetId="63">'317'!$P$92:$P$94</definedName>
    <definedName name="OSRRefP25x_0" localSheetId="57">'331'!$P$156:$P$157</definedName>
    <definedName name="OSRRefP25x_0" localSheetId="60">'332'!$P$77:$P$78</definedName>
    <definedName name="OSRRefP25x_0" localSheetId="74">'405'!$P$79</definedName>
    <definedName name="OSRRefP25x_0" localSheetId="76">'411'!$P$69:$P$70</definedName>
    <definedName name="OSRRefP25x_0" localSheetId="80">'415'!$P$81</definedName>
    <definedName name="OSRRefP25x_0" localSheetId="81">'418'!$P$64</definedName>
    <definedName name="OSRRefP25x_0" localSheetId="83">'423'!$P$30</definedName>
    <definedName name="OSRRefP25x_0" localSheetId="86">'455'!$P$21:$P$22</definedName>
    <definedName name="OSRRefP25x_0" localSheetId="73">'491'!$P$98:$P$100</definedName>
    <definedName name="OSRRefP25x_0" localSheetId="94">'501'!$P$60</definedName>
    <definedName name="OSRRefP25x_0" localSheetId="47">'Div 3'!$P$221:$P$224</definedName>
    <definedName name="OSRRefP25x_0" localSheetId="71">'Div 4'!$P$106:$P$108</definedName>
    <definedName name="OSRRefP25x_0" localSheetId="93">'Div 5'!$P$60</definedName>
    <definedName name="OSRRefP25x_0" localSheetId="62">'Div 6'!$P$92:$P$94</definedName>
    <definedName name="OSRRefP25x_0" localSheetId="2">Summary!$P$252:$P$259</definedName>
    <definedName name="OSRRefT13x_0" localSheetId="48">'300'!$T$13:$T$77</definedName>
    <definedName name="OSRRefT13x_0" localSheetId="49">'300 &amp; 317'!$T$13:$T$91</definedName>
    <definedName name="OSRRefT13x_0" localSheetId="53">'307'!$T$13:$T$25</definedName>
    <definedName name="OSRRefT13x_0" localSheetId="54">'308'!$T$13:$T$36</definedName>
    <definedName name="OSRRefT13x_0" localSheetId="64">'310'!$T$13:$T$21</definedName>
    <definedName name="OSRRefT13x_0" localSheetId="72">'310 &amp; 491'!$T$13:$T$25</definedName>
    <definedName name="OSRRefT13x_0" localSheetId="55">'311'!$T$13:$T$36</definedName>
    <definedName name="OSRRefT13x_0" localSheetId="66">'313'!$T$13:$T$16</definedName>
    <definedName name="OSRRefT13x_0" localSheetId="58">'315'!$T$13:$T$54</definedName>
    <definedName name="OSRRefT13x_0" localSheetId="61">'316'!$T$13:$T$23</definedName>
    <definedName name="OSRRefT13x_0" localSheetId="63">'317'!$T$13:$T$33</definedName>
    <definedName name="OSRRefT13x_0" localSheetId="67">'321'!$T$13:$T$14</definedName>
    <definedName name="OSRRefT13x_0" localSheetId="56">'324'!$T$13:$T$16</definedName>
    <definedName name="OSRRefT13x_0" localSheetId="69">'325'!$T$13:$T$14</definedName>
    <definedName name="OSRRefT13x_0" localSheetId="59">'326'!$T$13:$T$36</definedName>
    <definedName name="OSRRefT13x_0" localSheetId="70">'327'!$T$13:$T$14</definedName>
    <definedName name="OSRRefT13x_0" localSheetId="52">'330'!$T$13:$T$28</definedName>
    <definedName name="OSRRefT13x_0" localSheetId="57">'331'!$T$13:$T$54</definedName>
    <definedName name="OSRRefT13x_0" localSheetId="60">'332'!$T$13:$T$23</definedName>
    <definedName name="OSRRefT13x_0" localSheetId="74">'405'!$T$13:$T$14</definedName>
    <definedName name="OSRRefT13x_0" localSheetId="79">'414'!$T$13</definedName>
    <definedName name="OSRRefT13x_0" localSheetId="80">'415'!$T$13:$T$14</definedName>
    <definedName name="OSRRefT13x_0" localSheetId="82">'420'!$T$13</definedName>
    <definedName name="OSRRefT13x_0" localSheetId="85">'425'!$T$13</definedName>
    <definedName name="OSRRefT13x_0" localSheetId="89">'433'!$T$13:$T$15</definedName>
    <definedName name="OSRRefT13x_0" localSheetId="91">'444'!$T$13:$T$15</definedName>
    <definedName name="OSRRefT13x_0" localSheetId="92">'450'!$T$13:$T$15</definedName>
    <definedName name="OSRRefT13x_0" localSheetId="73">'491'!$T$13:$T$17</definedName>
    <definedName name="OSRRefT13x_0" localSheetId="87">'492'!$T$13:$T$15</definedName>
    <definedName name="OSRRefT13x_0" localSheetId="94">'501'!$T$13</definedName>
    <definedName name="OSRRefT13x_0" localSheetId="47">'Div 3'!$T$13:$T$80</definedName>
    <definedName name="OSRRefT13x_0" localSheetId="71">'Div 4'!$T$13:$T$18</definedName>
    <definedName name="OSRRefT13x_0" localSheetId="93">'Div 5'!$T$13</definedName>
    <definedName name="OSRRefT13x_0" localSheetId="62">'Div 6'!$T$13:$T$33</definedName>
    <definedName name="OSRRefT13x_0" localSheetId="2">Summary!$T$13:$T$98</definedName>
    <definedName name="OSRRefT16x_0" localSheetId="48">'300'!$T$80:$T$119</definedName>
    <definedName name="OSRRefT16x_0" localSheetId="49">'300 &amp; 317'!$T$94:$T$142</definedName>
    <definedName name="OSRRefT16x_0" localSheetId="50">'301'!$T$15</definedName>
    <definedName name="OSRRefT16x_0" localSheetId="53">'307'!$T$28:$T$37</definedName>
    <definedName name="OSRRefT16x_0" localSheetId="54">'308'!$T$39:$T$55</definedName>
    <definedName name="OSRRefT16x_0" localSheetId="64">'310'!$T$24:$T$25</definedName>
    <definedName name="OSRRefT16x_0" localSheetId="72">'310 &amp; 491'!$T$28:$T$29</definedName>
    <definedName name="OSRRefT16x_0" localSheetId="55">'311'!$T$39:$T$55</definedName>
    <definedName name="OSRRefT16x_0" localSheetId="66">'313'!$T$19</definedName>
    <definedName name="OSRRefT16x_0" localSheetId="58">'315'!$T$57:$T$81</definedName>
    <definedName name="OSRRefT16x_0" localSheetId="61">'316'!$T$26</definedName>
    <definedName name="OSRRefT16x_0" localSheetId="63">'317'!$T$36:$T$48</definedName>
    <definedName name="OSRRefT16x_0" localSheetId="67">'321'!$T$17:$T$18</definedName>
    <definedName name="OSRRefT16x_0" localSheetId="68">'322'!$T$15</definedName>
    <definedName name="OSRRefT16x_0" localSheetId="56">'324'!$T$19:$T$21</definedName>
    <definedName name="OSRRefT16x_0" localSheetId="69">'325'!$T$17:$T$18</definedName>
    <definedName name="OSRRefT16x_0" localSheetId="59">'326'!$T$39:$T$45</definedName>
    <definedName name="OSRRefT16x_0" localSheetId="70">'327'!$T$17:$T$18</definedName>
    <definedName name="OSRRefT16x_0" localSheetId="52">'330'!$T$31:$T$40</definedName>
    <definedName name="OSRRefT16x_0" localSheetId="57">'331'!$T$57:$T$81</definedName>
    <definedName name="OSRRefT16x_0" localSheetId="60">'332'!$T$26:$T$28</definedName>
    <definedName name="OSRRefT16x_0" localSheetId="74">'405'!$T$17:$T$18</definedName>
    <definedName name="OSRRefT16x_0" localSheetId="80">'415'!$T$17:$T$18</definedName>
    <definedName name="OSRRefT16x_0" localSheetId="81">'418'!$T$15</definedName>
    <definedName name="OSRRefT16x_0" localSheetId="85">'425'!$T$16</definedName>
    <definedName name="OSRRefT16x_0" localSheetId="89">'433'!$T$18:$T$19</definedName>
    <definedName name="OSRRefT16x_0" localSheetId="91">'444'!$T$18:$T$19</definedName>
    <definedName name="OSRRefT16x_0" localSheetId="92">'450'!$T$18:$T$19</definedName>
    <definedName name="OSRRefT16x_0" localSheetId="73">'491'!$T$20:$T$21</definedName>
    <definedName name="OSRRefT16x_0" localSheetId="87">'492'!$T$18:$T$19</definedName>
    <definedName name="OSRRefT16x_0" localSheetId="47">'Div 3'!$T$83:$T$124</definedName>
    <definedName name="OSRRefT16x_0" localSheetId="71">'Div 4'!$T$21:$T$22</definedName>
    <definedName name="OSRRefT16x_0" localSheetId="62">'Div 6'!$T$36:$T$48</definedName>
    <definedName name="OSRRefT16x_0" localSheetId="2">Summary!$T$101:$T$151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'203'!$T$20:$T$29</definedName>
    <definedName name="OSRRefT22_0x_0" localSheetId="44">'204'!$T$20:$T$28</definedName>
    <definedName name="OSRRefT22_0x_0" localSheetId="45">'205'!$T$20:$T$27</definedName>
    <definedName name="OSRRefT22_0x_0" localSheetId="46">'206'!$T$20:$T$26</definedName>
    <definedName name="OSRRefT22_0x_0" localSheetId="48">'300'!$T$125:$T$134</definedName>
    <definedName name="OSRRefT22_0x_0" localSheetId="49">'300 &amp; 317'!$T$148:$T$157</definedName>
    <definedName name="OSRRefT22_0x_0" localSheetId="50">'301'!$T$21:$T$30</definedName>
    <definedName name="OSRRefT22_0x_0" localSheetId="51">'306'!$T$20:$T$23</definedName>
    <definedName name="OSRRefT22_0x_0" localSheetId="53">'307'!$T$43:$T$45</definedName>
    <definedName name="OSRRefT22_0x_0" localSheetId="54">'308'!$T$61:$T$69</definedName>
    <definedName name="OSRRefT22_0x_0" localSheetId="65">'309'!$T$20</definedName>
    <definedName name="OSRRefT22_0x_0" localSheetId="64">'310'!$T$31:$T$38</definedName>
    <definedName name="OSRRefT22_0x_0" localSheetId="72">'310 &amp; 491'!$T$35:$T$42</definedName>
    <definedName name="OSRRefT22_0x_0" localSheetId="55">'311'!$T$61:$T$69</definedName>
    <definedName name="OSRRefT22_0x_0" localSheetId="66">'313'!$T$25:$T$32</definedName>
    <definedName name="OSRRefT22_0x_0" localSheetId="58">'315'!$T$87:$T$94</definedName>
    <definedName name="OSRRefT22_0x_0" localSheetId="61">'316'!$T$32:$T$39</definedName>
    <definedName name="OSRRefT22_0x_0" localSheetId="63">'317'!$T$54:$T$62</definedName>
    <definedName name="OSRRefT22_0x_0" localSheetId="67">'321'!$T$24:$T$31</definedName>
    <definedName name="OSRRefT22_0x_0" localSheetId="68">'322'!$T$21:$T$25</definedName>
    <definedName name="OSRRefT22_0x_0" localSheetId="69">'325'!$T$24:$T$31</definedName>
    <definedName name="OSRRefT22_0x_0" localSheetId="59">'326'!$T$51:$T$58</definedName>
    <definedName name="OSRRefT22_0x_0" localSheetId="70">'327'!$T$24</definedName>
    <definedName name="OSRRefT22_0x_0" localSheetId="52">'330'!$T$46:$T$49</definedName>
    <definedName name="OSRRefT22_0x_0" localSheetId="57">'331'!$T$87:$T$94</definedName>
    <definedName name="OSRRefT22_0x_0" localSheetId="60">'332'!$T$34:$T$41</definedName>
    <definedName name="OSRRefT22_0x_0" localSheetId="74">'405'!$T$24:$T$31</definedName>
    <definedName name="OSRRefT22_0x_0" localSheetId="75">'406'!$T$20</definedName>
    <definedName name="OSRRefT22_0x_0" localSheetId="76">'411'!$T$20:$T$27</definedName>
    <definedName name="OSRRefT22_0x_0" localSheetId="77">'412'!$T$20</definedName>
    <definedName name="OSRRefT22_0x_0" localSheetId="78">'413'!$T$20:$T$24</definedName>
    <definedName name="OSRRefT22_0x_0" localSheetId="79">'414'!$T$21</definedName>
    <definedName name="OSRRefT22_0x_0" localSheetId="80">'415'!$T$24:$T$31</definedName>
    <definedName name="OSRRefT22_0x_0" localSheetId="81">'418'!$T$21:$T$28</definedName>
    <definedName name="OSRRefT22_0x_0" localSheetId="82">'420'!$T$21</definedName>
    <definedName name="OSRRefT22_0x_0" localSheetId="83">'423'!$T$20:$T$21</definedName>
    <definedName name="OSRRefT22_0x_0" localSheetId="84">'424'!$T$20</definedName>
    <definedName name="OSRRefT22_0x_0" localSheetId="85">'425'!$T$22:$T$26</definedName>
    <definedName name="OSRRefT22_0x_0" localSheetId="88">'430'!$T$20:$T$27</definedName>
    <definedName name="OSRRefT22_0x_0" localSheetId="89">'433'!$T$25:$T$33</definedName>
    <definedName name="OSRRefT22_0x_0" localSheetId="90">'435'!$T$20</definedName>
    <definedName name="OSRRefT22_0x_0" localSheetId="91">'444'!$T$25:$T$33</definedName>
    <definedName name="OSRRefT22_0x_0" localSheetId="92">'450'!$T$25:$T$33</definedName>
    <definedName name="OSRRefT22_0x_0" localSheetId="73">'491'!$T$27:$T$34</definedName>
    <definedName name="OSRRefT22_0x_0" localSheetId="87">'492'!$T$25:$T$33</definedName>
    <definedName name="OSRRefT22_0x_0" localSheetId="94">'501'!$T$21:$T$29</definedName>
    <definedName name="OSRRefT22_0x_0" localSheetId="39">'Div 2'!$T$20:$T$30</definedName>
    <definedName name="OSRRefT22_0x_0" localSheetId="47">'Div 3'!$T$130:$T$139</definedName>
    <definedName name="OSRRefT22_0x_0" localSheetId="71">'Div 4'!$T$28:$T$36</definedName>
    <definedName name="OSRRefT22_0x_0" localSheetId="93">'Div 5'!$T$21:$T$29</definedName>
    <definedName name="OSRRefT22_0x_0" localSheetId="62">'Div 6'!$T$54:$T$62</definedName>
    <definedName name="OSRRefT22_0x_0" localSheetId="2">Summary!$T$157:$T$166</definedName>
    <definedName name="OSRRefT22_10x_0" localSheetId="41">'201'!$T$52</definedName>
    <definedName name="OSRRefT22_10x_0" localSheetId="42">'202'!$T$53</definedName>
    <definedName name="OSRRefT22_10x_0" localSheetId="43">'203'!$T$55:$T$58</definedName>
    <definedName name="OSRRefT22_10x_0" localSheetId="48">'300'!$T$162:$T$163</definedName>
    <definedName name="OSRRefT22_10x_0" localSheetId="49">'300 &amp; 317'!$T$185:$T$186</definedName>
    <definedName name="OSRRefT22_10x_0" localSheetId="50">'301'!$T$58</definedName>
    <definedName name="OSRRefT22_10x_0" localSheetId="53">'307'!$T$71:$T$74</definedName>
    <definedName name="OSRRefT22_10x_0" localSheetId="54">'308'!$T$98</definedName>
    <definedName name="OSRRefT22_10x_0" localSheetId="64">'310'!$T$62</definedName>
    <definedName name="OSRRefT22_10x_0" localSheetId="72">'310 &amp; 491'!$T$68</definedName>
    <definedName name="OSRRefT22_10x_0" localSheetId="55">'311'!$T$98</definedName>
    <definedName name="OSRRefT22_10x_0" localSheetId="58">'315'!$T$122:$T$123</definedName>
    <definedName name="OSRRefT22_10x_0" localSheetId="61">'316'!$T$64:$T$68</definedName>
    <definedName name="OSRRefT22_10x_0" localSheetId="63">'317'!$T$89</definedName>
    <definedName name="OSRRefT22_10x_0" localSheetId="67">'321'!$T$60</definedName>
    <definedName name="OSRRefT22_10x_0" localSheetId="69">'325'!$T$54:$T$55</definedName>
    <definedName name="OSRRefT22_10x_0" localSheetId="59">'326'!$T$82</definedName>
    <definedName name="OSRRefT22_10x_0" localSheetId="52">'330'!$T$76:$T$79</definedName>
    <definedName name="OSRRefT22_10x_0" localSheetId="57">'331'!$T$120</definedName>
    <definedName name="OSRRefT22_10x_0" localSheetId="60">'332'!$T$66:$T$70</definedName>
    <definedName name="OSRRefT22_10x_0" localSheetId="74">'405'!$T$55:$T$56</definedName>
    <definedName name="OSRRefT22_10x_0" localSheetId="76">'411'!$T$54:$T$56</definedName>
    <definedName name="OSRRefT22_10x_0" localSheetId="80">'415'!$T$55</definedName>
    <definedName name="OSRRefT22_10x_0" localSheetId="81">'418'!$T$53</definedName>
    <definedName name="OSRRefT22_10x_0" localSheetId="89">'433'!$T$57</definedName>
    <definedName name="OSRRefT22_10x_0" localSheetId="91">'444'!$T$57</definedName>
    <definedName name="OSRRefT22_10x_0" localSheetId="92">'450'!$T$57</definedName>
    <definedName name="OSRRefT22_10x_0" localSheetId="73">'491'!$T$59</definedName>
    <definedName name="OSRRefT22_10x_0" localSheetId="87">'492'!$T$58</definedName>
    <definedName name="OSRRefT22_10x_0" localSheetId="94">'501'!$T$57</definedName>
    <definedName name="OSRRefT22_10x_0" localSheetId="39">'Div 2'!$T$56</definedName>
    <definedName name="OSRRefT22_10x_0" localSheetId="47">'Div 3'!$T$167:$T$168</definedName>
    <definedName name="OSRRefT22_10x_0" localSheetId="71">'Div 4'!$T$62</definedName>
    <definedName name="OSRRefT22_10x_0" localSheetId="93">'Div 5'!$T$57</definedName>
    <definedName name="OSRRefT22_10x_0" localSheetId="62">'Div 6'!$T$89</definedName>
    <definedName name="OSRRefT22_10x_0" localSheetId="2">Summary!$T$194:$T$195</definedName>
    <definedName name="OSRRefT22_11x_0" localSheetId="41">'201'!$T$54:$T$55</definedName>
    <definedName name="OSRRefT22_11x_0" localSheetId="42">'202'!$T$55</definedName>
    <definedName name="OSRRefT22_11x_0" localSheetId="43">'203'!$T$60</definedName>
    <definedName name="OSRRefT22_11x_0" localSheetId="48">'300'!$T$165</definedName>
    <definedName name="OSRRefT22_11x_0" localSheetId="49">'300 &amp; 317'!$T$188</definedName>
    <definedName name="OSRRefT22_11x_0" localSheetId="50">'301'!$T$60</definedName>
    <definedName name="OSRRefT22_11x_0" localSheetId="53">'307'!$T$76</definedName>
    <definedName name="OSRRefT22_11x_0" localSheetId="54">'308'!$T$100:$T$101</definedName>
    <definedName name="OSRRefT22_11x_0" localSheetId="64">'310'!$T$64:$T$65</definedName>
    <definedName name="OSRRefT22_11x_0" localSheetId="72">'310 &amp; 491'!$T$70</definedName>
    <definedName name="OSRRefT22_11x_0" localSheetId="55">'311'!$T$100:$T$101</definedName>
    <definedName name="OSRRefT22_11x_0" localSheetId="58">'315'!$T$125:$T$126</definedName>
    <definedName name="OSRRefT22_11x_0" localSheetId="61">'316'!$T$70</definedName>
    <definedName name="OSRRefT22_11x_0" localSheetId="67">'321'!$T$62</definedName>
    <definedName name="OSRRefT22_11x_0" localSheetId="69">'325'!$T$57:$T$60</definedName>
    <definedName name="OSRRefT22_11x_0" localSheetId="59">'326'!$T$84:$T$86</definedName>
    <definedName name="OSRRefT22_11x_0" localSheetId="52">'330'!$T$81</definedName>
    <definedName name="OSRRefT22_11x_0" localSheetId="57">'331'!$T$122:$T$123</definedName>
    <definedName name="OSRRefT22_11x_0" localSheetId="60">'332'!$T$72</definedName>
    <definedName name="OSRRefT22_11x_0" localSheetId="74">'405'!$T$58:$T$61</definedName>
    <definedName name="OSRRefT22_11x_0" localSheetId="76">'411'!$T$58:$T$59</definedName>
    <definedName name="OSRRefT22_11x_0" localSheetId="80">'415'!$T$57:$T$58</definedName>
    <definedName name="OSRRefT22_11x_0" localSheetId="81">'418'!$T$55:$T$59</definedName>
    <definedName name="OSRRefT22_11x_0" localSheetId="89">'433'!$T$59:$T$60</definedName>
    <definedName name="OSRRefT22_11x_0" localSheetId="91">'444'!$T$59:$T$60</definedName>
    <definedName name="OSRRefT22_11x_0" localSheetId="92">'450'!$T$59</definedName>
    <definedName name="OSRRefT22_11x_0" localSheetId="73">'491'!$T$61</definedName>
    <definedName name="OSRRefT22_11x_0" localSheetId="87">'492'!$T$60</definedName>
    <definedName name="OSRRefT22_11x_0" localSheetId="39">'Div 2'!$T$58</definedName>
    <definedName name="OSRRefT22_11x_0" localSheetId="47">'Div 3'!$T$170</definedName>
    <definedName name="OSRRefT22_11x_0" localSheetId="71">'Div 4'!$T$64</definedName>
    <definedName name="OSRRefT22_11x_0" localSheetId="2">Summary!$T$197</definedName>
    <definedName name="OSRRefT22_12x_0" localSheetId="41">'201'!$T$57</definedName>
    <definedName name="OSRRefT22_12x_0" localSheetId="42">'202'!$T$57</definedName>
    <definedName name="OSRRefT22_12x_0" localSheetId="43">'203'!$T$62</definedName>
    <definedName name="OSRRefT22_12x_0" localSheetId="48">'300'!$T$167</definedName>
    <definedName name="OSRRefT22_12x_0" localSheetId="49">'300 &amp; 317'!$T$190</definedName>
    <definedName name="OSRRefT22_12x_0" localSheetId="50">'301'!$T$62</definedName>
    <definedName name="OSRRefT22_12x_0" localSheetId="53">'307'!$T$78</definedName>
    <definedName name="OSRRefT22_12x_0" localSheetId="54">'308'!$T$103:$T$104</definedName>
    <definedName name="OSRRefT22_12x_0" localSheetId="64">'310'!$T$67</definedName>
    <definedName name="OSRRefT22_12x_0" localSheetId="72">'310 &amp; 491'!$T$72</definedName>
    <definedName name="OSRRefT22_12x_0" localSheetId="55">'311'!$T$103:$T$104</definedName>
    <definedName name="OSRRefT22_12x_0" localSheetId="58">'315'!$T$128:$T$131</definedName>
    <definedName name="OSRRefT22_12x_0" localSheetId="61">'316'!$T$72</definedName>
    <definedName name="OSRRefT22_12x_0" localSheetId="69">'325'!$T$62:$T$65</definedName>
    <definedName name="OSRRefT22_12x_0" localSheetId="59">'326'!$T$88:$T$90</definedName>
    <definedName name="OSRRefT22_12x_0" localSheetId="52">'330'!$T$83</definedName>
    <definedName name="OSRRefT22_12x_0" localSheetId="57">'331'!$T$125</definedName>
    <definedName name="OSRRefT22_12x_0" localSheetId="60">'332'!$T$74</definedName>
    <definedName name="OSRRefT22_12x_0" localSheetId="74">'405'!$T$63</definedName>
    <definedName name="OSRRefT22_12x_0" localSheetId="76">'411'!$T$61</definedName>
    <definedName name="OSRRefT22_12x_0" localSheetId="80">'415'!$T$60:$T$63</definedName>
    <definedName name="OSRRefT22_12x_0" localSheetId="81">'418'!$T$61</definedName>
    <definedName name="OSRRefT22_12x_0" localSheetId="89">'433'!$T$62:$T$64</definedName>
    <definedName name="OSRRefT22_12x_0" localSheetId="91">'444'!$T$62:$T$65</definedName>
    <definedName name="OSRRefT22_12x_0" localSheetId="92">'450'!$T$61:$T$62</definedName>
    <definedName name="OSRRefT22_12x_0" localSheetId="73">'491'!$T$63</definedName>
    <definedName name="OSRRefT22_12x_0" localSheetId="87">'492'!$T$62:$T$64</definedName>
    <definedName name="OSRRefT22_12x_0" localSheetId="39">'Div 2'!$T$60:$T$62</definedName>
    <definedName name="OSRRefT22_12x_0" localSheetId="47">'Div 3'!$T$172</definedName>
    <definedName name="OSRRefT22_12x_0" localSheetId="71">'Div 4'!$T$66</definedName>
    <definedName name="OSRRefT22_12x_0" localSheetId="2">Summary!$T$199</definedName>
    <definedName name="OSRRefT22_13x_0" localSheetId="41">'201'!$T$59</definedName>
    <definedName name="OSRRefT22_13x_0" localSheetId="43">'203'!$T$64</definedName>
    <definedName name="OSRRefT22_13x_0" localSheetId="48">'300'!$T$169:$T$170</definedName>
    <definedName name="OSRRefT22_13x_0" localSheetId="49">'300 &amp; 317'!$T$192:$T$193</definedName>
    <definedName name="OSRRefT22_13x_0" localSheetId="50">'301'!$T$64</definedName>
    <definedName name="OSRRefT22_13x_0" localSheetId="54">'308'!$T$106</definedName>
    <definedName name="OSRRefT22_13x_0" localSheetId="64">'310'!$T$69:$T$72</definedName>
    <definedName name="OSRRefT22_13x_0" localSheetId="72">'310 &amp; 491'!$T$74:$T$76</definedName>
    <definedName name="OSRRefT22_13x_0" localSheetId="55">'311'!$T$106</definedName>
    <definedName name="OSRRefT22_13x_0" localSheetId="58">'315'!$T$133</definedName>
    <definedName name="OSRRefT22_13x_0" localSheetId="69">'325'!$T$67</definedName>
    <definedName name="OSRRefT22_13x_0" localSheetId="59">'326'!$T$92:$T$93</definedName>
    <definedName name="OSRRefT22_13x_0" localSheetId="57">'331'!$T$127</definedName>
    <definedName name="OSRRefT22_13x_0" localSheetId="74">'405'!$T$65:$T$72</definedName>
    <definedName name="OSRRefT22_13x_0" localSheetId="76">'411'!$T$63:$T$64</definedName>
    <definedName name="OSRRefT22_13x_0" localSheetId="80">'415'!$T$65</definedName>
    <definedName name="OSRRefT22_13x_0" localSheetId="89">'433'!$T$66:$T$73</definedName>
    <definedName name="OSRRefT22_13x_0" localSheetId="91">'444'!$T$67</definedName>
    <definedName name="OSRRefT22_13x_0" localSheetId="92">'450'!$T$64:$T$66</definedName>
    <definedName name="OSRRefT22_13x_0" localSheetId="73">'491'!$T$65:$T$67</definedName>
    <definedName name="OSRRefT22_13x_0" localSheetId="87">'492'!$T$66:$T$69</definedName>
    <definedName name="OSRRefT22_13x_0" localSheetId="39">'Div 2'!$T$64:$T$67</definedName>
    <definedName name="OSRRefT22_13x_0" localSheetId="47">'Div 3'!$T$174</definedName>
    <definedName name="OSRRefT22_13x_0" localSheetId="71">'Div 4'!$T$68</definedName>
    <definedName name="OSRRefT22_13x_0" localSheetId="2">Summary!$T$201</definedName>
    <definedName name="OSRRefT22_14x_0" localSheetId="48">'300'!$T$172</definedName>
    <definedName name="OSRRefT22_14x_0" localSheetId="49">'300 &amp; 317'!$T$195</definedName>
    <definedName name="OSRRefT22_14x_0" localSheetId="50">'301'!$T$66</definedName>
    <definedName name="OSRRefT22_14x_0" localSheetId="64">'310'!$T$74:$T$78</definedName>
    <definedName name="OSRRefT22_14x_0" localSheetId="72">'310 &amp; 491'!$T$78</definedName>
    <definedName name="OSRRefT22_14x_0" localSheetId="58">'315'!$T$135</definedName>
    <definedName name="OSRRefT22_14x_0" localSheetId="69">'325'!$T$69</definedName>
    <definedName name="OSRRefT22_14x_0" localSheetId="59">'326'!$T$95:$T$98</definedName>
    <definedName name="OSRRefT22_14x_0" localSheetId="57">'331'!$T$129:$T$131</definedName>
    <definedName name="OSRRefT22_14x_0" localSheetId="74">'405'!$T$74</definedName>
    <definedName name="OSRRefT22_14x_0" localSheetId="76">'411'!$T$66</definedName>
    <definedName name="OSRRefT22_14x_0" localSheetId="80">'415'!$T$67:$T$72</definedName>
    <definedName name="OSRRefT22_14x_0" localSheetId="89">'433'!$T$75</definedName>
    <definedName name="OSRRefT22_14x_0" localSheetId="91">'444'!$T$69:$T$76</definedName>
    <definedName name="OSRRefT22_14x_0" localSheetId="92">'450'!$T$68:$T$73</definedName>
    <definedName name="OSRRefT22_14x_0" localSheetId="73">'491'!$T$69</definedName>
    <definedName name="OSRRefT22_14x_0" localSheetId="87">'492'!$T$71</definedName>
    <definedName name="OSRRefT22_14x_0" localSheetId="39">'Div 2'!$T$69</definedName>
    <definedName name="OSRRefT22_14x_0" localSheetId="47">'Div 3'!$T$176:$T$177</definedName>
    <definedName name="OSRRefT22_14x_0" localSheetId="71">'Div 4'!$T$70</definedName>
    <definedName name="OSRRefT22_14x_0" localSheetId="2">Summary!$T$203:$T$204</definedName>
    <definedName name="OSRRefT22_15x_0" localSheetId="48">'300'!$T$174</definedName>
    <definedName name="OSRRefT22_15x_0" localSheetId="49">'300 &amp; 317'!$T$197</definedName>
    <definedName name="OSRRefT22_15x_0" localSheetId="50">'301'!$T$68:$T$71</definedName>
    <definedName name="OSRRefT22_15x_0" localSheetId="64">'310'!$T$80</definedName>
    <definedName name="OSRRefT22_15x_0" localSheetId="72">'310 &amp; 491'!$T$80:$T$83</definedName>
    <definedName name="OSRRefT22_15x_0" localSheetId="59">'326'!$T$100</definedName>
    <definedName name="OSRRefT22_15x_0" localSheetId="57">'331'!$T$133:$T$134</definedName>
    <definedName name="OSRRefT22_15x_0" localSheetId="74">'405'!$T$76</definedName>
    <definedName name="OSRRefT22_15x_0" localSheetId="80">'415'!$T$74</definedName>
    <definedName name="OSRRefT22_15x_0" localSheetId="91">'444'!$T$78</definedName>
    <definedName name="OSRRefT22_15x_0" localSheetId="92">'450'!$T$75</definedName>
    <definedName name="OSRRefT22_15x_0" localSheetId="73">'491'!$T$71:$T$74</definedName>
    <definedName name="OSRRefT22_15x_0" localSheetId="87">'492'!$T$73:$T$80</definedName>
    <definedName name="OSRRefT22_15x_0" localSheetId="39">'Div 2'!$T$71</definedName>
    <definedName name="OSRRefT22_15x_0" localSheetId="47">'Div 3'!$T$179</definedName>
    <definedName name="OSRRefT22_15x_0" localSheetId="71">'Div 4'!$T$72:$T$74</definedName>
    <definedName name="OSRRefT22_15x_0" localSheetId="2">Summary!$T$206</definedName>
    <definedName name="OSRRefT22_16x_0" localSheetId="48">'300'!$T$176:$T$179</definedName>
    <definedName name="OSRRefT22_16x_0" localSheetId="49">'300 &amp; 317'!$T$199:$T$202</definedName>
    <definedName name="OSRRefT22_16x_0" localSheetId="50">'301'!$T$73:$T$75</definedName>
    <definedName name="OSRRefT22_16x_0" localSheetId="64">'310'!$T$82</definedName>
    <definedName name="OSRRefT22_16x_0" localSheetId="72">'310 &amp; 491'!$T$85</definedName>
    <definedName name="OSRRefT22_16x_0" localSheetId="59">'326'!$T$102</definedName>
    <definedName name="OSRRefT22_16x_0" localSheetId="57">'331'!$T$136:$T$138</definedName>
    <definedName name="OSRRefT22_16x_0" localSheetId="80">'415'!$T$76</definedName>
    <definedName name="OSRRefT22_16x_0" localSheetId="91">'444'!$T$80</definedName>
    <definedName name="OSRRefT22_16x_0" localSheetId="92">'450'!$T$77</definedName>
    <definedName name="OSRRefT22_16x_0" localSheetId="73">'491'!$T$76</definedName>
    <definedName name="OSRRefT22_16x_0" localSheetId="87">'492'!$T$82</definedName>
    <definedName name="OSRRefT22_16x_0" localSheetId="39">'Div 2'!$T$73:$T$77</definedName>
    <definedName name="OSRRefT22_16x_0" localSheetId="47">'Div 3'!$T$181</definedName>
    <definedName name="OSRRefT22_16x_0" localSheetId="71">'Div 4'!$T$76</definedName>
    <definedName name="OSRRefT22_16x_0" localSheetId="2">Summary!$T$208</definedName>
    <definedName name="OSRRefT22_17x_0" localSheetId="48">'300'!$T$181:$T$183</definedName>
    <definedName name="OSRRefT22_17x_0" localSheetId="49">'300 &amp; 317'!$T$204:$T$206</definedName>
    <definedName name="OSRRefT22_17x_0" localSheetId="50">'301'!$T$77</definedName>
    <definedName name="OSRRefT22_17x_0" localSheetId="72">'310 &amp; 491'!$T$87:$T$95</definedName>
    <definedName name="OSRRefT22_17x_0" localSheetId="59">'326'!$T$104</definedName>
    <definedName name="OSRRefT22_17x_0" localSheetId="57">'331'!$T$140:$T$141</definedName>
    <definedName name="OSRRefT22_17x_0" localSheetId="80">'415'!$T$78</definedName>
    <definedName name="OSRRefT22_17x_0" localSheetId="73">'491'!$T$78:$T$86</definedName>
    <definedName name="OSRRefT22_17x_0" localSheetId="87">'492'!$T$84</definedName>
    <definedName name="OSRRefT22_17x_0" localSheetId="39">'Div 2'!$T$79:$T$80</definedName>
    <definedName name="OSRRefT22_17x_0" localSheetId="47">'Div 3'!$T$183:$T$186</definedName>
    <definedName name="OSRRefT22_17x_0" localSheetId="71">'Div 4'!$T$78:$T$81</definedName>
    <definedName name="OSRRefT22_17x_0" localSheetId="2">Summary!$T$210</definedName>
    <definedName name="OSRRefT22_18x_0" localSheetId="48">'300'!$T$185:$T$188</definedName>
    <definedName name="OSRRefT22_18x_0" localSheetId="49">'300 &amp; 317'!$T$208:$T$211</definedName>
    <definedName name="OSRRefT22_18x_0" localSheetId="50">'301'!$T$79:$T$84</definedName>
    <definedName name="OSRRefT22_18x_0" localSheetId="72">'310 &amp; 491'!$T$97</definedName>
    <definedName name="OSRRefT22_18x_0" localSheetId="57">'331'!$T$143:$T$147</definedName>
    <definedName name="OSRRefT22_18x_0" localSheetId="73">'491'!$T$88</definedName>
    <definedName name="OSRRefT22_18x_0" localSheetId="87">'492'!$T$86:$T$87</definedName>
    <definedName name="OSRRefT22_18x_0" localSheetId="39">'Div 2'!$T$82</definedName>
    <definedName name="OSRRefT22_18x_0" localSheetId="47">'Div 3'!$T$188:$T$190</definedName>
    <definedName name="OSRRefT22_18x_0" localSheetId="71">'Div 4'!$T$83:$T$84</definedName>
    <definedName name="OSRRefT22_18x_0" localSheetId="2">Summary!$T$212:$T$215</definedName>
    <definedName name="OSRRefT22_19x_0" localSheetId="48">'300'!$T$190:$T$191</definedName>
    <definedName name="OSRRefT22_19x_0" localSheetId="49">'300 &amp; 317'!$T$213:$T$214</definedName>
    <definedName name="OSRRefT22_19x_0" localSheetId="50">'301'!$T$86</definedName>
    <definedName name="OSRRefT22_19x_0" localSheetId="72">'310 &amp; 491'!$T$99</definedName>
    <definedName name="OSRRefT22_19x_0" localSheetId="57">'331'!$T$149</definedName>
    <definedName name="OSRRefT22_19x_0" localSheetId="73">'491'!$T$90</definedName>
    <definedName name="OSRRefT22_19x_0" localSheetId="39">'Div 2'!$T$84:$T$85</definedName>
    <definedName name="OSRRefT22_19x_0" localSheetId="47">'Div 3'!$T$192:$T$196</definedName>
    <definedName name="OSRRefT22_19x_0" localSheetId="71">'Div 4'!$T$86:$T$94</definedName>
    <definedName name="OSRRefT22_19x_0" localSheetId="2">Summary!$T$217:$T$219</definedName>
    <definedName name="OSRRefT22_1x_0" localSheetId="40">'200'!$T$22</definedName>
    <definedName name="OSRRefT22_1x_0" localSheetId="41">'201'!$T$29:$T$31</definedName>
    <definedName name="OSRRefT22_1x_0" localSheetId="42">'202'!$T$29:$T$31</definedName>
    <definedName name="OSRRefT22_1x_0" localSheetId="43">'203'!$T$31:$T$35</definedName>
    <definedName name="OSRRefT22_1x_0" localSheetId="44">'204'!$T$30:$T$32</definedName>
    <definedName name="OSRRefT22_1x_0" localSheetId="45">'205'!$T$29</definedName>
    <definedName name="OSRRefT22_1x_0" localSheetId="46">'206'!$T$28:$T$30</definedName>
    <definedName name="OSRRefT22_1x_0" localSheetId="48">'300'!$T$136:$T$142</definedName>
    <definedName name="OSRRefT22_1x_0" localSheetId="49">'300 &amp; 317'!$T$159:$T$165</definedName>
    <definedName name="OSRRefT22_1x_0" localSheetId="50">'301'!$T$32:$T$38</definedName>
    <definedName name="OSRRefT22_1x_0" localSheetId="51">'306'!$T$25:$T$26</definedName>
    <definedName name="OSRRefT22_1x_0" localSheetId="53">'307'!$T$47:$T$50</definedName>
    <definedName name="OSRRefT22_1x_0" localSheetId="54">'308'!$T$71:$T$77</definedName>
    <definedName name="OSRRefT22_1x_0" localSheetId="65">'309'!$T$22</definedName>
    <definedName name="OSRRefT22_1x_0" localSheetId="64">'310'!$T$40:$T$43</definedName>
    <definedName name="OSRRefT22_1x_0" localSheetId="72">'310 &amp; 491'!$T$44:$T$48</definedName>
    <definedName name="OSRRefT22_1x_0" localSheetId="55">'311'!$T$71:$T$77</definedName>
    <definedName name="OSRRefT22_1x_0" localSheetId="66">'313'!$T$34</definedName>
    <definedName name="OSRRefT22_1x_0" localSheetId="58">'315'!$T$96:$T$100</definedName>
    <definedName name="OSRRefT22_1x_0" localSheetId="61">'316'!$T$41:$T$43</definedName>
    <definedName name="OSRRefT22_1x_0" localSheetId="63">'317'!$T$64:$T$68</definedName>
    <definedName name="OSRRefT22_1x_0" localSheetId="67">'321'!$T$33:$T$36</definedName>
    <definedName name="OSRRefT22_1x_0" localSheetId="68">'322'!$T$27</definedName>
    <definedName name="OSRRefT22_1x_0" localSheetId="69">'325'!$T$33:$T$35</definedName>
    <definedName name="OSRRefT22_1x_0" localSheetId="59">'326'!$T$60:$T$64</definedName>
    <definedName name="OSRRefT22_1x_0" localSheetId="52">'330'!$T$51:$T$54</definedName>
    <definedName name="OSRRefT22_1x_0" localSheetId="57">'331'!$T$96:$T$100</definedName>
    <definedName name="OSRRefT22_1x_0" localSheetId="60">'332'!$T$43:$T$45</definedName>
    <definedName name="OSRRefT22_1x_0" localSheetId="74">'405'!$T$33:$T$36</definedName>
    <definedName name="OSRRefT22_1x_0" localSheetId="75">'406'!$T$22</definedName>
    <definedName name="OSRRefT22_1x_0" localSheetId="76">'411'!$T$29:$T$33</definedName>
    <definedName name="OSRRefT22_1x_0" localSheetId="77">'412'!$T$22</definedName>
    <definedName name="OSRRefT22_1x_0" localSheetId="78">'413'!$T$26</definedName>
    <definedName name="OSRRefT22_1x_0" localSheetId="79">'414'!$T$23</definedName>
    <definedName name="OSRRefT22_1x_0" localSheetId="80">'415'!$T$33:$T$36</definedName>
    <definedName name="OSRRefT22_1x_0" localSheetId="81">'418'!$T$30:$T$33</definedName>
    <definedName name="OSRRefT22_1x_0" localSheetId="83">'423'!$T$23</definedName>
    <definedName name="OSRRefT22_1x_0" localSheetId="84">'424'!$T$22</definedName>
    <definedName name="OSRRefT22_1x_0" localSheetId="85">'425'!$T$28</definedName>
    <definedName name="OSRRefT22_1x_0" localSheetId="88">'430'!$T$29</definedName>
    <definedName name="OSRRefT22_1x_0" localSheetId="89">'433'!$T$35:$T$39</definedName>
    <definedName name="OSRRefT22_1x_0" localSheetId="91">'444'!$T$35:$T$39</definedName>
    <definedName name="OSRRefT22_1x_0" localSheetId="92">'450'!$T$35:$T$39</definedName>
    <definedName name="OSRRefT22_1x_0" localSheetId="73">'491'!$T$36:$T$40</definedName>
    <definedName name="OSRRefT22_1x_0" localSheetId="87">'492'!$T$35:$T$40</definedName>
    <definedName name="OSRRefT22_1x_0" localSheetId="94">'501'!$T$31:$T$36</definedName>
    <definedName name="OSRRefT22_1x_0" localSheetId="39">'Div 2'!$T$32:$T$37</definedName>
    <definedName name="OSRRefT22_1x_0" localSheetId="47">'Div 3'!$T$141:$T$147</definedName>
    <definedName name="OSRRefT22_1x_0" localSheetId="71">'Div 4'!$T$38:$T$43</definedName>
    <definedName name="OSRRefT22_1x_0" localSheetId="93">'Div 5'!$T$31:$T$36</definedName>
    <definedName name="OSRRefT22_1x_0" localSheetId="62">'Div 6'!$T$64:$T$68</definedName>
    <definedName name="OSRRefT22_1x_0" localSheetId="2">Summary!$T$168:$T$174</definedName>
    <definedName name="OSRRefT22_20x_0" localSheetId="48">'300'!$T$193:$T$199</definedName>
    <definedName name="OSRRefT22_20x_0" localSheetId="49">'300 &amp; 317'!$T$216:$T$222</definedName>
    <definedName name="OSRRefT22_20x_0" localSheetId="50">'301'!$T$88</definedName>
    <definedName name="OSRRefT22_20x_0" localSheetId="72">'310 &amp; 491'!$T$101:$T$102</definedName>
    <definedName name="OSRRefT22_20x_0" localSheetId="57">'331'!$T$151</definedName>
    <definedName name="OSRRefT22_20x_0" localSheetId="73">'491'!$T$92:$T$93</definedName>
    <definedName name="OSRRefT22_20x_0" localSheetId="47">'Div 3'!$T$198:$T$199</definedName>
    <definedName name="OSRRefT22_20x_0" localSheetId="71">'Div 4'!$T$96</definedName>
    <definedName name="OSRRefT22_20x_0" localSheetId="2">Summary!$T$221:$T$225</definedName>
    <definedName name="OSRRefT22_21x_0" localSheetId="48">'300'!$T$201:$T$202</definedName>
    <definedName name="OSRRefT22_21x_0" localSheetId="49">'300 &amp; 317'!$T$224:$T$225</definedName>
    <definedName name="OSRRefT22_21x_0" localSheetId="50">'301'!$T$90:$T$91</definedName>
    <definedName name="OSRRefT22_21x_0" localSheetId="72">'310 &amp; 491'!$T$104</definedName>
    <definedName name="OSRRefT22_21x_0" localSheetId="57">'331'!$T$153</definedName>
    <definedName name="OSRRefT22_21x_0" localSheetId="73">'491'!$T$95</definedName>
    <definedName name="OSRRefT22_21x_0" localSheetId="47">'Div 3'!$T$201:$T$207</definedName>
    <definedName name="OSRRefT22_21x_0" localSheetId="71">'Div 4'!$T$98</definedName>
    <definedName name="OSRRefT22_21x_0" localSheetId="2">Summary!$T$227:$T$228</definedName>
    <definedName name="OSRRefT22_22x_0" localSheetId="48">'300'!$T$204</definedName>
    <definedName name="OSRRefT22_22x_0" localSheetId="49">'300 &amp; 317'!$T$227</definedName>
    <definedName name="OSRRefT22_22x_0" localSheetId="50">'301'!$T$93</definedName>
    <definedName name="OSRRefT22_22x_0" localSheetId="47">'Div 3'!$T$209:$T$210</definedName>
    <definedName name="OSRRefT22_22x_0" localSheetId="71">'Div 4'!$T$100:$T$101</definedName>
    <definedName name="OSRRefT22_22x_0" localSheetId="2">Summary!$T$230:$T$238</definedName>
    <definedName name="OSRRefT22_23x_0" localSheetId="48">'300'!$T$206:$T$208</definedName>
    <definedName name="OSRRefT22_23x_0" localSheetId="49">'300 &amp; 317'!$T$229:$T$231</definedName>
    <definedName name="OSRRefT22_23x_0" localSheetId="47">'Div 3'!$T$212</definedName>
    <definedName name="OSRRefT22_23x_0" localSheetId="71">'Div 4'!$T$103</definedName>
    <definedName name="OSRRefT22_23x_0" localSheetId="2">Summary!$T$240:$T$241</definedName>
    <definedName name="OSRRefT22_24x_0" localSheetId="48">'300'!$T$210</definedName>
    <definedName name="OSRRefT22_24x_0" localSheetId="49">'300 &amp; 317'!$T$233</definedName>
    <definedName name="OSRRefT22_24x_0" localSheetId="47">'Div 3'!$T$214:$T$216</definedName>
    <definedName name="OSRRefT22_24x_0" localSheetId="2">Summary!$T$243</definedName>
    <definedName name="OSRRefT22_25x_0" localSheetId="47">'Div 3'!$T$218</definedName>
    <definedName name="OSRRefT22_25x_0" localSheetId="2">Summary!$T$245:$T$247</definedName>
    <definedName name="OSRRefT22_26x_0" localSheetId="2">Summary!$T$249</definedName>
    <definedName name="OSRRefT22_2x_0" localSheetId="40">'200'!$T$24</definedName>
    <definedName name="OSRRefT22_2x_0" localSheetId="41">'201'!$T$33</definedName>
    <definedName name="OSRRefT22_2x_0" localSheetId="42">'202'!$T$33</definedName>
    <definedName name="OSRRefT22_2x_0" localSheetId="43">'203'!$T$37</definedName>
    <definedName name="OSRRefT22_2x_0" localSheetId="44">'204'!$T$34</definedName>
    <definedName name="OSRRefT22_2x_0" localSheetId="45">'205'!$T$31</definedName>
    <definedName name="OSRRefT22_2x_0" localSheetId="46">'206'!$T$32</definedName>
    <definedName name="OSRRefT22_2x_0" localSheetId="48">'300'!$T$144</definedName>
    <definedName name="OSRRefT22_2x_0" localSheetId="49">'300 &amp; 317'!$T$167</definedName>
    <definedName name="OSRRefT22_2x_0" localSheetId="50">'301'!$T$40</definedName>
    <definedName name="OSRRefT22_2x_0" localSheetId="51">'306'!$T$28</definedName>
    <definedName name="OSRRefT22_2x_0" localSheetId="53">'307'!$T$52</definedName>
    <definedName name="OSRRefT22_2x_0" localSheetId="54">'308'!$T$79</definedName>
    <definedName name="OSRRefT22_2x_0" localSheetId="65">'309'!$T$24</definedName>
    <definedName name="OSRRefT22_2x_0" localSheetId="64">'310'!$T$45</definedName>
    <definedName name="OSRRefT22_2x_0" localSheetId="72">'310 &amp; 491'!$T$50</definedName>
    <definedName name="OSRRefT22_2x_0" localSheetId="55">'311'!$T$79</definedName>
    <definedName name="OSRRefT22_2x_0" localSheetId="66">'313'!$T$36</definedName>
    <definedName name="OSRRefT22_2x_0" localSheetId="58">'315'!$T$102</definedName>
    <definedName name="OSRRefT22_2x_0" localSheetId="61">'316'!$T$45</definedName>
    <definedName name="OSRRefT22_2x_0" localSheetId="63">'317'!$T$70</definedName>
    <definedName name="OSRRefT22_2x_0" localSheetId="67">'321'!$T$38</definedName>
    <definedName name="OSRRefT22_2x_0" localSheetId="68">'322'!$T$29</definedName>
    <definedName name="OSRRefT22_2x_0" localSheetId="69">'325'!$T$37</definedName>
    <definedName name="OSRRefT22_2x_0" localSheetId="59">'326'!$T$66</definedName>
    <definedName name="OSRRefT22_2x_0" localSheetId="52">'330'!$T$56</definedName>
    <definedName name="OSRRefT22_2x_0" localSheetId="57">'331'!$T$102</definedName>
    <definedName name="OSRRefT22_2x_0" localSheetId="60">'332'!$T$47</definedName>
    <definedName name="OSRRefT22_2x_0" localSheetId="74">'405'!$T$38</definedName>
    <definedName name="OSRRefT22_2x_0" localSheetId="75">'406'!$T$24</definedName>
    <definedName name="OSRRefT22_2x_0" localSheetId="76">'411'!$T$35</definedName>
    <definedName name="OSRRefT22_2x_0" localSheetId="77">'412'!$T$24:$T$25</definedName>
    <definedName name="OSRRefT22_2x_0" localSheetId="78">'413'!$T$28</definedName>
    <definedName name="OSRRefT22_2x_0" localSheetId="79">'414'!$T$25</definedName>
    <definedName name="OSRRefT22_2x_0" localSheetId="80">'415'!$T$38</definedName>
    <definedName name="OSRRefT22_2x_0" localSheetId="81">'418'!$T$35</definedName>
    <definedName name="OSRRefT22_2x_0" localSheetId="83">'423'!$T$25</definedName>
    <definedName name="OSRRefT22_2x_0" localSheetId="84">'424'!$T$24</definedName>
    <definedName name="OSRRefT22_2x_0" localSheetId="85">'425'!$T$30</definedName>
    <definedName name="OSRRefT22_2x_0" localSheetId="88">'430'!$T$31</definedName>
    <definedName name="OSRRefT22_2x_0" localSheetId="89">'433'!$T$41</definedName>
    <definedName name="OSRRefT22_2x_0" localSheetId="91">'444'!$T$41</definedName>
    <definedName name="OSRRefT22_2x_0" localSheetId="92">'450'!$T$41</definedName>
    <definedName name="OSRRefT22_2x_0" localSheetId="73">'491'!$T$42</definedName>
    <definedName name="OSRRefT22_2x_0" localSheetId="87">'492'!$T$42</definedName>
    <definedName name="OSRRefT22_2x_0" localSheetId="94">'501'!$T$38</definedName>
    <definedName name="OSRRefT22_2x_0" localSheetId="39">'Div 2'!$T$39</definedName>
    <definedName name="OSRRefT22_2x_0" localSheetId="47">'Div 3'!$T$149</definedName>
    <definedName name="OSRRefT22_2x_0" localSheetId="71">'Div 4'!$T$45</definedName>
    <definedName name="OSRRefT22_2x_0" localSheetId="93">'Div 5'!$T$38</definedName>
    <definedName name="OSRRefT22_2x_0" localSheetId="62">'Div 6'!$T$70</definedName>
    <definedName name="OSRRefT22_2x_0" localSheetId="2">Summary!$T$176</definedName>
    <definedName name="OSRRefT22_3x_0" localSheetId="40">'200'!$T$26</definedName>
    <definedName name="OSRRefT22_3x_0" localSheetId="41">'201'!$T$35</definedName>
    <definedName name="OSRRefT22_3x_0" localSheetId="42">'202'!$T$35</definedName>
    <definedName name="OSRRefT22_3x_0" localSheetId="43">'203'!$T$39</definedName>
    <definedName name="OSRRefT22_3x_0" localSheetId="44">'204'!$T$36</definedName>
    <definedName name="OSRRefT22_3x_0" localSheetId="45">'205'!$T$33</definedName>
    <definedName name="OSRRefT22_3x_0" localSheetId="46">'206'!$T$34</definedName>
    <definedName name="OSRRefT22_3x_0" localSheetId="48">'300'!$T$146</definedName>
    <definedName name="OSRRefT22_3x_0" localSheetId="49">'300 &amp; 317'!$T$169</definedName>
    <definedName name="OSRRefT22_3x_0" localSheetId="50">'301'!$T$42</definedName>
    <definedName name="OSRRefT22_3x_0" localSheetId="51">'306'!$T$30</definedName>
    <definedName name="OSRRefT22_3x_0" localSheetId="53">'307'!$T$54</definedName>
    <definedName name="OSRRefT22_3x_0" localSheetId="54">'308'!$T$81</definedName>
    <definedName name="OSRRefT22_3x_0" localSheetId="65">'309'!$T$26:$T$27</definedName>
    <definedName name="OSRRefT22_3x_0" localSheetId="64">'310'!$T$47</definedName>
    <definedName name="OSRRefT22_3x_0" localSheetId="72">'310 &amp; 491'!$T$52</definedName>
    <definedName name="OSRRefT22_3x_0" localSheetId="55">'311'!$T$81</definedName>
    <definedName name="OSRRefT22_3x_0" localSheetId="66">'313'!$T$38</definedName>
    <definedName name="OSRRefT22_3x_0" localSheetId="58">'315'!$T$104:$T$105</definedName>
    <definedName name="OSRRefT22_3x_0" localSheetId="61">'316'!$T$47</definedName>
    <definedName name="OSRRefT22_3x_0" localSheetId="63">'317'!$T$72</definedName>
    <definedName name="OSRRefT22_3x_0" localSheetId="67">'321'!$T$40</definedName>
    <definedName name="OSRRefT22_3x_0" localSheetId="68">'322'!$T$31</definedName>
    <definedName name="OSRRefT22_3x_0" localSheetId="69">'325'!$T$39</definedName>
    <definedName name="OSRRefT22_3x_0" localSheetId="59">'326'!$T$68</definedName>
    <definedName name="OSRRefT22_3x_0" localSheetId="52">'330'!$T$58</definedName>
    <definedName name="OSRRefT22_3x_0" localSheetId="57">'331'!$T$104</definedName>
    <definedName name="OSRRefT22_3x_0" localSheetId="60">'332'!$T$49</definedName>
    <definedName name="OSRRefT22_3x_0" localSheetId="74">'405'!$T$40</definedName>
    <definedName name="OSRRefT22_3x_0" localSheetId="75">'406'!$T$26</definedName>
    <definedName name="OSRRefT22_3x_0" localSheetId="76">'411'!$T$37:$T$38</definedName>
    <definedName name="OSRRefT22_3x_0" localSheetId="77">'412'!$T$27</definedName>
    <definedName name="OSRRefT22_3x_0" localSheetId="78">'413'!$T$30</definedName>
    <definedName name="OSRRefT22_3x_0" localSheetId="79">'414'!$T$27</definedName>
    <definedName name="OSRRefT22_3x_0" localSheetId="80">'415'!$T$40</definedName>
    <definedName name="OSRRefT22_3x_0" localSheetId="81">'418'!$T$37</definedName>
    <definedName name="OSRRefT22_3x_0" localSheetId="83">'423'!$T$27</definedName>
    <definedName name="OSRRefT22_3x_0" localSheetId="84">'424'!$T$26</definedName>
    <definedName name="OSRRefT22_3x_0" localSheetId="85">'425'!$T$32</definedName>
    <definedName name="OSRRefT22_3x_0" localSheetId="88">'430'!$T$33</definedName>
    <definedName name="OSRRefT22_3x_0" localSheetId="89">'433'!$T$43</definedName>
    <definedName name="OSRRefT22_3x_0" localSheetId="91">'444'!$T$43</definedName>
    <definedName name="OSRRefT22_3x_0" localSheetId="92">'450'!$T$43</definedName>
    <definedName name="OSRRefT22_3x_0" localSheetId="73">'491'!$T$44</definedName>
    <definedName name="OSRRefT22_3x_0" localSheetId="87">'492'!$T$44</definedName>
    <definedName name="OSRRefT22_3x_0" localSheetId="94">'501'!$T$40</definedName>
    <definedName name="OSRRefT22_3x_0" localSheetId="39">'Div 2'!$T$41</definedName>
    <definedName name="OSRRefT22_3x_0" localSheetId="47">'Div 3'!$T$151</definedName>
    <definedName name="OSRRefT22_3x_0" localSheetId="71">'Div 4'!$T$47</definedName>
    <definedName name="OSRRefT22_3x_0" localSheetId="93">'Div 5'!$T$40</definedName>
    <definedName name="OSRRefT22_3x_0" localSheetId="62">'Div 6'!$T$72</definedName>
    <definedName name="OSRRefT22_3x_0" localSheetId="2">Summary!$T$178</definedName>
    <definedName name="OSRRefT22_4x_0" localSheetId="41">'201'!$T$37</definedName>
    <definedName name="OSRRefT22_4x_0" localSheetId="42">'202'!$T$37</definedName>
    <definedName name="OSRRefT22_4x_0" localSheetId="43">'203'!$T$41</definedName>
    <definedName name="OSRRefT22_4x_0" localSheetId="44">'204'!$T$38</definedName>
    <definedName name="OSRRefT22_4x_0" localSheetId="45">'205'!$T$35:$T$36</definedName>
    <definedName name="OSRRefT22_4x_0" localSheetId="46">'206'!$T$36</definedName>
    <definedName name="OSRRefT22_4x_0" localSheetId="48">'300'!$T$148</definedName>
    <definedName name="OSRRefT22_4x_0" localSheetId="49">'300 &amp; 317'!$T$171</definedName>
    <definedName name="OSRRefT22_4x_0" localSheetId="50">'301'!$T$44</definedName>
    <definedName name="OSRRefT22_4x_0" localSheetId="51">'306'!$T$32</definedName>
    <definedName name="OSRRefT22_4x_0" localSheetId="53">'307'!$T$56:$T$57</definedName>
    <definedName name="OSRRefT22_4x_0" localSheetId="54">'308'!$T$83</definedName>
    <definedName name="OSRRefT22_4x_0" localSheetId="65">'309'!$T$29:$T$30</definedName>
    <definedName name="OSRRefT22_4x_0" localSheetId="64">'310'!$T$49</definedName>
    <definedName name="OSRRefT22_4x_0" localSheetId="72">'310 &amp; 491'!$T$54</definedName>
    <definedName name="OSRRefT22_4x_0" localSheetId="55">'311'!$T$83</definedName>
    <definedName name="OSRRefT22_4x_0" localSheetId="66">'313'!$T$40</definedName>
    <definedName name="OSRRefT22_4x_0" localSheetId="58">'315'!$T$107</definedName>
    <definedName name="OSRRefT22_4x_0" localSheetId="61">'316'!$T$49</definedName>
    <definedName name="OSRRefT22_4x_0" localSheetId="63">'317'!$T$74</definedName>
    <definedName name="OSRRefT22_4x_0" localSheetId="67">'321'!$T$42</definedName>
    <definedName name="OSRRefT22_4x_0" localSheetId="68">'322'!$T$33:$T$34</definedName>
    <definedName name="OSRRefT22_4x_0" localSheetId="69">'325'!$T$41</definedName>
    <definedName name="OSRRefT22_4x_0" localSheetId="59">'326'!$T$70</definedName>
    <definedName name="OSRRefT22_4x_0" localSheetId="52">'330'!$T$60:$T$61</definedName>
    <definedName name="OSRRefT22_4x_0" localSheetId="57">'331'!$T$106</definedName>
    <definedName name="OSRRefT22_4x_0" localSheetId="60">'332'!$T$51</definedName>
    <definedName name="OSRRefT22_4x_0" localSheetId="74">'405'!$T$42</definedName>
    <definedName name="OSRRefT22_4x_0" localSheetId="75">'406'!$T$28</definedName>
    <definedName name="OSRRefT22_4x_0" localSheetId="76">'411'!$T$40</definedName>
    <definedName name="OSRRefT22_4x_0" localSheetId="77">'412'!$T$29</definedName>
    <definedName name="OSRRefT22_4x_0" localSheetId="78">'413'!$T$32</definedName>
    <definedName name="OSRRefT22_4x_0" localSheetId="79">'414'!$T$29:$T$30</definedName>
    <definedName name="OSRRefT22_4x_0" localSheetId="80">'415'!$T$42</definedName>
    <definedName name="OSRRefT22_4x_0" localSheetId="81">'418'!$T$39:$T$40</definedName>
    <definedName name="OSRRefT22_4x_0" localSheetId="85">'425'!$T$34</definedName>
    <definedName name="OSRRefT22_4x_0" localSheetId="88">'430'!$T$35</definedName>
    <definedName name="OSRRefT22_4x_0" localSheetId="89">'433'!$T$45</definedName>
    <definedName name="OSRRefT22_4x_0" localSheetId="91">'444'!$T$45</definedName>
    <definedName name="OSRRefT22_4x_0" localSheetId="92">'450'!$T$45</definedName>
    <definedName name="OSRRefT22_4x_0" localSheetId="73">'491'!$T$46</definedName>
    <definedName name="OSRRefT22_4x_0" localSheetId="87">'492'!$T$46</definedName>
    <definedName name="OSRRefT22_4x_0" localSheetId="94">'501'!$T$42:$T$43</definedName>
    <definedName name="OSRRefT22_4x_0" localSheetId="39">'Div 2'!$T$43</definedName>
    <definedName name="OSRRefT22_4x_0" localSheetId="47">'Div 3'!$T$153</definedName>
    <definedName name="OSRRefT22_4x_0" localSheetId="71">'Div 4'!$T$49</definedName>
    <definedName name="OSRRefT22_4x_0" localSheetId="93">'Div 5'!$T$42:$T$43</definedName>
    <definedName name="OSRRefT22_4x_0" localSheetId="62">'Div 6'!$T$74</definedName>
    <definedName name="OSRRefT22_4x_0" localSheetId="2">Summary!$T$180</definedName>
    <definedName name="OSRRefT22_5x_0" localSheetId="41">'201'!$T$39</definedName>
    <definedName name="OSRRefT22_5x_0" localSheetId="42">'202'!$T$39:$T$40</definedName>
    <definedName name="OSRRefT22_5x_0" localSheetId="43">'203'!$T$43</definedName>
    <definedName name="OSRRefT22_5x_0" localSheetId="44">'204'!$T$40:$T$43</definedName>
    <definedName name="OSRRefT22_5x_0" localSheetId="45">'205'!$T$38:$T$40</definedName>
    <definedName name="OSRRefT22_5x_0" localSheetId="46">'206'!$T$38</definedName>
    <definedName name="OSRRefT22_5x_0" localSheetId="48">'300'!$T$150:$T$151</definedName>
    <definedName name="OSRRefT22_5x_0" localSheetId="49">'300 &amp; 317'!$T$173:$T$174</definedName>
    <definedName name="OSRRefT22_5x_0" localSheetId="50">'301'!$T$46:$T$47</definedName>
    <definedName name="OSRRefT22_5x_0" localSheetId="51">'306'!$T$34</definedName>
    <definedName name="OSRRefT22_5x_0" localSheetId="53">'307'!$T$59</definedName>
    <definedName name="OSRRefT22_5x_0" localSheetId="54">'308'!$T$85</definedName>
    <definedName name="OSRRefT22_5x_0" localSheetId="65">'309'!$T$32</definedName>
    <definedName name="OSRRefT22_5x_0" localSheetId="64">'310'!$T$51:$T$52</definedName>
    <definedName name="OSRRefT22_5x_0" localSheetId="72">'310 &amp; 491'!$T$56:$T$57</definedName>
    <definedName name="OSRRefT22_5x_0" localSheetId="55">'311'!$T$85</definedName>
    <definedName name="OSRRefT22_5x_0" localSheetId="66">'313'!$T$42</definedName>
    <definedName name="OSRRefT22_5x_0" localSheetId="58">'315'!$T$109</definedName>
    <definedName name="OSRRefT22_5x_0" localSheetId="61">'316'!$T$51</definedName>
    <definedName name="OSRRefT22_5x_0" localSheetId="63">'317'!$T$76:$T$77</definedName>
    <definedName name="OSRRefT22_5x_0" localSheetId="67">'321'!$T$44</definedName>
    <definedName name="OSRRefT22_5x_0" localSheetId="68">'322'!$T$36</definedName>
    <definedName name="OSRRefT22_5x_0" localSheetId="69">'325'!$T$43:$T$44</definedName>
    <definedName name="OSRRefT22_5x_0" localSheetId="59">'326'!$T$72</definedName>
    <definedName name="OSRRefT22_5x_0" localSheetId="52">'330'!$T$63:$T$64</definedName>
    <definedName name="OSRRefT22_5x_0" localSheetId="57">'331'!$T$108:$T$109</definedName>
    <definedName name="OSRRefT22_5x_0" localSheetId="60">'332'!$T$53</definedName>
    <definedName name="OSRRefT22_5x_0" localSheetId="74">'405'!$T$44:$T$45</definedName>
    <definedName name="OSRRefT22_5x_0" localSheetId="76">'411'!$T$42</definedName>
    <definedName name="OSRRefT22_5x_0" localSheetId="78">'413'!$T$34</definedName>
    <definedName name="OSRRefT22_5x_0" localSheetId="80">'415'!$T$44:$T$45</definedName>
    <definedName name="OSRRefT22_5x_0" localSheetId="81">'418'!$T$42</definedName>
    <definedName name="OSRRefT22_5x_0" localSheetId="85">'425'!$T$36:$T$37</definedName>
    <definedName name="OSRRefT22_5x_0" localSheetId="88">'430'!$T$37:$T$38</definedName>
    <definedName name="OSRRefT22_5x_0" localSheetId="89">'433'!$T$47</definedName>
    <definedName name="OSRRefT22_5x_0" localSheetId="91">'444'!$T$47</definedName>
    <definedName name="OSRRefT22_5x_0" localSheetId="92">'450'!$T$47</definedName>
    <definedName name="OSRRefT22_5x_0" localSheetId="73">'491'!$T$48:$T$49</definedName>
    <definedName name="OSRRefT22_5x_0" localSheetId="87">'492'!$T$48</definedName>
    <definedName name="OSRRefT22_5x_0" localSheetId="94">'501'!$T$45</definedName>
    <definedName name="OSRRefT22_5x_0" localSheetId="39">'Div 2'!$T$45</definedName>
    <definedName name="OSRRefT22_5x_0" localSheetId="47">'Div 3'!$T$155:$T$156</definedName>
    <definedName name="OSRRefT22_5x_0" localSheetId="71">'Div 4'!$T$51:$T$52</definedName>
    <definedName name="OSRRefT22_5x_0" localSheetId="93">'Div 5'!$T$45</definedName>
    <definedName name="OSRRefT22_5x_0" localSheetId="62">'Div 6'!$T$76:$T$77</definedName>
    <definedName name="OSRRefT22_5x_0" localSheetId="2">Summary!$T$182:$T$183</definedName>
    <definedName name="OSRRefT22_6x_0" localSheetId="41">'201'!$T$41</definedName>
    <definedName name="OSRRefT22_6x_0" localSheetId="42">'202'!$T$42</definedName>
    <definedName name="OSRRefT22_6x_0" localSheetId="43">'203'!$T$45</definedName>
    <definedName name="OSRRefT22_6x_0" localSheetId="44">'204'!$T$45</definedName>
    <definedName name="OSRRefT22_6x_0" localSheetId="45">'205'!$T$42</definedName>
    <definedName name="OSRRefT22_6x_0" localSheetId="46">'206'!$T$40</definedName>
    <definedName name="OSRRefT22_6x_0" localSheetId="48">'300'!$T$153:$T$154</definedName>
    <definedName name="OSRRefT22_6x_0" localSheetId="49">'300 &amp; 317'!$T$176:$T$177</definedName>
    <definedName name="OSRRefT22_6x_0" localSheetId="50">'301'!$T$49:$T$50</definedName>
    <definedName name="OSRRefT22_6x_0" localSheetId="53">'307'!$T$61</definedName>
    <definedName name="OSRRefT22_6x_0" localSheetId="54">'308'!$T$87:$T$88</definedName>
    <definedName name="OSRRefT22_6x_0" localSheetId="65">'309'!$T$34</definedName>
    <definedName name="OSRRefT22_6x_0" localSheetId="64">'310'!$T$54</definedName>
    <definedName name="OSRRefT22_6x_0" localSheetId="72">'310 &amp; 491'!$T$59</definedName>
    <definedName name="OSRRefT22_6x_0" localSheetId="55">'311'!$T$87:$T$88</definedName>
    <definedName name="OSRRefT22_6x_0" localSheetId="66">'313'!$T$44</definedName>
    <definedName name="OSRRefT22_6x_0" localSheetId="58">'315'!$T$111:$T$112</definedName>
    <definedName name="OSRRefT22_6x_0" localSheetId="61">'316'!$T$53:$T$54</definedName>
    <definedName name="OSRRefT22_6x_0" localSheetId="63">'317'!$T$79</definedName>
    <definedName name="OSRRefT22_6x_0" localSheetId="67">'321'!$T$46:$T$47</definedName>
    <definedName name="OSRRefT22_6x_0" localSheetId="68">'322'!$T$38</definedName>
    <definedName name="OSRRefT22_6x_0" localSheetId="69">'325'!$T$46</definedName>
    <definedName name="OSRRefT22_6x_0" localSheetId="59">'326'!$T$74</definedName>
    <definedName name="OSRRefT22_6x_0" localSheetId="52">'330'!$T$66</definedName>
    <definedName name="OSRRefT22_6x_0" localSheetId="57">'331'!$T$111</definedName>
    <definedName name="OSRRefT22_6x_0" localSheetId="60">'332'!$T$55:$T$56</definedName>
    <definedName name="OSRRefT22_6x_0" localSheetId="74">'405'!$T$47</definedName>
    <definedName name="OSRRefT22_6x_0" localSheetId="76">'411'!$T$44</definedName>
    <definedName name="OSRRefT22_6x_0" localSheetId="80">'415'!$T$47</definedName>
    <definedName name="OSRRefT22_6x_0" localSheetId="81">'418'!$T$44</definedName>
    <definedName name="OSRRefT22_6x_0" localSheetId="85">'425'!$T$39</definedName>
    <definedName name="OSRRefT22_6x_0" localSheetId="88">'430'!$T$40</definedName>
    <definedName name="OSRRefT22_6x_0" localSheetId="89">'433'!$T$49</definedName>
    <definedName name="OSRRefT22_6x_0" localSheetId="91">'444'!$T$49</definedName>
    <definedName name="OSRRefT22_6x_0" localSheetId="92">'450'!$T$49</definedName>
    <definedName name="OSRRefT22_6x_0" localSheetId="73">'491'!$T$51</definedName>
    <definedName name="OSRRefT22_6x_0" localSheetId="87">'492'!$T$50</definedName>
    <definedName name="OSRRefT22_6x_0" localSheetId="94">'501'!$T$47</definedName>
    <definedName name="OSRRefT22_6x_0" localSheetId="39">'Div 2'!$T$47</definedName>
    <definedName name="OSRRefT22_6x_0" localSheetId="47">'Div 3'!$T$158:$T$159</definedName>
    <definedName name="OSRRefT22_6x_0" localSheetId="71">'Div 4'!$T$54</definedName>
    <definedName name="OSRRefT22_6x_0" localSheetId="93">'Div 5'!$T$47</definedName>
    <definedName name="OSRRefT22_6x_0" localSheetId="62">'Div 6'!$T$79</definedName>
    <definedName name="OSRRefT22_6x_0" localSheetId="2">Summary!$T$185:$T$186</definedName>
    <definedName name="OSRRefT22_7x_0" localSheetId="41">'201'!$T$43</definedName>
    <definedName name="OSRRefT22_7x_0" localSheetId="42">'202'!$T$44:$T$46</definedName>
    <definedName name="OSRRefT22_7x_0" localSheetId="43">'203'!$T$47:$T$48</definedName>
    <definedName name="OSRRefT22_7x_0" localSheetId="44">'204'!$T$47:$T$48</definedName>
    <definedName name="OSRRefT22_7x_0" localSheetId="48">'300'!$T$156</definedName>
    <definedName name="OSRRefT22_7x_0" localSheetId="49">'300 &amp; 317'!$T$179</definedName>
    <definedName name="OSRRefT22_7x_0" localSheetId="50">'301'!$T$52</definedName>
    <definedName name="OSRRefT22_7x_0" localSheetId="53">'307'!$T$63</definedName>
    <definedName name="OSRRefT22_7x_0" localSheetId="54">'308'!$T$90</definedName>
    <definedName name="OSRRefT22_7x_0" localSheetId="64">'310'!$T$56</definedName>
    <definedName name="OSRRefT22_7x_0" localSheetId="72">'310 &amp; 491'!$T$61</definedName>
    <definedName name="OSRRefT22_7x_0" localSheetId="55">'311'!$T$90</definedName>
    <definedName name="OSRRefT22_7x_0" localSheetId="66">'313'!$T$46</definedName>
    <definedName name="OSRRefT22_7x_0" localSheetId="58">'315'!$T$114:$T$115</definedName>
    <definedName name="OSRRefT22_7x_0" localSheetId="61">'316'!$T$56</definedName>
    <definedName name="OSRRefT22_7x_0" localSheetId="63">'317'!$T$81</definedName>
    <definedName name="OSRRefT22_7x_0" localSheetId="67">'321'!$T$49</definedName>
    <definedName name="OSRRefT22_7x_0" localSheetId="68">'322'!$T$40</definedName>
    <definedName name="OSRRefT22_7x_0" localSheetId="69">'325'!$T$48</definedName>
    <definedName name="OSRRefT22_7x_0" localSheetId="59">'326'!$T$76</definedName>
    <definedName name="OSRRefT22_7x_0" localSheetId="52">'330'!$T$68</definedName>
    <definedName name="OSRRefT22_7x_0" localSheetId="57">'331'!$T$113</definedName>
    <definedName name="OSRRefT22_7x_0" localSheetId="60">'332'!$T$58</definedName>
    <definedName name="OSRRefT22_7x_0" localSheetId="74">'405'!$T$49</definedName>
    <definedName name="OSRRefT22_7x_0" localSheetId="76">'411'!$T$46</definedName>
    <definedName name="OSRRefT22_7x_0" localSheetId="80">'415'!$T$49</definedName>
    <definedName name="OSRRefT22_7x_0" localSheetId="81">'418'!$T$46</definedName>
    <definedName name="OSRRefT22_7x_0" localSheetId="85">'425'!$T$41</definedName>
    <definedName name="OSRRefT22_7x_0" localSheetId="88">'430'!$T$42</definedName>
    <definedName name="OSRRefT22_7x_0" localSheetId="89">'433'!$T$51</definedName>
    <definedName name="OSRRefT22_7x_0" localSheetId="91">'444'!$T$51</definedName>
    <definedName name="OSRRefT22_7x_0" localSheetId="92">'450'!$T$51</definedName>
    <definedName name="OSRRefT22_7x_0" localSheetId="73">'491'!$T$53</definedName>
    <definedName name="OSRRefT22_7x_0" localSheetId="87">'492'!$T$52</definedName>
    <definedName name="OSRRefT22_7x_0" localSheetId="94">'501'!$T$49:$T$50</definedName>
    <definedName name="OSRRefT22_7x_0" localSheetId="39">'Div 2'!$T$49</definedName>
    <definedName name="OSRRefT22_7x_0" localSheetId="47">'Div 3'!$T$161</definedName>
    <definedName name="OSRRefT22_7x_0" localSheetId="71">'Div 4'!$T$56</definedName>
    <definedName name="OSRRefT22_7x_0" localSheetId="93">'Div 5'!$T$49:$T$50</definedName>
    <definedName name="OSRRefT22_7x_0" localSheetId="62">'Div 6'!$T$81</definedName>
    <definedName name="OSRRefT22_7x_0" localSheetId="2">Summary!$T$188</definedName>
    <definedName name="OSRRefT22_8x_0" localSheetId="41">'201'!$T$45:$T$47</definedName>
    <definedName name="OSRRefT22_8x_0" localSheetId="42">'202'!$T$48</definedName>
    <definedName name="OSRRefT22_8x_0" localSheetId="43">'203'!$T$50:$T$51</definedName>
    <definedName name="OSRRefT22_8x_0" localSheetId="44">'204'!$T$50</definedName>
    <definedName name="OSRRefT22_8x_0" localSheetId="48">'300'!$T$158</definedName>
    <definedName name="OSRRefT22_8x_0" localSheetId="49">'300 &amp; 317'!$T$181</definedName>
    <definedName name="OSRRefT22_8x_0" localSheetId="50">'301'!$T$54</definedName>
    <definedName name="OSRRefT22_8x_0" localSheetId="53">'307'!$T$65:$T$66</definedName>
    <definedName name="OSRRefT22_8x_0" localSheetId="54">'308'!$T$92</definedName>
    <definedName name="OSRRefT22_8x_0" localSheetId="64">'310'!$T$58</definedName>
    <definedName name="OSRRefT22_8x_0" localSheetId="72">'310 &amp; 491'!$T$63:$T$64</definedName>
    <definedName name="OSRRefT22_8x_0" localSheetId="55">'311'!$T$92</definedName>
    <definedName name="OSRRefT22_8x_0" localSheetId="58">'315'!$T$117</definedName>
    <definedName name="OSRRefT22_8x_0" localSheetId="61">'316'!$T$58:$T$60</definedName>
    <definedName name="OSRRefT22_8x_0" localSheetId="63">'317'!$T$83:$T$85</definedName>
    <definedName name="OSRRefT22_8x_0" localSheetId="67">'321'!$T$51:$T$52</definedName>
    <definedName name="OSRRefT22_8x_0" localSheetId="69">'325'!$T$50</definedName>
    <definedName name="OSRRefT22_8x_0" localSheetId="59">'326'!$T$78</definedName>
    <definedName name="OSRRefT22_8x_0" localSheetId="52">'330'!$T$70:$T$71</definedName>
    <definedName name="OSRRefT22_8x_0" localSheetId="57">'331'!$T$115:$T$116</definedName>
    <definedName name="OSRRefT22_8x_0" localSheetId="60">'332'!$T$60:$T$62</definedName>
    <definedName name="OSRRefT22_8x_0" localSheetId="74">'405'!$T$51</definedName>
    <definedName name="OSRRefT22_8x_0" localSheetId="76">'411'!$T$48</definedName>
    <definedName name="OSRRefT22_8x_0" localSheetId="80">'415'!$T$51</definedName>
    <definedName name="OSRRefT22_8x_0" localSheetId="81">'418'!$T$48:$T$49</definedName>
    <definedName name="OSRRefT22_8x_0" localSheetId="85">'425'!$T$43</definedName>
    <definedName name="OSRRefT22_8x_0" localSheetId="88">'430'!$T$44</definedName>
    <definedName name="OSRRefT22_8x_0" localSheetId="89">'433'!$T$53</definedName>
    <definedName name="OSRRefT22_8x_0" localSheetId="91">'444'!$T$53</definedName>
    <definedName name="OSRRefT22_8x_0" localSheetId="92">'450'!$T$53</definedName>
    <definedName name="OSRRefT22_8x_0" localSheetId="73">'491'!$T$55</definedName>
    <definedName name="OSRRefT22_8x_0" localSheetId="87">'492'!$T$54</definedName>
    <definedName name="OSRRefT22_8x_0" localSheetId="94">'501'!$T$52:$T$53</definedName>
    <definedName name="OSRRefT22_8x_0" localSheetId="39">'Div 2'!$T$51</definedName>
    <definedName name="OSRRefT22_8x_0" localSheetId="47">'Div 3'!$T$163</definedName>
    <definedName name="OSRRefT22_8x_0" localSheetId="71">'Div 4'!$T$58</definedName>
    <definedName name="OSRRefT22_8x_0" localSheetId="93">'Div 5'!$T$52:$T$53</definedName>
    <definedName name="OSRRefT22_8x_0" localSheetId="62">'Div 6'!$T$83:$T$85</definedName>
    <definedName name="OSRRefT22_8x_0" localSheetId="2">Summary!$T$190</definedName>
    <definedName name="OSRRefT22_9x_0" localSheetId="41">'201'!$T$49:$T$50</definedName>
    <definedName name="OSRRefT22_9x_0" localSheetId="42">'202'!$T$50:$T$51</definedName>
    <definedName name="OSRRefT22_9x_0" localSheetId="43">'203'!$T$53</definedName>
    <definedName name="OSRRefT22_9x_0" localSheetId="48">'300'!$T$160</definedName>
    <definedName name="OSRRefT22_9x_0" localSheetId="49">'300 &amp; 317'!$T$183</definedName>
    <definedName name="OSRRefT22_9x_0" localSheetId="50">'301'!$T$56</definedName>
    <definedName name="OSRRefT22_9x_0" localSheetId="53">'307'!$T$68:$T$69</definedName>
    <definedName name="OSRRefT22_9x_0" localSheetId="54">'308'!$T$94:$T$96</definedName>
    <definedName name="OSRRefT22_9x_0" localSheetId="64">'310'!$T$60</definedName>
    <definedName name="OSRRefT22_9x_0" localSheetId="72">'310 &amp; 491'!$T$66</definedName>
    <definedName name="OSRRefT22_9x_0" localSheetId="55">'311'!$T$94:$T$96</definedName>
    <definedName name="OSRRefT22_9x_0" localSheetId="58">'315'!$T$119:$T$120</definedName>
    <definedName name="OSRRefT22_9x_0" localSheetId="61">'316'!$T$62</definedName>
    <definedName name="OSRRefT22_9x_0" localSheetId="63">'317'!$T$87</definedName>
    <definedName name="OSRRefT22_9x_0" localSheetId="67">'321'!$T$54:$T$58</definedName>
    <definedName name="OSRRefT22_9x_0" localSheetId="69">'325'!$T$52</definedName>
    <definedName name="OSRRefT22_9x_0" localSheetId="59">'326'!$T$80</definedName>
    <definedName name="OSRRefT22_9x_0" localSheetId="52">'330'!$T$73:$T$74</definedName>
    <definedName name="OSRRefT22_9x_0" localSheetId="57">'331'!$T$118</definedName>
    <definedName name="OSRRefT22_9x_0" localSheetId="60">'332'!$T$64</definedName>
    <definedName name="OSRRefT22_9x_0" localSheetId="74">'405'!$T$53</definedName>
    <definedName name="OSRRefT22_9x_0" localSheetId="76">'411'!$T$50:$T$52</definedName>
    <definedName name="OSRRefT22_9x_0" localSheetId="80">'415'!$T$53</definedName>
    <definedName name="OSRRefT22_9x_0" localSheetId="81">'418'!$T$51</definedName>
    <definedName name="OSRRefT22_9x_0" localSheetId="89">'433'!$T$55</definedName>
    <definedName name="OSRRefT22_9x_0" localSheetId="91">'444'!$T$55</definedName>
    <definedName name="OSRRefT22_9x_0" localSheetId="92">'450'!$T$55</definedName>
    <definedName name="OSRRefT22_9x_0" localSheetId="73">'491'!$T$57</definedName>
    <definedName name="OSRRefT22_9x_0" localSheetId="87">'492'!$T$56</definedName>
    <definedName name="OSRRefT22_9x_0" localSheetId="94">'501'!$T$55</definedName>
    <definedName name="OSRRefT22_9x_0" localSheetId="39">'Div 2'!$T$53:$T$54</definedName>
    <definedName name="OSRRefT22_9x_0" localSheetId="47">'Div 3'!$T$165</definedName>
    <definedName name="OSRRefT22_9x_0" localSheetId="71">'Div 4'!$T$60</definedName>
    <definedName name="OSRRefT22_9x_0" localSheetId="93">'Div 5'!$T$55</definedName>
    <definedName name="OSRRefT22_9x_0" localSheetId="62">'Div 6'!$T$87</definedName>
    <definedName name="OSRRefT22_9x_0" localSheetId="2">Summary!$T$192</definedName>
    <definedName name="OSRRefT22x_0" localSheetId="40">'200'!$T$20,'200'!$T$22,'200'!$T$24,'200'!$T$26</definedName>
    <definedName name="OSRRefT22x_0" localSheetId="41">'201'!$T$20:$T$27,'201'!$T$29:$T$31,'201'!$T$33,'201'!$T$35,'201'!$T$37,'201'!$T$39,'201'!$T$41,'201'!$T$43,'201'!$T$45:$T$47,'201'!$T$49:$T$50,'201'!$T$52,'201'!$T$54:$T$55,'201'!$T$57,'201'!$T$59</definedName>
    <definedName name="OSRRefT22x_0" localSheetId="42">'202'!$T$20:$T$27,'202'!$T$29:$T$31,'202'!$T$33,'202'!$T$35,'202'!$T$37,'202'!$T$39:$T$40,'202'!$T$42,'202'!$T$44:$T$46,'202'!$T$48,'202'!$T$50:$T$51,'202'!$T$53,'202'!$T$55,'202'!$T$57</definedName>
    <definedName name="OSRRefT22x_0" localSheetId="43">'203'!$T$20:$T$29,'203'!$T$31:$T$35,'203'!$T$37,'203'!$T$39,'203'!$T$41,'203'!$T$43,'203'!$T$45,'203'!$T$47:$T$48,'203'!$T$50:$T$51,'203'!$T$53,'203'!$T$55:$T$58,'203'!$T$60,'203'!$T$62,'203'!$T$64</definedName>
    <definedName name="OSRRefT22x_0" localSheetId="44">'204'!$T$20:$T$28,'204'!$T$30:$T$32,'204'!$T$34,'204'!$T$36,'204'!$T$38,'204'!$T$40:$T$43,'204'!$T$45,'204'!$T$47:$T$48,'204'!$T$50</definedName>
    <definedName name="OSRRefT22x_0" localSheetId="45">'205'!$T$20:$T$27,'205'!$T$29,'205'!$T$31,'205'!$T$33,'205'!$T$35:$T$36,'205'!$T$38:$T$40,'205'!$T$42</definedName>
    <definedName name="OSRRefT22x_0" localSheetId="46">'206'!$T$20:$T$26,'206'!$T$28:$T$30,'206'!$T$32,'206'!$T$34,'206'!$T$36,'206'!$T$38,'206'!$T$40</definedName>
    <definedName name="OSRRefT22x_0" localSheetId="48">'300'!$T$125:$T$134,'300'!$T$136:$T$142,'300'!$T$144,'300'!$T$146,'300'!$T$148,'300'!$T$150:$T$151,'300'!$T$153:$T$154,'300'!$T$156,'300'!$T$158,'300'!$T$160,'300'!$T$162:$T$163,'300'!$T$165,'300'!$T$167,'300'!$T$169:$T$170,'300'!$T$172,'300'!$T$174,'300'!$T$176:$T$179,'300'!$T$181:$T$183,'300'!$T$185:$T$188,'300'!$T$190:$T$191,'300'!$T$193:$T$199,'300'!$T$201:$T$202,'300'!$T$204,'300'!$T$206:$T$208,'300'!$T$210</definedName>
    <definedName name="OSRRefT22x_0" localSheetId="49">'300 &amp; 317'!$T$148:$T$157,'300 &amp; 317'!$T$159:$T$165,'300 &amp; 317'!$T$167,'300 &amp; 317'!$T$169,'300 &amp; 317'!$T$171,'300 &amp; 317'!$T$173:$T$174,'300 &amp; 317'!$T$176:$T$177,'300 &amp; 317'!$T$179,'300 &amp; 317'!$T$181,'300 &amp; 317'!$T$183,'300 &amp; 317'!$T$185:$T$186,'300 &amp; 317'!$T$188,'300 &amp; 317'!$T$190,'300 &amp; 317'!$T$192:$T$193,'300 &amp; 317'!$T$195,'300 &amp; 317'!$T$197,'300 &amp; 317'!$T$199:$T$202,'300 &amp; 317'!$T$204:$T$206,'300 &amp; 317'!$T$208:$T$211,'300 &amp; 317'!$T$213:$T$214,'300 &amp; 317'!$T$216:$T$222,'300 &amp; 317'!$T$224:$T$225,'300 &amp; 317'!$T$227,'300 &amp; 317'!$T$229:$T$231,'300 &amp; 317'!$T$233</definedName>
    <definedName name="OSRRefT22x_0" localSheetId="50">'301'!$T$21:$T$30,'301'!$T$32:$T$38,'301'!$T$40,'301'!$T$42,'301'!$T$44,'301'!$T$46:$T$47,'301'!$T$49:$T$50,'301'!$T$52,'301'!$T$54,'301'!$T$56,'301'!$T$58,'301'!$T$60,'301'!$T$62,'301'!$T$64,'301'!$T$66,'301'!$T$68:$T$71,'301'!$T$73:$T$75,'301'!$T$77,'301'!$T$79:$T$84,'301'!$T$86,'301'!$T$88,'301'!$T$90:$T$91,'301'!$T$93</definedName>
    <definedName name="OSRRefT22x_0" localSheetId="51">'306'!$T$20:$T$23,'306'!$T$25:$T$26,'306'!$T$28,'306'!$T$30,'306'!$T$32,'306'!$T$34</definedName>
    <definedName name="OSRRefT22x_0" localSheetId="53">'307'!$T$43:$T$45,'307'!$T$47:$T$50,'307'!$T$52,'307'!$T$54,'307'!$T$56:$T$57,'307'!$T$59,'307'!$T$61,'307'!$T$63,'307'!$T$65:$T$66,'307'!$T$68:$T$69,'307'!$T$71:$T$74,'307'!$T$76,'307'!$T$78</definedName>
    <definedName name="OSRRefT22x_0" localSheetId="54">'308'!$T$61:$T$69,'308'!$T$71:$T$77,'308'!$T$79,'308'!$T$81,'308'!$T$83,'308'!$T$85,'308'!$T$87:$T$88,'308'!$T$90,'308'!$T$92,'308'!$T$94:$T$96,'308'!$T$98,'308'!$T$100:$T$101,'308'!$T$103:$T$104,'308'!$T$106</definedName>
    <definedName name="OSRRefT22x_0" localSheetId="65">'309'!$T$20,'309'!$T$22,'309'!$T$24,'309'!$T$26:$T$27,'309'!$T$29:$T$30,'309'!$T$32,'309'!$T$34</definedName>
    <definedName name="OSRRefT22x_0" localSheetId="64">'310'!$T$31:$T$38,'310'!$T$40:$T$43,'310'!$T$45,'310'!$T$47,'310'!$T$49,'310'!$T$51:$T$52,'310'!$T$54,'310'!$T$56,'310'!$T$58,'310'!$T$60,'310'!$T$62,'310'!$T$64:$T$65,'310'!$T$67,'310'!$T$69:$T$72,'310'!$T$74:$T$78,'310'!$T$80,'310'!$T$82</definedName>
    <definedName name="OSRRefT22x_0" localSheetId="72">'310 &amp; 491'!$T$35:$T$42,'310 &amp; 491'!$T$44:$T$48,'310 &amp; 491'!$T$50,'310 &amp; 491'!$T$52,'310 &amp; 491'!$T$54,'310 &amp; 491'!$T$56:$T$57,'310 &amp; 491'!$T$59,'310 &amp; 491'!$T$61,'310 &amp; 491'!$T$63:$T$64,'310 &amp; 491'!$T$66,'310 &amp; 491'!$T$68,'310 &amp; 491'!$T$70,'310 &amp; 491'!$T$72,'310 &amp; 491'!$T$74:$T$76,'310 &amp; 491'!$T$78,'310 &amp; 491'!$T$80:$T$83,'310 &amp; 491'!$T$85,'310 &amp; 491'!$T$87:$T$95,'310 &amp; 491'!$T$97,'310 &amp; 491'!$T$99,'310 &amp; 491'!$T$101:$T$102,'310 &amp; 491'!$T$104</definedName>
    <definedName name="OSRRefT22x_0" localSheetId="55">'311'!$T$61:$T$69,'311'!$T$71:$T$77,'311'!$T$79,'311'!$T$81,'311'!$T$83,'311'!$T$85,'311'!$T$87:$T$88,'311'!$T$90,'311'!$T$92,'311'!$T$94:$T$96,'311'!$T$98,'311'!$T$100:$T$101,'311'!$T$103:$T$104,'311'!$T$106</definedName>
    <definedName name="OSRRefT22x_0" localSheetId="66">'313'!$T$25:$T$32,'313'!$T$34,'313'!$T$36,'313'!$T$38,'313'!$T$40,'313'!$T$42,'313'!$T$44,'313'!$T$46</definedName>
    <definedName name="OSRRefT22x_0" localSheetId="58">'315'!$T$87:$T$94,'315'!$T$96:$T$100,'315'!$T$102,'315'!$T$104:$T$105,'315'!$T$107,'315'!$T$109,'315'!$T$111:$T$112,'315'!$T$114:$T$115,'315'!$T$117,'315'!$T$119:$T$120,'315'!$T$122:$T$123,'315'!$T$125:$T$126,'315'!$T$128:$T$131,'315'!$T$133,'315'!$T$135</definedName>
    <definedName name="OSRRefT22x_0" localSheetId="61">'316'!$T$32:$T$39,'316'!$T$41:$T$43,'316'!$T$45,'316'!$T$47,'316'!$T$49,'316'!$T$51,'316'!$T$53:$T$54,'316'!$T$56,'316'!$T$58:$T$60,'316'!$T$62,'316'!$T$64:$T$68,'316'!$T$70,'316'!$T$72</definedName>
    <definedName name="OSRRefT22x_0" localSheetId="63">'317'!$T$54:$T$62,'317'!$T$64:$T$68,'317'!$T$70,'317'!$T$72,'317'!$T$74,'317'!$T$76:$T$77,'317'!$T$79,'317'!$T$81,'317'!$T$83:$T$85,'317'!$T$87,'317'!$T$89</definedName>
    <definedName name="OSRRefT22x_0" localSheetId="67">'321'!$T$24:$T$31,'321'!$T$33:$T$36,'321'!$T$38,'321'!$T$40,'321'!$T$42,'321'!$T$44,'321'!$T$46:$T$47,'321'!$T$49,'321'!$T$51:$T$52,'321'!$T$54:$T$58,'321'!$T$60,'321'!$T$62</definedName>
    <definedName name="OSRRefT22x_0" localSheetId="68">'322'!$T$21:$T$25,'322'!$T$27,'322'!$T$29,'322'!$T$31,'322'!$T$33:$T$34,'322'!$T$36,'322'!$T$38,'322'!$T$40</definedName>
    <definedName name="OSRRefT22x_0" localSheetId="69">'325'!$T$24:$T$31,'325'!$T$33:$T$35,'325'!$T$37,'325'!$T$39,'325'!$T$41,'325'!$T$43:$T$44,'325'!$T$46,'325'!$T$48,'325'!$T$50,'325'!$T$52,'325'!$T$54:$T$55,'325'!$T$57:$T$60,'325'!$T$62:$T$65,'325'!$T$67,'325'!$T$69</definedName>
    <definedName name="OSRRefT22x_0" localSheetId="59">'326'!$T$51:$T$58,'326'!$T$60:$T$64,'326'!$T$66,'326'!$T$68,'326'!$T$70,'326'!$T$72,'326'!$T$74,'326'!$T$76,'326'!$T$78,'326'!$T$80,'326'!$T$82,'326'!$T$84:$T$86,'326'!$T$88:$T$90,'326'!$T$92:$T$93,'326'!$T$95:$T$98,'326'!$T$100,'326'!$T$102,'326'!$T$104</definedName>
    <definedName name="OSRRefT22x_0" localSheetId="70">'327'!$T$24</definedName>
    <definedName name="OSRRefT22x_0" localSheetId="52">'330'!$T$46:$T$49,'330'!$T$51:$T$54,'330'!$T$56,'330'!$T$58,'330'!$T$60:$T$61,'330'!$T$63:$T$64,'330'!$T$66,'330'!$T$68,'330'!$T$70:$T$71,'330'!$T$73:$T$74,'330'!$T$76:$T$79,'330'!$T$81,'330'!$T$83</definedName>
    <definedName name="OSRRefT22x_0" localSheetId="57">'331'!$T$87:$T$94,'331'!$T$96:$T$100,'331'!$T$102,'331'!$T$104,'331'!$T$106,'331'!$T$108:$T$109,'331'!$T$111,'331'!$T$113,'331'!$T$115:$T$116,'331'!$T$118,'331'!$T$120,'331'!$T$122:$T$123,'331'!$T$125,'331'!$T$127,'331'!$T$129:$T$131,'331'!$T$133:$T$134,'331'!$T$136:$T$138,'331'!$T$140:$T$141,'331'!$T$143:$T$147,'331'!$T$149,'331'!$T$151,'331'!$T$153</definedName>
    <definedName name="OSRRefT22x_0" localSheetId="60">'332'!$T$34:$T$41,'332'!$T$43:$T$45,'332'!$T$47,'332'!$T$49,'332'!$T$51,'332'!$T$53,'332'!$T$55:$T$56,'332'!$T$58,'332'!$T$60:$T$62,'332'!$T$64,'332'!$T$66:$T$70,'332'!$T$72,'332'!$T$74</definedName>
    <definedName name="OSRRefT22x_0" localSheetId="74">'405'!$T$24:$T$31,'405'!$T$33:$T$36,'405'!$T$38,'405'!$T$40,'405'!$T$42,'405'!$T$44:$T$45,'405'!$T$47,'405'!$T$49,'405'!$T$51,'405'!$T$53,'405'!$T$55:$T$56,'405'!$T$58:$T$61,'405'!$T$63,'405'!$T$65:$T$72,'405'!$T$74,'405'!$T$76</definedName>
    <definedName name="OSRRefT22x_0" localSheetId="75">'406'!$T$20,'406'!$T$22,'406'!$T$24,'406'!$T$26,'406'!$T$28</definedName>
    <definedName name="OSRRefT22x_0" localSheetId="76">'411'!$T$20:$T$27,'411'!$T$29:$T$33,'411'!$T$35,'411'!$T$37:$T$38,'411'!$T$40,'411'!$T$42,'411'!$T$44,'411'!$T$46,'411'!$T$48,'411'!$T$50:$T$52,'411'!$T$54:$T$56,'411'!$T$58:$T$59,'411'!$T$61,'411'!$T$63:$T$64,'411'!$T$66</definedName>
    <definedName name="OSRRefT22x_0" localSheetId="77">'412'!$T$20,'412'!$T$22,'412'!$T$24:$T$25,'412'!$T$27,'412'!$T$29</definedName>
    <definedName name="OSRRefT22x_0" localSheetId="78">'413'!$T$20:$T$24,'413'!$T$26,'413'!$T$28,'413'!$T$30,'413'!$T$32,'413'!$T$34</definedName>
    <definedName name="OSRRefT22x_0" localSheetId="79">'414'!$T$21,'414'!$T$23,'414'!$T$25,'414'!$T$27,'414'!$T$29:$T$30</definedName>
    <definedName name="OSRRefT22x_0" localSheetId="80">'415'!$T$24:$T$31,'415'!$T$33:$T$36,'415'!$T$38,'415'!$T$40,'415'!$T$42,'415'!$T$44:$T$45,'415'!$T$47,'415'!$T$49,'415'!$T$51,'415'!$T$53,'415'!$T$55,'415'!$T$57:$T$58,'415'!$T$60:$T$63,'415'!$T$65,'415'!$T$67:$T$72,'415'!$T$74,'415'!$T$76,'415'!$T$78</definedName>
    <definedName name="OSRRefT22x_0" localSheetId="81">'418'!$T$21:$T$28,'418'!$T$30:$T$33,'418'!$T$35,'418'!$T$37,'418'!$T$39:$T$40,'418'!$T$42,'418'!$T$44,'418'!$T$46,'418'!$T$48:$T$49,'418'!$T$51,'418'!$T$53,'418'!$T$55:$T$59,'418'!$T$61</definedName>
    <definedName name="OSRRefT22x_0" localSheetId="82">'420'!$T$21</definedName>
    <definedName name="OSRRefT22x_0" localSheetId="83">'423'!$T$20:$T$21,'423'!$T$23,'423'!$T$25,'423'!$T$27</definedName>
    <definedName name="OSRRefT22x_0" localSheetId="84">'424'!$T$20,'424'!$T$22,'424'!$T$24,'424'!$T$26</definedName>
    <definedName name="OSRRefT22x_0" localSheetId="85">'425'!$T$22:$T$26,'425'!$T$28,'425'!$T$30,'425'!$T$32,'425'!$T$34,'425'!$T$36:$T$37,'425'!$T$39,'425'!$T$41,'425'!$T$43</definedName>
    <definedName name="OSRRefT22x_0" localSheetId="88">'430'!$T$20:$T$27,'430'!$T$29,'430'!$T$31,'430'!$T$33,'430'!$T$35,'430'!$T$37:$T$38,'430'!$T$40,'430'!$T$42,'430'!$T$44</definedName>
    <definedName name="OSRRefT22x_0" localSheetId="89">'433'!$T$25:$T$33,'433'!$T$35:$T$39,'433'!$T$41,'433'!$T$43,'433'!$T$45,'433'!$T$47,'433'!$T$49,'433'!$T$51,'433'!$T$53,'433'!$T$55,'433'!$T$57,'433'!$T$59:$T$60,'433'!$T$62:$T$64,'433'!$T$66:$T$73,'433'!$T$75</definedName>
    <definedName name="OSRRefT22x_0" localSheetId="90">'435'!$T$20</definedName>
    <definedName name="OSRRefT22x_0" localSheetId="91">'444'!$T$25:$T$33,'444'!$T$35:$T$39,'444'!$T$41,'444'!$T$43,'444'!$T$45,'444'!$T$47,'444'!$T$49,'444'!$T$51,'444'!$T$53,'444'!$T$55,'444'!$T$57,'444'!$T$59:$T$60,'444'!$T$62:$T$65,'444'!$T$67,'444'!$T$69:$T$76,'444'!$T$78,'444'!$T$80</definedName>
    <definedName name="OSRRefT22x_0" localSheetId="92">'450'!$T$25:$T$33,'450'!$T$35:$T$39,'450'!$T$41,'450'!$T$43,'450'!$T$45,'450'!$T$47,'450'!$T$49,'450'!$T$51,'450'!$T$53,'450'!$T$55,'450'!$T$57,'450'!$T$59,'450'!$T$61:$T$62,'450'!$T$64:$T$66,'450'!$T$68:$T$73,'450'!$T$75,'450'!$T$77</definedName>
    <definedName name="OSRRefT22x_0" localSheetId="73">'491'!$T$27:$T$34,'491'!$T$36:$T$40,'491'!$T$42,'491'!$T$44,'491'!$T$46,'491'!$T$48:$T$49,'491'!$T$51,'491'!$T$53,'491'!$T$55,'491'!$T$57,'491'!$T$59,'491'!$T$61,'491'!$T$63,'491'!$T$65:$T$67,'491'!$T$69,'491'!$T$71:$T$74,'491'!$T$76,'491'!$T$78:$T$86,'491'!$T$88,'491'!$T$90,'491'!$T$92:$T$93,'491'!$T$95</definedName>
    <definedName name="OSRRefT22x_0" localSheetId="87">'492'!$T$25:$T$33,'492'!$T$35:$T$40,'492'!$T$42,'492'!$T$44,'492'!$T$46,'492'!$T$48,'492'!$T$50,'492'!$T$52,'492'!$T$54,'492'!$T$56,'492'!$T$58,'492'!$T$60,'492'!$T$62:$T$64,'492'!$T$66:$T$69,'492'!$T$71,'492'!$T$73:$T$80,'492'!$T$82,'492'!$T$84,'492'!$T$86:$T$87</definedName>
    <definedName name="OSRRefT22x_0" localSheetId="94">'501'!$T$21:$T$29,'501'!$T$31:$T$36,'501'!$T$38,'501'!$T$40,'501'!$T$42:$T$43,'501'!$T$45,'501'!$T$47,'501'!$T$49:$T$50,'501'!$T$52:$T$53,'501'!$T$55,'501'!$T$57</definedName>
    <definedName name="OSRRefT22x_0" localSheetId="39">'Div 2'!$T$20:$T$30,'Div 2'!$T$32:$T$37,'Div 2'!$T$39,'Div 2'!$T$41,'Div 2'!$T$43,'Div 2'!$T$45,'Div 2'!$T$47,'Div 2'!$T$49,'Div 2'!$T$51,'Div 2'!$T$53:$T$54,'Div 2'!$T$56,'Div 2'!$T$58,'Div 2'!$T$60:$T$62,'Div 2'!$T$64:$T$67,'Div 2'!$T$69,'Div 2'!$T$71,'Div 2'!$T$73:$T$77,'Div 2'!$T$79:$T$80,'Div 2'!$T$82,'Div 2'!$T$84:$T$85</definedName>
    <definedName name="OSRRefT22x_0" localSheetId="47">'Div 3'!$T$130:$T$139,'Div 3'!$T$141:$T$147,'Div 3'!$T$149,'Div 3'!$T$151,'Div 3'!$T$153,'Div 3'!$T$155:$T$156,'Div 3'!$T$158:$T$159,'Div 3'!$T$161,'Div 3'!$T$163,'Div 3'!$T$165,'Div 3'!$T$167:$T$168,'Div 3'!$T$170,'Div 3'!$T$172,'Div 3'!$T$174,'Div 3'!$T$176:$T$177,'Div 3'!$T$179,'Div 3'!$T$181,'Div 3'!$T$183:$T$186,'Div 3'!$T$188:$T$190,'Div 3'!$T$192:$T$196,'Div 3'!$T$198:$T$199,'Div 3'!$T$201:$T$207,'Div 3'!$T$209:$T$210,'Div 3'!$T$212,'Div 3'!$T$214:$T$216,'Div 3'!$T$218</definedName>
    <definedName name="OSRRefT22x_0" localSheetId="71">'Div 4'!$T$28:$T$36,'Div 4'!$T$38:$T$43,'Div 4'!$T$45,'Div 4'!$T$47,'Div 4'!$T$49,'Div 4'!$T$51:$T$52,'Div 4'!$T$54,'Div 4'!$T$56,'Div 4'!$T$58,'Div 4'!$T$60,'Div 4'!$T$62,'Div 4'!$T$64,'Div 4'!$T$66,'Div 4'!$T$68,'Div 4'!$T$70,'Div 4'!$T$72:$T$74,'Div 4'!$T$76,'Div 4'!$T$78:$T$81,'Div 4'!$T$83:$T$84,'Div 4'!$T$86:$T$94,'Div 4'!$T$96,'Div 4'!$T$98,'Div 4'!$T$100:$T$101,'Div 4'!$T$103</definedName>
    <definedName name="OSRRefT22x_0" localSheetId="93">'Div 5'!$T$21:$T$29,'Div 5'!$T$31:$T$36,'Div 5'!$T$38,'Div 5'!$T$40,'Div 5'!$T$42:$T$43,'Div 5'!$T$45,'Div 5'!$T$47,'Div 5'!$T$49:$T$50,'Div 5'!$T$52:$T$53,'Div 5'!$T$55,'Div 5'!$T$57</definedName>
    <definedName name="OSRRefT22x_0" localSheetId="62">'Div 6'!$T$54:$T$62,'Div 6'!$T$64:$T$68,'Div 6'!$T$70,'Div 6'!$T$72,'Div 6'!$T$74,'Div 6'!$T$76:$T$77,'Div 6'!$T$79,'Div 6'!$T$81,'Div 6'!$T$83:$T$85,'Div 6'!$T$87,'Div 6'!$T$89</definedName>
    <definedName name="OSRRefT22x_0" localSheetId="2">Summary!$T$157:$T$166,Summary!$T$168:$T$174,Summary!$T$176,Summary!$T$178,Summary!$T$180,Summary!$T$182:$T$183,Summary!$T$185:$T$186,Summary!$T$188,Summary!$T$190,Summary!$T$192,Summary!$T$194:$T$195,Summary!$T$197,Summary!$T$199,Summary!$T$201,Summary!$T$203:$T$204,Summary!$T$206,Summary!$T$208,Summary!$T$210,Summary!$T$212:$T$215,Summary!$T$217:$T$219,Summary!$T$221:$T$225,Summary!$T$227:$T$228,Summary!$T$230:$T$238,Summary!$T$240:$T$241,Summary!$T$243,Summary!$T$245:$T$247,Summary!$T$249</definedName>
    <definedName name="OSRRefT25x_0" localSheetId="48">'300'!$T$213:$T$216</definedName>
    <definedName name="OSRRefT25x_0" localSheetId="49">'300 &amp; 317'!$T$236:$T$241</definedName>
    <definedName name="OSRRefT25x_0" localSheetId="50">'301'!$T$96</definedName>
    <definedName name="OSRRefT25x_0" localSheetId="54">'308'!$T$109:$T$111</definedName>
    <definedName name="OSRRefT25x_0" localSheetId="72">'310 &amp; 491'!$T$107:$T$109</definedName>
    <definedName name="OSRRefT25x_0" localSheetId="55">'311'!$T$109:$T$111</definedName>
    <definedName name="OSRRefT25x_0" localSheetId="58">'315'!$T$138:$T$139</definedName>
    <definedName name="OSRRefT25x_0" localSheetId="61">'316'!$T$75</definedName>
    <definedName name="OSRRefT25x_0" localSheetId="63">'317'!$T$92:$T$94</definedName>
    <definedName name="OSRRefT25x_0" localSheetId="57">'331'!$T$156:$T$157</definedName>
    <definedName name="OSRRefT25x_0" localSheetId="60">'332'!$T$77:$T$78</definedName>
    <definedName name="OSRRefT25x_0" localSheetId="74">'405'!$T$79</definedName>
    <definedName name="OSRRefT25x_0" localSheetId="76">'411'!$T$69:$T$70</definedName>
    <definedName name="OSRRefT25x_0" localSheetId="80">'415'!$T$81</definedName>
    <definedName name="OSRRefT25x_0" localSheetId="81">'418'!$T$64</definedName>
    <definedName name="OSRRefT25x_0" localSheetId="83">'423'!$T$30</definedName>
    <definedName name="OSRRefT25x_0" localSheetId="86">'455'!$T$21:$T$22</definedName>
    <definedName name="OSRRefT25x_0" localSheetId="73">'491'!$T$98:$T$100</definedName>
    <definedName name="OSRRefT25x_0" localSheetId="94">'501'!$T$60</definedName>
    <definedName name="OSRRefT25x_0" localSheetId="47">'Div 3'!$T$221:$T$224</definedName>
    <definedName name="OSRRefT25x_0" localSheetId="71">'Div 4'!$T$106:$T$108</definedName>
    <definedName name="OSRRefT25x_0" localSheetId="93">'Div 5'!$T$60</definedName>
    <definedName name="OSRRefT25x_0" localSheetId="62">'Div 6'!$T$92:$T$94</definedName>
    <definedName name="OSRRefT25x_0" localSheetId="2">Summary!$T$252:$T$259</definedName>
    <definedName name="_xlnm.Print_Area" localSheetId="38">'100'!$A$1:$Z$34</definedName>
    <definedName name="_xlnm.Print_Area" localSheetId="40">'200'!$A$1:$Z$40</definedName>
    <definedName name="_xlnm.Print_Area" localSheetId="41">'201'!$A$1:$Z$73</definedName>
    <definedName name="_xlnm.Print_Area" localSheetId="42">'202'!$A$1:$Z$71</definedName>
    <definedName name="_xlnm.Print_Area" localSheetId="43">'203'!$A$1:$Z$78</definedName>
    <definedName name="_xlnm.Print_Area" localSheetId="44">'204'!$A$1:$Z$64</definedName>
    <definedName name="_xlnm.Print_Area" localSheetId="45">'205'!$A$1:$Z$56</definedName>
    <definedName name="_xlnm.Print_Area" localSheetId="46">'206'!$A$1:$Z$54</definedName>
    <definedName name="_xlnm.Print_Area" localSheetId="48">'300'!$A$1:$Z$228</definedName>
    <definedName name="_xlnm.Print_Area" localSheetId="49">'300 &amp; 317'!$A$1:$Z$253</definedName>
    <definedName name="_xlnm.Print_Area" localSheetId="50">'301'!$A$1:$Z$108</definedName>
    <definedName name="_xlnm.Print_Area" localSheetId="51">'306'!$A$1:$Z$48</definedName>
    <definedName name="_xlnm.Print_Area" localSheetId="53">'307'!$A$1:$Z$92</definedName>
    <definedName name="_xlnm.Print_Area" localSheetId="54">'308'!$A$1:$Z$123</definedName>
    <definedName name="_xlnm.Print_Area" localSheetId="65">'309'!$A$1:$Z$48</definedName>
    <definedName name="_xlnm.Print_Area" localSheetId="64">'310'!$A$1:$Z$96</definedName>
    <definedName name="_xlnm.Print_Area" localSheetId="72">'310 &amp; 491'!$A$1:$Z$121</definedName>
    <definedName name="_xlnm.Print_Area" localSheetId="55">'311'!$A$1:$Z$123</definedName>
    <definedName name="_xlnm.Print_Area" localSheetId="66">'313'!$A$1:$Z$60</definedName>
    <definedName name="_xlnm.Print_Area" localSheetId="58">'315'!$A$1:$Z$151</definedName>
    <definedName name="_xlnm.Print_Area" localSheetId="61">'316'!$A$1:$Z$87</definedName>
    <definedName name="_xlnm.Print_Area" localSheetId="63">'317'!$A$1:$Z$106</definedName>
    <definedName name="_xlnm.Print_Area" localSheetId="67">'321'!$A$1:$Z$76</definedName>
    <definedName name="_xlnm.Print_Area" localSheetId="68">'322'!$A$1:$Z$54</definedName>
    <definedName name="_xlnm.Print_Area" localSheetId="56">'324'!$A$1:$Z$39</definedName>
    <definedName name="_xlnm.Print_Area" localSheetId="69">'325'!$A$1:$Z$83</definedName>
    <definedName name="_xlnm.Print_Area" localSheetId="59">'326'!$A$1:$Z$118</definedName>
    <definedName name="_xlnm.Print_Area" localSheetId="70">'327'!$A$1:$Z$38</definedName>
    <definedName name="_xlnm.Print_Area" localSheetId="52">'330'!$A$1:$Z$97</definedName>
    <definedName name="_xlnm.Print_Area" localSheetId="57">'331'!$A$1:$Z$169</definedName>
    <definedName name="_xlnm.Print_Area" localSheetId="60">'332'!$A$1:$Z$90</definedName>
    <definedName name="_xlnm.Print_Area" localSheetId="74">'405'!$A$1:$Z$91</definedName>
    <definedName name="_xlnm.Print_Area" localSheetId="75">'406'!$A$1:$Z$42</definedName>
    <definedName name="_xlnm.Print_Area" localSheetId="76">'411'!$A$1:$Z$82</definedName>
    <definedName name="_xlnm.Print_Area" localSheetId="77">'412'!$A$1:$Z$43</definedName>
    <definedName name="_xlnm.Print_Area" localSheetId="78">'413'!$A$1:$Z$48</definedName>
    <definedName name="_xlnm.Print_Area" localSheetId="79">'414'!$A$1:$Z$44</definedName>
    <definedName name="_xlnm.Print_Area" localSheetId="80">'415'!$A$1:$Z$93</definedName>
    <definedName name="_xlnm.Print_Area" localSheetId="81">'418'!$A$1:$Z$76</definedName>
    <definedName name="_xlnm.Print_Area" localSheetId="82">'420'!$A$1:$Z$35</definedName>
    <definedName name="_xlnm.Print_Area" localSheetId="83">'423'!$A$1:$Z$42</definedName>
    <definedName name="_xlnm.Print_Area" localSheetId="84">'424'!$A$1:$Z$40</definedName>
    <definedName name="_xlnm.Print_Area" localSheetId="85">'425'!$A$1:$Z$57</definedName>
    <definedName name="_xlnm.Print_Area" localSheetId="88">'430'!$A$1:$Z$58</definedName>
    <definedName name="_xlnm.Print_Area" localSheetId="89">'433'!$A$1:$Z$89</definedName>
    <definedName name="_xlnm.Print_Area" localSheetId="90">'435'!$A$1:$Z$34</definedName>
    <definedName name="_xlnm.Print_Area" localSheetId="91">'444'!$A$1:$Z$94</definedName>
    <definedName name="_xlnm.Print_Area" localSheetId="92">'450'!$A$1:$Z$91</definedName>
    <definedName name="_xlnm.Print_Area" localSheetId="86">'455'!$A$1:$Z$34</definedName>
    <definedName name="_xlnm.Print_Area" localSheetId="73">'491'!$A$1:$Z$112</definedName>
    <definedName name="_xlnm.Print_Area" localSheetId="87">'492'!$A$1:$Z$101</definedName>
    <definedName name="_xlnm.Print_Area" localSheetId="94">'501'!$A$1:$Z$72</definedName>
    <definedName name="_xlnm.Print_Area" localSheetId="95">Dept!$A$1:$Z$39</definedName>
    <definedName name="_xlnm.Print_Area" localSheetId="5">'Div 1'!$A$1:$Z$34</definedName>
    <definedName name="_xlnm.Print_Area" localSheetId="39">'Div 2'!$A$1:$Z$99</definedName>
    <definedName name="_xlnm.Print_Area" localSheetId="47">'Div 3'!$A$1:$Z$236</definedName>
    <definedName name="_xlnm.Print_Area" localSheetId="71">'Div 4'!$A$1:$Z$120</definedName>
    <definedName name="_xlnm.Print_Area" localSheetId="93">'Div 5'!$A$1:$Z$72</definedName>
    <definedName name="_xlnm.Print_Area" localSheetId="62">'Div 6'!$A$1:$Z$106</definedName>
    <definedName name="_xlnm.Print_Area" localSheetId="14">'OSR_300 &amp; 317_1C00ID4'!$A$1:$Z$39</definedName>
    <definedName name="_xlnm.Print_Area" localSheetId="11">'OSR_300 (2)_7...54cb56fc_UFX0O2'!$A$1:$Z$39</definedName>
    <definedName name="_xlnm.Print_Area" localSheetId="15">'OSR_300 (2)_c...79cd3046_1TJM0H'!$A$1:$Z$39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(2)_0...c51cc666_QIOT67'!$A$1:$Z$39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6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3">'OSR_Div 3 (2)...b7db256a_40ITCB'!$A$1:$Z$39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(2...09141158_1BG9FGV'!$A$1:$Z$39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7">'OSR_Summary (...56e5d78f_5JEYZH'!$A$1:$Z$39</definedName>
    <definedName name="_xlnm.Print_Area" localSheetId="3">OSR_Summary_18VAVWG!$A$1:$Z$39</definedName>
    <definedName name="_xlnm.Print_Area" localSheetId="2">Summary!$A$1:$Z$273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4">'308'!$A:$C,'308'!$1:$10</definedName>
    <definedName name="_xlnm.Print_Titles" localSheetId="65">'309'!$A:$C,'309'!$1:$10</definedName>
    <definedName name="_xlnm.Print_Titles" localSheetId="64">'310'!$A:$C,'310'!$1:$10</definedName>
    <definedName name="_xlnm.Print_Titles" localSheetId="72">'310 &amp; 491'!$A:$C,'310 &amp; 491'!$1:$10</definedName>
    <definedName name="_xlnm.Print_Titles" localSheetId="55">'311'!$A:$C,'311'!$1:$10</definedName>
    <definedName name="_xlnm.Print_Titles" localSheetId="66">'313'!$A:$C,'313'!$1:$10</definedName>
    <definedName name="_xlnm.Print_Titles" localSheetId="58">'315'!$A:$C,'315'!$1:$10</definedName>
    <definedName name="_xlnm.Print_Titles" localSheetId="61">'316'!$A:$C,'316'!$1:$10</definedName>
    <definedName name="_xlnm.Print_Titles" localSheetId="63">'317'!$A:$C,'317'!$1:$10</definedName>
    <definedName name="_xlnm.Print_Titles" localSheetId="67">'321'!$A:$C,'321'!$1:$10</definedName>
    <definedName name="_xlnm.Print_Titles" localSheetId="68">'322'!$A:$C,'322'!$1:$10</definedName>
    <definedName name="_xlnm.Print_Titles" localSheetId="56">'324'!$A:$C,'324'!$1:$10</definedName>
    <definedName name="_xlnm.Print_Titles" localSheetId="69">'325'!$A:$C,'325'!$1:$10</definedName>
    <definedName name="_xlnm.Print_Titles" localSheetId="59">'326'!$A:$C,'326'!$1:$10</definedName>
    <definedName name="_xlnm.Print_Titles" localSheetId="70">'327'!$A:$C,'327'!$1:$10</definedName>
    <definedName name="_xlnm.Print_Titles" localSheetId="52">'330'!$A:$C,'330'!$1:$10</definedName>
    <definedName name="_xlnm.Print_Titles" localSheetId="57">'331'!$A:$C,'331'!$1:$10</definedName>
    <definedName name="_xlnm.Print_Titles" localSheetId="60">'332'!$A:$C,'332'!$1:$10</definedName>
    <definedName name="_xlnm.Print_Titles" localSheetId="74">'405'!$A:$C,'405'!$1:$10</definedName>
    <definedName name="_xlnm.Print_Titles" localSheetId="75">'406'!$A:$C,'406'!$1:$10</definedName>
    <definedName name="_xlnm.Print_Titles" localSheetId="76">'411'!$A:$C,'411'!$1:$10</definedName>
    <definedName name="_xlnm.Print_Titles" localSheetId="77">'412'!$A:$C,'412'!$1:$10</definedName>
    <definedName name="_xlnm.Print_Titles" localSheetId="78">'413'!$A:$C,'413'!$1:$10</definedName>
    <definedName name="_xlnm.Print_Titles" localSheetId="79">'414'!$A:$C,'414'!$1:$10</definedName>
    <definedName name="_xlnm.Print_Titles" localSheetId="80">'415'!$A:$C,'415'!$1:$10</definedName>
    <definedName name="_xlnm.Print_Titles" localSheetId="81">'418'!$A:$C,'418'!$1:$10</definedName>
    <definedName name="_xlnm.Print_Titles" localSheetId="82">'420'!$A:$C,'420'!$1:$10</definedName>
    <definedName name="_xlnm.Print_Titles" localSheetId="83">'423'!$A:$C,'423'!$1:$10</definedName>
    <definedName name="_xlnm.Print_Titles" localSheetId="84">'424'!$A:$C,'424'!$1:$10</definedName>
    <definedName name="_xlnm.Print_Titles" localSheetId="85">'425'!$A:$C,'425'!$1:$10</definedName>
    <definedName name="_xlnm.Print_Titles" localSheetId="88">'430'!$A:$C,'430'!$1:$10</definedName>
    <definedName name="_xlnm.Print_Titles" localSheetId="89">'433'!$A:$C,'433'!$1:$10</definedName>
    <definedName name="_xlnm.Print_Titles" localSheetId="90">'435'!$A:$C,'435'!$1:$10</definedName>
    <definedName name="_xlnm.Print_Titles" localSheetId="91">'444'!$A:$C,'444'!$1:$10</definedName>
    <definedName name="_xlnm.Print_Titles" localSheetId="92">'450'!$A:$C,'450'!$1:$10</definedName>
    <definedName name="_xlnm.Print_Titles" localSheetId="86">'455'!$A:$C,'455'!$1:$10</definedName>
    <definedName name="_xlnm.Print_Titles" localSheetId="73">'491'!$A:$C,'491'!$1:$10</definedName>
    <definedName name="_xlnm.Print_Titles" localSheetId="87">'492'!$A:$C,'492'!$1:$10</definedName>
    <definedName name="_xlnm.Print_Titles" localSheetId="94">'501'!$A:$C,'501'!$1:$10</definedName>
    <definedName name="_xlnm.Print_Titles" localSheetId="95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1">'Div 4'!$A:$C,'Div 4'!$1:$10</definedName>
    <definedName name="_xlnm.Print_Titles" localSheetId="93">'Div 5'!$A:$C,'Div 5'!$1:$10</definedName>
    <definedName name="_xlnm.Print_Titles" localSheetId="62">'Div 6'!$A:$C,'Div 6'!$1:$10</definedName>
    <definedName name="_xlnm.Print_Titles" localSheetId="14">'OSR_300 &amp; 317_1C00ID4'!$A:$C,'OSR_300 &amp; 317_1C00ID4'!$1:$10</definedName>
    <definedName name="_xlnm.Print_Titles" localSheetId="11">'OSR_300 (2)_7...54cb56fc_UFX0O2'!$A:$C,'OSR_300 (2)_7...54cb56fc_UFX0O2'!$1:$10</definedName>
    <definedName name="_xlnm.Print_Titles" localSheetId="15">'OSR_300 (2)_c...79cd3046_1TJM0H'!$A:$C,'OSR_300 (2)_c...79cd3046_1TJM0H'!$1:$10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(2)_0...c51cc666_QIOT67'!$A:$C,'OSR_491 (2)_0...c51cc666_QIOT67'!$1:$10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6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3">'OSR_Div 3 (2)...b7db256a_40ITCB'!$A:$C,'OSR_Div 3 (2)...b7db256a_40ITCB'!$1:$10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(2...09141158_1BG9FGV'!$A:$C,'OSR_Div 5 (2...09141158_1BG9FGV'!$1:$10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7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100" l="1"/>
  <c r="B38" i="100"/>
  <c r="T34" i="100"/>
  <c r="Z34" i="100" s="1"/>
  <c r="P34" i="100"/>
  <c r="H34" i="100"/>
  <c r="N34" i="100" s="1"/>
  <c r="D34" i="100"/>
  <c r="T33" i="100"/>
  <c r="Z33" i="100" s="1"/>
  <c r="P33" i="100"/>
  <c r="X33" i="100" s="1"/>
  <c r="H33" i="100"/>
  <c r="D33" i="100"/>
  <c r="T29" i="100"/>
  <c r="Z29" i="100" s="1"/>
  <c r="P29" i="100"/>
  <c r="H29" i="100"/>
  <c r="D29" i="100"/>
  <c r="T25" i="100"/>
  <c r="Z25" i="100" s="1"/>
  <c r="P25" i="100"/>
  <c r="H25" i="100"/>
  <c r="D25" i="100"/>
  <c r="B25" i="100"/>
  <c r="T24" i="100"/>
  <c r="Z24" i="100" s="1"/>
  <c r="P24" i="100"/>
  <c r="H24" i="100"/>
  <c r="N24" i="100" s="1"/>
  <c r="D24" i="100"/>
  <c r="T22" i="100"/>
  <c r="P22" i="100"/>
  <c r="H22" i="100"/>
  <c r="N22" i="100" s="1"/>
  <c r="D22" i="100"/>
  <c r="B22" i="100"/>
  <c r="T21" i="100"/>
  <c r="Z21" i="100" s="1"/>
  <c r="P21" i="100"/>
  <c r="H21" i="100"/>
  <c r="N21" i="100" s="1"/>
  <c r="D21" i="100"/>
  <c r="B21" i="100"/>
  <c r="T20" i="100"/>
  <c r="Z20" i="100" s="1"/>
  <c r="P20" i="100"/>
  <c r="H20" i="100"/>
  <c r="D20" i="100"/>
  <c r="T16" i="100"/>
  <c r="Z16" i="100" s="1"/>
  <c r="P16" i="100"/>
  <c r="H16" i="100"/>
  <c r="D16" i="100"/>
  <c r="B16" i="100"/>
  <c r="T15" i="100"/>
  <c r="Z15" i="100" s="1"/>
  <c r="P15" i="100"/>
  <c r="H15" i="100"/>
  <c r="D15" i="100"/>
  <c r="T13" i="100"/>
  <c r="Z13" i="100" s="1"/>
  <c r="P13" i="100"/>
  <c r="H13" i="100"/>
  <c r="N13" i="100" s="1"/>
  <c r="D13" i="100"/>
  <c r="B13" i="100"/>
  <c r="T12" i="100"/>
  <c r="V34" i="100" s="1"/>
  <c r="P12" i="100"/>
  <c r="H12" i="100"/>
  <c r="J21" i="100" s="1"/>
  <c r="D12" i="100"/>
  <c r="F15" i="100" s="1"/>
  <c r="D6" i="100"/>
  <c r="D5" i="100"/>
  <c r="D4" i="100"/>
  <c r="B39" i="99"/>
  <c r="B38" i="99"/>
  <c r="T34" i="99"/>
  <c r="P34" i="99"/>
  <c r="H34" i="99"/>
  <c r="N34" i="99" s="1"/>
  <c r="D34" i="99"/>
  <c r="T33" i="99"/>
  <c r="Z33" i="99" s="1"/>
  <c r="P33" i="99"/>
  <c r="H33" i="99"/>
  <c r="N33" i="99" s="1"/>
  <c r="D33" i="99"/>
  <c r="T29" i="99"/>
  <c r="Z29" i="99" s="1"/>
  <c r="P29" i="99"/>
  <c r="H29" i="99"/>
  <c r="N29" i="99" s="1"/>
  <c r="D29" i="99"/>
  <c r="T25" i="99"/>
  <c r="Z25" i="99" s="1"/>
  <c r="P25" i="99"/>
  <c r="H25" i="99"/>
  <c r="N25" i="99" s="1"/>
  <c r="D25" i="99"/>
  <c r="B25" i="99"/>
  <c r="T24" i="99"/>
  <c r="Z24" i="99" s="1"/>
  <c r="P24" i="99"/>
  <c r="H24" i="99"/>
  <c r="N24" i="99" s="1"/>
  <c r="D24" i="99"/>
  <c r="T22" i="99"/>
  <c r="Z22" i="99" s="1"/>
  <c r="P22" i="99"/>
  <c r="H22" i="99"/>
  <c r="D22" i="99"/>
  <c r="B22" i="99"/>
  <c r="T21" i="99"/>
  <c r="Z21" i="99" s="1"/>
  <c r="P21" i="99"/>
  <c r="H21" i="99"/>
  <c r="D21" i="99"/>
  <c r="B21" i="99"/>
  <c r="T20" i="99"/>
  <c r="Z20" i="99" s="1"/>
  <c r="P20" i="99"/>
  <c r="H20" i="99"/>
  <c r="N20" i="99" s="1"/>
  <c r="D20" i="99"/>
  <c r="T16" i="99"/>
  <c r="Z16" i="99" s="1"/>
  <c r="P16" i="99"/>
  <c r="H16" i="99"/>
  <c r="N16" i="99" s="1"/>
  <c r="D16" i="99"/>
  <c r="B16" i="99"/>
  <c r="T15" i="99"/>
  <c r="Z15" i="99" s="1"/>
  <c r="P15" i="99"/>
  <c r="H15" i="99"/>
  <c r="N15" i="99" s="1"/>
  <c r="D15" i="99"/>
  <c r="T13" i="99"/>
  <c r="Z13" i="99" s="1"/>
  <c r="P13" i="99"/>
  <c r="H13" i="99"/>
  <c r="D13" i="99"/>
  <c r="B13" i="99"/>
  <c r="T12" i="99"/>
  <c r="V25" i="99" s="1"/>
  <c r="P12" i="99"/>
  <c r="R34" i="99" s="1"/>
  <c r="H12" i="99"/>
  <c r="J34" i="99" s="1"/>
  <c r="D12" i="99"/>
  <c r="F22" i="99" s="1"/>
  <c r="D6" i="99"/>
  <c r="D5" i="99"/>
  <c r="D4" i="99"/>
  <c r="B39" i="98"/>
  <c r="B38" i="98"/>
  <c r="T34" i="98"/>
  <c r="Z34" i="98" s="1"/>
  <c r="P34" i="98"/>
  <c r="H34" i="98"/>
  <c r="D34" i="98"/>
  <c r="T33" i="98"/>
  <c r="Z33" i="98" s="1"/>
  <c r="P33" i="98"/>
  <c r="H33" i="98"/>
  <c r="N33" i="98" s="1"/>
  <c r="D33" i="98"/>
  <c r="T29" i="98"/>
  <c r="Z29" i="98" s="1"/>
  <c r="P29" i="98"/>
  <c r="H29" i="98"/>
  <c r="N29" i="98" s="1"/>
  <c r="D29" i="98"/>
  <c r="T25" i="98"/>
  <c r="Z25" i="98" s="1"/>
  <c r="P25" i="98"/>
  <c r="H25" i="98"/>
  <c r="N25" i="98" s="1"/>
  <c r="D25" i="98"/>
  <c r="B25" i="98"/>
  <c r="T24" i="98"/>
  <c r="Z24" i="98" s="1"/>
  <c r="P24" i="98"/>
  <c r="H24" i="98"/>
  <c r="N24" i="98" s="1"/>
  <c r="D24" i="98"/>
  <c r="T22" i="98"/>
  <c r="Z22" i="98" s="1"/>
  <c r="P22" i="98"/>
  <c r="H22" i="98"/>
  <c r="N22" i="98" s="1"/>
  <c r="D22" i="98"/>
  <c r="B22" i="98"/>
  <c r="T21" i="98"/>
  <c r="Z21" i="98" s="1"/>
  <c r="P21" i="98"/>
  <c r="H21" i="98"/>
  <c r="N21" i="98" s="1"/>
  <c r="D21" i="98"/>
  <c r="B21" i="98"/>
  <c r="T20" i="98"/>
  <c r="Z20" i="98" s="1"/>
  <c r="P20" i="98"/>
  <c r="H20" i="98"/>
  <c r="N20" i="98" s="1"/>
  <c r="D20" i="98"/>
  <c r="T16" i="98"/>
  <c r="Z16" i="98" s="1"/>
  <c r="P16" i="98"/>
  <c r="H16" i="98"/>
  <c r="N16" i="98" s="1"/>
  <c r="D16" i="98"/>
  <c r="B16" i="98"/>
  <c r="T15" i="98"/>
  <c r="Z15" i="98" s="1"/>
  <c r="P15" i="98"/>
  <c r="H15" i="98"/>
  <c r="N15" i="98" s="1"/>
  <c r="D15" i="98"/>
  <c r="T13" i="98"/>
  <c r="P13" i="98"/>
  <c r="H13" i="98"/>
  <c r="N13" i="98" s="1"/>
  <c r="D13" i="98"/>
  <c r="B13" i="98"/>
  <c r="T12" i="98"/>
  <c r="V36" i="98" s="1"/>
  <c r="P12" i="98"/>
  <c r="R22" i="98" s="1"/>
  <c r="H12" i="98"/>
  <c r="J20" i="98" s="1"/>
  <c r="D12" i="98"/>
  <c r="F36" i="98" s="1"/>
  <c r="D6" i="98"/>
  <c r="D5" i="98"/>
  <c r="D4" i="98"/>
  <c r="Z64" i="97"/>
  <c r="X64" i="97"/>
  <c r="L64" i="97"/>
  <c r="N64" i="97" s="1"/>
  <c r="X60" i="97"/>
  <c r="Z60" i="97" s="1"/>
  <c r="T60" i="97"/>
  <c r="P60" i="97"/>
  <c r="H60" i="97"/>
  <c r="D60" i="97"/>
  <c r="B60" i="97"/>
  <c r="T59" i="97"/>
  <c r="R59" i="97"/>
  <c r="P59" i="97"/>
  <c r="X59" i="97" s="1"/>
  <c r="D59" i="97"/>
  <c r="Z57" i="97"/>
  <c r="X57" i="97"/>
  <c r="R57" i="97"/>
  <c r="N57" i="97"/>
  <c r="L57" i="97"/>
  <c r="B57" i="97"/>
  <c r="Z56" i="97"/>
  <c r="T56" i="97"/>
  <c r="P56" i="97"/>
  <c r="X56" i="97" s="1"/>
  <c r="N56" i="97"/>
  <c r="L56" i="97"/>
  <c r="H56" i="97"/>
  <c r="D56" i="97"/>
  <c r="B56" i="97"/>
  <c r="X55" i="97"/>
  <c r="Z55" i="97" s="1"/>
  <c r="L55" i="97"/>
  <c r="N55" i="97" s="1"/>
  <c r="B55" i="97"/>
  <c r="X54" i="97"/>
  <c r="Z54" i="97" s="1"/>
  <c r="T54" i="97"/>
  <c r="P54" i="97"/>
  <c r="H54" i="97"/>
  <c r="D54" i="97"/>
  <c r="B54" i="97"/>
  <c r="Z53" i="97"/>
  <c r="X53" i="97"/>
  <c r="N53" i="97"/>
  <c r="L53" i="97"/>
  <c r="B53" i="97"/>
  <c r="X52" i="97"/>
  <c r="Z52" i="97" s="1"/>
  <c r="R52" i="97"/>
  <c r="N52" i="97"/>
  <c r="L52" i="97"/>
  <c r="B52" i="97"/>
  <c r="T51" i="97"/>
  <c r="P51" i="97"/>
  <c r="N51" i="97"/>
  <c r="H51" i="97"/>
  <c r="D51" i="97"/>
  <c r="L51" i="97" s="1"/>
  <c r="B51" i="97"/>
  <c r="Z50" i="97"/>
  <c r="X50" i="97"/>
  <c r="N50" i="97"/>
  <c r="L50" i="97"/>
  <c r="B50" i="97"/>
  <c r="X49" i="97"/>
  <c r="Z49" i="97" s="1"/>
  <c r="N49" i="97"/>
  <c r="L49" i="97"/>
  <c r="B49" i="97"/>
  <c r="T48" i="97"/>
  <c r="P48" i="97"/>
  <c r="H48" i="97"/>
  <c r="D48" i="97"/>
  <c r="L48" i="97" s="1"/>
  <c r="N48" i="97" s="1"/>
  <c r="B48" i="97"/>
  <c r="X47" i="97"/>
  <c r="Z47" i="97" s="1"/>
  <c r="N47" i="97"/>
  <c r="L47" i="97"/>
  <c r="B47" i="97"/>
  <c r="T46" i="97"/>
  <c r="P46" i="97"/>
  <c r="X46" i="97" s="1"/>
  <c r="Z46" i="97" s="1"/>
  <c r="N46" i="97"/>
  <c r="H46" i="97"/>
  <c r="D46" i="97"/>
  <c r="L46" i="97" s="1"/>
  <c r="B46" i="97"/>
  <c r="X45" i="97"/>
  <c r="Z45" i="97" s="1"/>
  <c r="N45" i="97"/>
  <c r="L45" i="97"/>
  <c r="B45" i="97"/>
  <c r="T44" i="97"/>
  <c r="P44" i="97"/>
  <c r="X44" i="97" s="1"/>
  <c r="Z44" i="97" s="1"/>
  <c r="L44" i="97"/>
  <c r="H44" i="97"/>
  <c r="D44" i="97"/>
  <c r="B44" i="97"/>
  <c r="Z43" i="97"/>
  <c r="X43" i="97"/>
  <c r="R43" i="97"/>
  <c r="N43" i="97"/>
  <c r="L43" i="97"/>
  <c r="B43" i="97"/>
  <c r="X42" i="97"/>
  <c r="Z42" i="97" s="1"/>
  <c r="N42" i="97"/>
  <c r="L42" i="97"/>
  <c r="B42" i="97"/>
  <c r="X41" i="97"/>
  <c r="T41" i="97"/>
  <c r="Z41" i="97" s="1"/>
  <c r="P41" i="97"/>
  <c r="H41" i="97"/>
  <c r="N41" i="97" s="1"/>
  <c r="D41" i="97"/>
  <c r="B41" i="97"/>
  <c r="X40" i="97"/>
  <c r="Z40" i="97" s="1"/>
  <c r="N40" i="97"/>
  <c r="L40" i="97"/>
  <c r="B40" i="97"/>
  <c r="T39" i="97"/>
  <c r="P39" i="97"/>
  <c r="H39" i="97"/>
  <c r="D39" i="97"/>
  <c r="L39" i="97" s="1"/>
  <c r="N39" i="97" s="1"/>
  <c r="B39" i="97"/>
  <c r="Z38" i="97"/>
  <c r="X38" i="97"/>
  <c r="N38" i="97"/>
  <c r="L38" i="97"/>
  <c r="B38" i="97"/>
  <c r="Z37" i="97"/>
  <c r="T37" i="97"/>
  <c r="R37" i="97"/>
  <c r="P37" i="97"/>
  <c r="X37" i="97" s="1"/>
  <c r="L37" i="97"/>
  <c r="H37" i="97"/>
  <c r="N37" i="97" s="1"/>
  <c r="D37" i="97"/>
  <c r="B37" i="97"/>
  <c r="Z36" i="97"/>
  <c r="X36" i="97"/>
  <c r="N36" i="97"/>
  <c r="L36" i="97"/>
  <c r="B36" i="97"/>
  <c r="X35" i="97"/>
  <c r="Z35" i="97" s="1"/>
  <c r="N35" i="97"/>
  <c r="L35" i="97"/>
  <c r="B35" i="97"/>
  <c r="Z34" i="97"/>
  <c r="X34" i="97"/>
  <c r="L34" i="97"/>
  <c r="N34" i="97" s="1"/>
  <c r="B34" i="97"/>
  <c r="Z33" i="97"/>
  <c r="X33" i="97"/>
  <c r="N33" i="97"/>
  <c r="L33" i="97"/>
  <c r="B33" i="97"/>
  <c r="Z32" i="97"/>
  <c r="X32" i="97"/>
  <c r="R32" i="97"/>
  <c r="N32" i="97"/>
  <c r="L32" i="97"/>
  <c r="B32" i="97"/>
  <c r="Z31" i="97"/>
  <c r="X31" i="97"/>
  <c r="R31" i="97"/>
  <c r="L31" i="97"/>
  <c r="N31" i="97" s="1"/>
  <c r="B31" i="97"/>
  <c r="X30" i="97"/>
  <c r="T30" i="97"/>
  <c r="Z30" i="97" s="1"/>
  <c r="R30" i="97"/>
  <c r="P30" i="97"/>
  <c r="H30" i="97"/>
  <c r="D30" i="97"/>
  <c r="B30" i="97"/>
  <c r="Z29" i="97"/>
  <c r="X29" i="97"/>
  <c r="N29" i="97"/>
  <c r="L29" i="97"/>
  <c r="B29" i="97"/>
  <c r="X28" i="97"/>
  <c r="Z28" i="97" s="1"/>
  <c r="L28" i="97"/>
  <c r="N28" i="97" s="1"/>
  <c r="B28" i="97"/>
  <c r="Z27" i="97"/>
  <c r="X27" i="97"/>
  <c r="N27" i="97"/>
  <c r="L27" i="97"/>
  <c r="B27" i="97"/>
  <c r="X26" i="97"/>
  <c r="Z26" i="97" s="1"/>
  <c r="N26" i="97"/>
  <c r="L26" i="97"/>
  <c r="B26" i="97"/>
  <c r="X25" i="97"/>
  <c r="Z25" i="97" s="1"/>
  <c r="R25" i="97"/>
  <c r="L25" i="97"/>
  <c r="N25" i="97" s="1"/>
  <c r="B25" i="97"/>
  <c r="X24" i="97"/>
  <c r="Z24" i="97" s="1"/>
  <c r="R24" i="97"/>
  <c r="N24" i="97"/>
  <c r="L24" i="97"/>
  <c r="B24" i="97"/>
  <c r="X23" i="97"/>
  <c r="Z23" i="97" s="1"/>
  <c r="N23" i="97"/>
  <c r="L23" i="97"/>
  <c r="B23" i="97"/>
  <c r="X22" i="97"/>
  <c r="Z22" i="97" s="1"/>
  <c r="R22" i="97"/>
  <c r="L22" i="97"/>
  <c r="N22" i="97" s="1"/>
  <c r="B22" i="97"/>
  <c r="Z21" i="97"/>
  <c r="X21" i="97"/>
  <c r="R21" i="97"/>
  <c r="N21" i="97"/>
  <c r="L21" i="97"/>
  <c r="B21" i="97"/>
  <c r="T20" i="97"/>
  <c r="P20" i="97"/>
  <c r="L20" i="97"/>
  <c r="H20" i="97"/>
  <c r="D20" i="97"/>
  <c r="B20" i="97"/>
  <c r="T19" i="97"/>
  <c r="Z19" i="97" s="1"/>
  <c r="R19" i="97"/>
  <c r="P19" i="97"/>
  <c r="X19" i="97" s="1"/>
  <c r="H19" i="97"/>
  <c r="F19" i="97"/>
  <c r="D19" i="97"/>
  <c r="L19" i="97" s="1"/>
  <c r="N19" i="97" s="1"/>
  <c r="T15" i="97"/>
  <c r="Z15" i="97" s="1"/>
  <c r="R15" i="97"/>
  <c r="P15" i="97"/>
  <c r="P17" i="97" s="1"/>
  <c r="N15" i="97"/>
  <c r="H15" i="97"/>
  <c r="F15" i="97"/>
  <c r="D15" i="97"/>
  <c r="L15" i="97" s="1"/>
  <c r="T13" i="97"/>
  <c r="P13" i="97"/>
  <c r="H13" i="97"/>
  <c r="D13" i="97"/>
  <c r="L13" i="97" s="1"/>
  <c r="B13" i="97"/>
  <c r="P12" i="97"/>
  <c r="R54" i="97" s="1"/>
  <c r="D12" i="97"/>
  <c r="F35" i="97" s="1"/>
  <c r="D6" i="97"/>
  <c r="D4" i="97"/>
  <c r="V31" i="96"/>
  <c r="R31" i="96"/>
  <c r="V28" i="96"/>
  <c r="Z26" i="96"/>
  <c r="X26" i="96"/>
  <c r="V26" i="96"/>
  <c r="R26" i="96"/>
  <c r="N26" i="96"/>
  <c r="L26" i="96"/>
  <c r="F26" i="96"/>
  <c r="V24" i="96"/>
  <c r="R24" i="96"/>
  <c r="V22" i="96"/>
  <c r="T22" i="96"/>
  <c r="P22" i="96"/>
  <c r="H22" i="96"/>
  <c r="D22" i="96"/>
  <c r="L22" i="96" s="1"/>
  <c r="B22" i="96"/>
  <c r="V21" i="96"/>
  <c r="T21" i="96"/>
  <c r="R21" i="96"/>
  <c r="P21" i="96"/>
  <c r="X21" i="96" s="1"/>
  <c r="N21" i="96"/>
  <c r="H21" i="96"/>
  <c r="F21" i="96"/>
  <c r="D21" i="96"/>
  <c r="L21" i="96" s="1"/>
  <c r="B21" i="96"/>
  <c r="R20" i="96"/>
  <c r="P20" i="96"/>
  <c r="H20" i="96"/>
  <c r="X18" i="96"/>
  <c r="V18" i="96"/>
  <c r="T18" i="96"/>
  <c r="Z18" i="96" s="1"/>
  <c r="R18" i="96"/>
  <c r="P18" i="96"/>
  <c r="H18" i="96"/>
  <c r="N18" i="96" s="1"/>
  <c r="D18" i="96"/>
  <c r="R16" i="96"/>
  <c r="P16" i="96"/>
  <c r="H16" i="96"/>
  <c r="V14" i="96"/>
  <c r="T14" i="96"/>
  <c r="Z14" i="96" s="1"/>
  <c r="R14" i="96"/>
  <c r="P14" i="96"/>
  <c r="X14" i="96" s="1"/>
  <c r="H14" i="96"/>
  <c r="N14" i="96" s="1"/>
  <c r="D14" i="96"/>
  <c r="L14" i="96" s="1"/>
  <c r="Z12" i="96"/>
  <c r="X12" i="96"/>
  <c r="T12" i="96"/>
  <c r="V20" i="96" s="1"/>
  <c r="P12" i="96"/>
  <c r="R28" i="96" s="1"/>
  <c r="L12" i="96"/>
  <c r="H12" i="96"/>
  <c r="J28" i="96" s="1"/>
  <c r="D12" i="96"/>
  <c r="F18" i="96" s="1"/>
  <c r="D6" i="96"/>
  <c r="D4" i="96"/>
  <c r="Z83" i="95"/>
  <c r="X83" i="95"/>
  <c r="N83" i="95"/>
  <c r="L83" i="95"/>
  <c r="T79" i="95"/>
  <c r="Z79" i="95" s="1"/>
  <c r="P79" i="95"/>
  <c r="H79" i="95"/>
  <c r="N79" i="95" s="1"/>
  <c r="D79" i="95"/>
  <c r="L79" i="95" s="1"/>
  <c r="Z77" i="95"/>
  <c r="X77" i="95"/>
  <c r="N77" i="95"/>
  <c r="L77" i="95"/>
  <c r="B77" i="95"/>
  <c r="T76" i="95"/>
  <c r="Z76" i="95" s="1"/>
  <c r="P76" i="95"/>
  <c r="X76" i="95" s="1"/>
  <c r="N76" i="95"/>
  <c r="H76" i="95"/>
  <c r="D76" i="95"/>
  <c r="L76" i="95" s="1"/>
  <c r="B76" i="95"/>
  <c r="X75" i="95"/>
  <c r="Z75" i="95" s="1"/>
  <c r="L75" i="95"/>
  <c r="N75" i="95" s="1"/>
  <c r="B75" i="95"/>
  <c r="T74" i="95"/>
  <c r="P74" i="95"/>
  <c r="X74" i="95" s="1"/>
  <c r="Z74" i="95" s="1"/>
  <c r="N74" i="95"/>
  <c r="L74" i="95"/>
  <c r="H74" i="95"/>
  <c r="D74" i="95"/>
  <c r="B74" i="95"/>
  <c r="Z73" i="95"/>
  <c r="X73" i="95"/>
  <c r="N73" i="95"/>
  <c r="L73" i="95"/>
  <c r="B73" i="95"/>
  <c r="Z72" i="95"/>
  <c r="X72" i="95"/>
  <c r="N72" i="95"/>
  <c r="L72" i="95"/>
  <c r="B72" i="95"/>
  <c r="Z71" i="95"/>
  <c r="X71" i="95"/>
  <c r="N71" i="95"/>
  <c r="L71" i="95"/>
  <c r="B71" i="95"/>
  <c r="Z70" i="95"/>
  <c r="X70" i="95"/>
  <c r="N70" i="95"/>
  <c r="L70" i="95"/>
  <c r="B70" i="95"/>
  <c r="Z69" i="95"/>
  <c r="X69" i="95"/>
  <c r="N69" i="95"/>
  <c r="L69" i="95"/>
  <c r="B69" i="95"/>
  <c r="Z68" i="95"/>
  <c r="X68" i="95"/>
  <c r="N68" i="95"/>
  <c r="L68" i="95"/>
  <c r="B68" i="95"/>
  <c r="T67" i="95"/>
  <c r="Z67" i="95" s="1"/>
  <c r="P67" i="95"/>
  <c r="X67" i="95" s="1"/>
  <c r="H67" i="95"/>
  <c r="N67" i="95" s="1"/>
  <c r="D67" i="95"/>
  <c r="B67" i="95"/>
  <c r="Z66" i="95"/>
  <c r="X66" i="95"/>
  <c r="L66" i="95"/>
  <c r="N66" i="95" s="1"/>
  <c r="J66" i="95"/>
  <c r="B66" i="95"/>
  <c r="Z65" i="95"/>
  <c r="X65" i="95"/>
  <c r="N65" i="95"/>
  <c r="L65" i="95"/>
  <c r="B65" i="95"/>
  <c r="X64" i="95"/>
  <c r="Z64" i="95" s="1"/>
  <c r="L64" i="95"/>
  <c r="N64" i="95" s="1"/>
  <c r="B64" i="95"/>
  <c r="T63" i="95"/>
  <c r="P63" i="95"/>
  <c r="X63" i="95" s="1"/>
  <c r="H63" i="95"/>
  <c r="F63" i="95"/>
  <c r="D63" i="95"/>
  <c r="B63" i="95"/>
  <c r="Z62" i="95"/>
  <c r="X62" i="95"/>
  <c r="N62" i="95"/>
  <c r="L62" i="95"/>
  <c r="F62" i="95"/>
  <c r="B62" i="95"/>
  <c r="Z61" i="95"/>
  <c r="X61" i="95"/>
  <c r="N61" i="95"/>
  <c r="L61" i="95"/>
  <c r="J61" i="95"/>
  <c r="B61" i="95"/>
  <c r="T60" i="95"/>
  <c r="P60" i="95"/>
  <c r="X60" i="95" s="1"/>
  <c r="N60" i="95"/>
  <c r="H60" i="95"/>
  <c r="D60" i="95"/>
  <c r="L60" i="95" s="1"/>
  <c r="B60" i="95"/>
  <c r="Z59" i="95"/>
  <c r="X59" i="95"/>
  <c r="N59" i="95"/>
  <c r="L59" i="95"/>
  <c r="J59" i="95"/>
  <c r="B59" i="95"/>
  <c r="Z58" i="95"/>
  <c r="T58" i="95"/>
  <c r="P58" i="95"/>
  <c r="X58" i="95" s="1"/>
  <c r="N58" i="95"/>
  <c r="L58" i="95"/>
  <c r="J58" i="95"/>
  <c r="H58" i="95"/>
  <c r="D58" i="95"/>
  <c r="B58" i="95"/>
  <c r="X57" i="95"/>
  <c r="Z57" i="95" s="1"/>
  <c r="N57" i="95"/>
  <c r="L57" i="95"/>
  <c r="B57" i="95"/>
  <c r="Z56" i="95"/>
  <c r="X56" i="95"/>
  <c r="T56" i="95"/>
  <c r="P56" i="95"/>
  <c r="H56" i="95"/>
  <c r="D56" i="95"/>
  <c r="B56" i="95"/>
  <c r="X55" i="95"/>
  <c r="Z55" i="95" s="1"/>
  <c r="N55" i="95"/>
  <c r="L55" i="95"/>
  <c r="B55" i="95"/>
  <c r="Z54" i="95"/>
  <c r="T54" i="95"/>
  <c r="X54" i="95" s="1"/>
  <c r="P54" i="95"/>
  <c r="J54" i="95"/>
  <c r="H54" i="95"/>
  <c r="N54" i="95" s="1"/>
  <c r="D54" i="95"/>
  <c r="L54" i="95" s="1"/>
  <c r="B54" i="95"/>
  <c r="Z53" i="95"/>
  <c r="X53" i="95"/>
  <c r="N53" i="95"/>
  <c r="L53" i="95"/>
  <c r="B53" i="95"/>
  <c r="X52" i="95"/>
  <c r="T52" i="95"/>
  <c r="P52" i="95"/>
  <c r="H52" i="95"/>
  <c r="N52" i="95" s="1"/>
  <c r="D52" i="95"/>
  <c r="L52" i="95" s="1"/>
  <c r="B52" i="95"/>
  <c r="Z51" i="95"/>
  <c r="X51" i="95"/>
  <c r="N51" i="95"/>
  <c r="L51" i="95"/>
  <c r="B51" i="95"/>
  <c r="T50" i="95"/>
  <c r="Z50" i="95" s="1"/>
  <c r="P50" i="95"/>
  <c r="N50" i="95"/>
  <c r="L50" i="95"/>
  <c r="H50" i="95"/>
  <c r="D50" i="95"/>
  <c r="B50" i="95"/>
  <c r="Z49" i="95"/>
  <c r="X49" i="95"/>
  <c r="N49" i="95"/>
  <c r="L49" i="95"/>
  <c r="F49" i="95"/>
  <c r="B49" i="95"/>
  <c r="T48" i="95"/>
  <c r="Z48" i="95" s="1"/>
  <c r="P48" i="95"/>
  <c r="X48" i="95" s="1"/>
  <c r="N48" i="95"/>
  <c r="L48" i="95"/>
  <c r="J48" i="95"/>
  <c r="H48" i="95"/>
  <c r="D48" i="95"/>
  <c r="B48" i="95"/>
  <c r="Z47" i="95"/>
  <c r="X47" i="95"/>
  <c r="L47" i="95"/>
  <c r="N47" i="95" s="1"/>
  <c r="B47" i="95"/>
  <c r="Z46" i="95"/>
  <c r="T46" i="95"/>
  <c r="X46" i="95" s="1"/>
  <c r="P46" i="95"/>
  <c r="H46" i="95"/>
  <c r="D46" i="95"/>
  <c r="B46" i="95"/>
  <c r="Z45" i="95"/>
  <c r="X45" i="95"/>
  <c r="N45" i="95"/>
  <c r="L45" i="95"/>
  <c r="B45" i="95"/>
  <c r="T44" i="95"/>
  <c r="Z44" i="95" s="1"/>
  <c r="P44" i="95"/>
  <c r="X44" i="95" s="1"/>
  <c r="N44" i="95"/>
  <c r="L44" i="95"/>
  <c r="H44" i="95"/>
  <c r="D44" i="95"/>
  <c r="B44" i="95"/>
  <c r="Z43" i="95"/>
  <c r="X43" i="95"/>
  <c r="V43" i="95"/>
  <c r="N43" i="95"/>
  <c r="L43" i="95"/>
  <c r="B43" i="95"/>
  <c r="Z42" i="95"/>
  <c r="T42" i="95"/>
  <c r="X42" i="95" s="1"/>
  <c r="P42" i="95"/>
  <c r="H42" i="95"/>
  <c r="D42" i="95"/>
  <c r="B42" i="95"/>
  <c r="Z41" i="95"/>
  <c r="X41" i="95"/>
  <c r="N41" i="95"/>
  <c r="L41" i="95"/>
  <c r="B41" i="95"/>
  <c r="T40" i="95"/>
  <c r="Z40" i="95" s="1"/>
  <c r="P40" i="95"/>
  <c r="X40" i="95" s="1"/>
  <c r="N40" i="95"/>
  <c r="L40" i="95"/>
  <c r="H40" i="95"/>
  <c r="D40" i="95"/>
  <c r="B40" i="95"/>
  <c r="Z39" i="95"/>
  <c r="X39" i="95"/>
  <c r="N39" i="95"/>
  <c r="L39" i="95"/>
  <c r="B39" i="95"/>
  <c r="Z38" i="95"/>
  <c r="X38" i="95"/>
  <c r="N38" i="95"/>
  <c r="L38" i="95"/>
  <c r="B38" i="95"/>
  <c r="Z37" i="95"/>
  <c r="X37" i="95"/>
  <c r="N37" i="95"/>
  <c r="L37" i="95"/>
  <c r="J37" i="95"/>
  <c r="B37" i="95"/>
  <c r="Z36" i="95"/>
  <c r="X36" i="95"/>
  <c r="L36" i="95"/>
  <c r="N36" i="95" s="1"/>
  <c r="F36" i="95"/>
  <c r="B36" i="95"/>
  <c r="Z35" i="95"/>
  <c r="X35" i="95"/>
  <c r="N35" i="95"/>
  <c r="L35" i="95"/>
  <c r="J35" i="95"/>
  <c r="B35" i="95"/>
  <c r="T34" i="95"/>
  <c r="P34" i="95"/>
  <c r="X34" i="95" s="1"/>
  <c r="N34" i="95"/>
  <c r="H34" i="95"/>
  <c r="D34" i="95"/>
  <c r="L34" i="95" s="1"/>
  <c r="B34" i="95"/>
  <c r="X33" i="95"/>
  <c r="Z33" i="95" s="1"/>
  <c r="N33" i="95"/>
  <c r="L33" i="95"/>
  <c r="J33" i="95"/>
  <c r="B33" i="95"/>
  <c r="Z32" i="95"/>
  <c r="X32" i="95"/>
  <c r="L32" i="95"/>
  <c r="N32" i="95" s="1"/>
  <c r="F32" i="95"/>
  <c r="B32" i="95"/>
  <c r="Z31" i="95"/>
  <c r="X31" i="95"/>
  <c r="N31" i="95"/>
  <c r="L31" i="95"/>
  <c r="J31" i="95"/>
  <c r="B31" i="95"/>
  <c r="X30" i="95"/>
  <c r="Z30" i="95" s="1"/>
  <c r="L30" i="95"/>
  <c r="N30" i="95" s="1"/>
  <c r="J30" i="95"/>
  <c r="B30" i="95"/>
  <c r="Z29" i="95"/>
  <c r="X29" i="95"/>
  <c r="V29" i="95"/>
  <c r="L29" i="95"/>
  <c r="N29" i="95" s="1"/>
  <c r="B29" i="95"/>
  <c r="X28" i="95"/>
  <c r="Z28" i="95" s="1"/>
  <c r="N28" i="95"/>
  <c r="L28" i="95"/>
  <c r="B28" i="95"/>
  <c r="Z27" i="95"/>
  <c r="X27" i="95"/>
  <c r="N27" i="95"/>
  <c r="L27" i="95"/>
  <c r="B27" i="95"/>
  <c r="X26" i="95"/>
  <c r="Z26" i="95" s="1"/>
  <c r="L26" i="95"/>
  <c r="N26" i="95" s="1"/>
  <c r="B26" i="95"/>
  <c r="X25" i="95"/>
  <c r="Z25" i="95" s="1"/>
  <c r="N25" i="95"/>
  <c r="L25" i="95"/>
  <c r="J25" i="95"/>
  <c r="B25" i="95"/>
  <c r="Z24" i="95"/>
  <c r="T24" i="95"/>
  <c r="P24" i="95"/>
  <c r="X24" i="95" s="1"/>
  <c r="L24" i="95"/>
  <c r="H24" i="95"/>
  <c r="N24" i="95" s="1"/>
  <c r="D24" i="95"/>
  <c r="B24" i="95"/>
  <c r="T23" i="95"/>
  <c r="Z23" i="95" s="1"/>
  <c r="P23" i="95"/>
  <c r="X23" i="95" s="1"/>
  <c r="H23" i="95"/>
  <c r="D23" i="95"/>
  <c r="Z19" i="95"/>
  <c r="X19" i="95"/>
  <c r="N19" i="95"/>
  <c r="L19" i="95"/>
  <c r="B19" i="95"/>
  <c r="Z18" i="95"/>
  <c r="X18" i="95"/>
  <c r="N18" i="95"/>
  <c r="L18" i="95"/>
  <c r="F18" i="95"/>
  <c r="B18" i="95"/>
  <c r="Z17" i="95"/>
  <c r="X17" i="95"/>
  <c r="T17" i="95"/>
  <c r="P17" i="95"/>
  <c r="J17" i="95"/>
  <c r="H17" i="95"/>
  <c r="N17" i="95" s="1"/>
  <c r="D17" i="95"/>
  <c r="T15" i="95"/>
  <c r="Z15" i="95" s="1"/>
  <c r="P15" i="95"/>
  <c r="X15" i="95" s="1"/>
  <c r="N15" i="95"/>
  <c r="L15" i="95"/>
  <c r="H15" i="95"/>
  <c r="D15" i="95"/>
  <c r="B15" i="95"/>
  <c r="T14" i="95"/>
  <c r="Z14" i="95" s="1"/>
  <c r="P14" i="95"/>
  <c r="X14" i="95" s="1"/>
  <c r="N14" i="95"/>
  <c r="H14" i="95"/>
  <c r="H12" i="95" s="1"/>
  <c r="D14" i="95"/>
  <c r="L14" i="95" s="1"/>
  <c r="B14" i="95"/>
  <c r="Z13" i="95"/>
  <c r="T13" i="95"/>
  <c r="P13" i="95"/>
  <c r="L13" i="95"/>
  <c r="H13" i="95"/>
  <c r="N13" i="95" s="1"/>
  <c r="D13" i="95"/>
  <c r="B13" i="95"/>
  <c r="T12" i="95"/>
  <c r="V19" i="95" s="1"/>
  <c r="D12" i="95"/>
  <c r="F45" i="95" s="1"/>
  <c r="D6" i="95"/>
  <c r="D4" i="95"/>
  <c r="Z86" i="94"/>
  <c r="X86" i="94"/>
  <c r="L86" i="94"/>
  <c r="N86" i="94" s="1"/>
  <c r="T82" i="94"/>
  <c r="P82" i="94"/>
  <c r="H82" i="94"/>
  <c r="N82" i="94" s="1"/>
  <c r="D82" i="94"/>
  <c r="L82" i="94" s="1"/>
  <c r="Z80" i="94"/>
  <c r="X80" i="94"/>
  <c r="N80" i="94"/>
  <c r="L80" i="94"/>
  <c r="B80" i="94"/>
  <c r="T79" i="94"/>
  <c r="P79" i="94"/>
  <c r="X79" i="94" s="1"/>
  <c r="N79" i="94"/>
  <c r="L79" i="94"/>
  <c r="H79" i="94"/>
  <c r="D79" i="94"/>
  <c r="B79" i="94"/>
  <c r="X78" i="94"/>
  <c r="Z78" i="94" s="1"/>
  <c r="N78" i="94"/>
  <c r="L78" i="94"/>
  <c r="B78" i="94"/>
  <c r="X77" i="94"/>
  <c r="Z77" i="94" s="1"/>
  <c r="T77" i="94"/>
  <c r="P77" i="94"/>
  <c r="H77" i="94"/>
  <c r="D77" i="94"/>
  <c r="L77" i="94" s="1"/>
  <c r="N77" i="94" s="1"/>
  <c r="B77" i="94"/>
  <c r="X76" i="94"/>
  <c r="Z76" i="94" s="1"/>
  <c r="N76" i="94"/>
  <c r="L76" i="94"/>
  <c r="B76" i="94"/>
  <c r="Z75" i="94"/>
  <c r="X75" i="94"/>
  <c r="N75" i="94"/>
  <c r="L75" i="94"/>
  <c r="B75" i="94"/>
  <c r="X74" i="94"/>
  <c r="Z74" i="94" s="1"/>
  <c r="N74" i="94"/>
  <c r="L74" i="94"/>
  <c r="B74" i="94"/>
  <c r="X73" i="94"/>
  <c r="Z73" i="94" s="1"/>
  <c r="L73" i="94"/>
  <c r="N73" i="94" s="1"/>
  <c r="B73" i="94"/>
  <c r="Z72" i="94"/>
  <c r="X72" i="94"/>
  <c r="L72" i="94"/>
  <c r="N72" i="94" s="1"/>
  <c r="B72" i="94"/>
  <c r="X71" i="94"/>
  <c r="Z71" i="94" s="1"/>
  <c r="N71" i="94"/>
  <c r="L71" i="94"/>
  <c r="F71" i="94"/>
  <c r="B71" i="94"/>
  <c r="Z70" i="94"/>
  <c r="X70" i="94"/>
  <c r="L70" i="94"/>
  <c r="N70" i="94" s="1"/>
  <c r="J70" i="94"/>
  <c r="B70" i="94"/>
  <c r="Z69" i="94"/>
  <c r="X69" i="94"/>
  <c r="N69" i="94"/>
  <c r="L69" i="94"/>
  <c r="B69" i="94"/>
  <c r="X68" i="94"/>
  <c r="T68" i="94"/>
  <c r="P68" i="94"/>
  <c r="H68" i="94"/>
  <c r="D68" i="94"/>
  <c r="L68" i="94" s="1"/>
  <c r="B68" i="94"/>
  <c r="X67" i="94"/>
  <c r="Z67" i="94" s="1"/>
  <c r="N67" i="94"/>
  <c r="L67" i="94"/>
  <c r="B67" i="94"/>
  <c r="T66" i="94"/>
  <c r="P66" i="94"/>
  <c r="X66" i="94" s="1"/>
  <c r="N66" i="94"/>
  <c r="H66" i="94"/>
  <c r="D66" i="94"/>
  <c r="L66" i="94" s="1"/>
  <c r="B66" i="94"/>
  <c r="X65" i="94"/>
  <c r="Z65" i="94" s="1"/>
  <c r="N65" i="94"/>
  <c r="L65" i="94"/>
  <c r="B65" i="94"/>
  <c r="Z64" i="94"/>
  <c r="X64" i="94"/>
  <c r="L64" i="94"/>
  <c r="N64" i="94" s="1"/>
  <c r="B64" i="94"/>
  <c r="X63" i="94"/>
  <c r="Z63" i="94" s="1"/>
  <c r="N63" i="94"/>
  <c r="L63" i="94"/>
  <c r="B63" i="94"/>
  <c r="Z62" i="94"/>
  <c r="X62" i="94"/>
  <c r="L62" i="94"/>
  <c r="N62" i="94" s="1"/>
  <c r="J62" i="94"/>
  <c r="B62" i="94"/>
  <c r="T61" i="94"/>
  <c r="P61" i="94"/>
  <c r="X61" i="94" s="1"/>
  <c r="L61" i="94"/>
  <c r="N61" i="94" s="1"/>
  <c r="H61" i="94"/>
  <c r="D61" i="94"/>
  <c r="B61" i="94"/>
  <c r="Z60" i="94"/>
  <c r="X60" i="94"/>
  <c r="N60" i="94"/>
  <c r="L60" i="94"/>
  <c r="B60" i="94"/>
  <c r="X59" i="94"/>
  <c r="Z59" i="94" s="1"/>
  <c r="N59" i="94"/>
  <c r="L59" i="94"/>
  <c r="B59" i="94"/>
  <c r="T58" i="94"/>
  <c r="P58" i="94"/>
  <c r="X58" i="94" s="1"/>
  <c r="N58" i="94"/>
  <c r="H58" i="94"/>
  <c r="D58" i="94"/>
  <c r="L58" i="94" s="1"/>
  <c r="B58" i="94"/>
  <c r="X57" i="94"/>
  <c r="Z57" i="94" s="1"/>
  <c r="L57" i="94"/>
  <c r="N57" i="94" s="1"/>
  <c r="B57" i="94"/>
  <c r="Z56" i="94"/>
  <c r="T56" i="94"/>
  <c r="P56" i="94"/>
  <c r="X56" i="94" s="1"/>
  <c r="L56" i="94"/>
  <c r="N56" i="94" s="1"/>
  <c r="J56" i="94"/>
  <c r="H56" i="94"/>
  <c r="D56" i="94"/>
  <c r="B56" i="94"/>
  <c r="Z55" i="94"/>
  <c r="X55" i="94"/>
  <c r="L55" i="94"/>
  <c r="N55" i="94" s="1"/>
  <c r="B55" i="94"/>
  <c r="X54" i="94"/>
  <c r="Z54" i="94" s="1"/>
  <c r="T54" i="94"/>
  <c r="P54" i="94"/>
  <c r="H54" i="94"/>
  <c r="D54" i="94"/>
  <c r="B54" i="94"/>
  <c r="X53" i="94"/>
  <c r="Z53" i="94" s="1"/>
  <c r="L53" i="94"/>
  <c r="N53" i="94" s="1"/>
  <c r="B53" i="94"/>
  <c r="X52" i="94"/>
  <c r="T52" i="94"/>
  <c r="P52" i="94"/>
  <c r="H52" i="94"/>
  <c r="D52" i="94"/>
  <c r="B52" i="94"/>
  <c r="Z51" i="94"/>
  <c r="X51" i="94"/>
  <c r="N51" i="94"/>
  <c r="L51" i="94"/>
  <c r="B51" i="94"/>
  <c r="T50" i="94"/>
  <c r="Z50" i="94" s="1"/>
  <c r="P50" i="94"/>
  <c r="X50" i="94" s="1"/>
  <c r="N50" i="94"/>
  <c r="H50" i="94"/>
  <c r="D50" i="94"/>
  <c r="L50" i="94" s="1"/>
  <c r="B50" i="94"/>
  <c r="Z49" i="94"/>
  <c r="X49" i="94"/>
  <c r="N49" i="94"/>
  <c r="L49" i="94"/>
  <c r="B49" i="94"/>
  <c r="Z48" i="94"/>
  <c r="T48" i="94"/>
  <c r="P48" i="94"/>
  <c r="X48" i="94" s="1"/>
  <c r="L48" i="94"/>
  <c r="N48" i="94" s="1"/>
  <c r="H48" i="94"/>
  <c r="D48" i="94"/>
  <c r="B48" i="94"/>
  <c r="Z47" i="94"/>
  <c r="X47" i="94"/>
  <c r="L47" i="94"/>
  <c r="N47" i="94" s="1"/>
  <c r="B47" i="94"/>
  <c r="X46" i="94"/>
  <c r="Z46" i="94" s="1"/>
  <c r="T46" i="94"/>
  <c r="P46" i="94"/>
  <c r="L46" i="94"/>
  <c r="H46" i="94"/>
  <c r="D46" i="94"/>
  <c r="B46" i="94"/>
  <c r="X45" i="94"/>
  <c r="Z45" i="94" s="1"/>
  <c r="L45" i="94"/>
  <c r="N45" i="94" s="1"/>
  <c r="B45" i="94"/>
  <c r="T44" i="94"/>
  <c r="P44" i="94"/>
  <c r="H44" i="94"/>
  <c r="D44" i="94"/>
  <c r="B44" i="94"/>
  <c r="X43" i="94"/>
  <c r="Z43" i="94" s="1"/>
  <c r="N43" i="94"/>
  <c r="L43" i="94"/>
  <c r="B43" i="94"/>
  <c r="T42" i="94"/>
  <c r="P42" i="94"/>
  <c r="X42" i="94" s="1"/>
  <c r="N42" i="94"/>
  <c r="H42" i="94"/>
  <c r="D42" i="94"/>
  <c r="L42" i="94" s="1"/>
  <c r="B42" i="94"/>
  <c r="Z41" i="94"/>
  <c r="X41" i="94"/>
  <c r="N41" i="94"/>
  <c r="L41" i="94"/>
  <c r="B41" i="94"/>
  <c r="Z40" i="94"/>
  <c r="T40" i="94"/>
  <c r="P40" i="94"/>
  <c r="X40" i="94" s="1"/>
  <c r="L40" i="94"/>
  <c r="H40" i="94"/>
  <c r="N40" i="94" s="1"/>
  <c r="D40" i="94"/>
  <c r="B40" i="94"/>
  <c r="Z39" i="94"/>
  <c r="X39" i="94"/>
  <c r="N39" i="94"/>
  <c r="L39" i="94"/>
  <c r="B39" i="94"/>
  <c r="X38" i="94"/>
  <c r="Z38" i="94" s="1"/>
  <c r="L38" i="94"/>
  <c r="N38" i="94" s="1"/>
  <c r="B38" i="94"/>
  <c r="Z37" i="94"/>
  <c r="X37" i="94"/>
  <c r="L37" i="94"/>
  <c r="N37" i="94" s="1"/>
  <c r="B37" i="94"/>
  <c r="Z36" i="94"/>
  <c r="X36" i="94"/>
  <c r="L36" i="94"/>
  <c r="N36" i="94" s="1"/>
  <c r="J36" i="94"/>
  <c r="B36" i="94"/>
  <c r="X35" i="94"/>
  <c r="Z35" i="94" s="1"/>
  <c r="L35" i="94"/>
  <c r="N35" i="94" s="1"/>
  <c r="B35" i="94"/>
  <c r="Z34" i="94"/>
  <c r="T34" i="94"/>
  <c r="X34" i="94" s="1"/>
  <c r="P34" i="94"/>
  <c r="H34" i="94"/>
  <c r="D34" i="94"/>
  <c r="L34" i="94" s="1"/>
  <c r="N34" i="94" s="1"/>
  <c r="B34" i="94"/>
  <c r="X33" i="94"/>
  <c r="Z33" i="94" s="1"/>
  <c r="L33" i="94"/>
  <c r="N33" i="94" s="1"/>
  <c r="B33" i="94"/>
  <c r="Z32" i="94"/>
  <c r="X32" i="94"/>
  <c r="L32" i="94"/>
  <c r="N32" i="94" s="1"/>
  <c r="J32" i="94"/>
  <c r="B32" i="94"/>
  <c r="X31" i="94"/>
  <c r="Z31" i="94" s="1"/>
  <c r="L31" i="94"/>
  <c r="N31" i="94" s="1"/>
  <c r="B31" i="94"/>
  <c r="Z30" i="94"/>
  <c r="X30" i="94"/>
  <c r="N30" i="94"/>
  <c r="L30" i="94"/>
  <c r="B30" i="94"/>
  <c r="X29" i="94"/>
  <c r="Z29" i="94" s="1"/>
  <c r="L29" i="94"/>
  <c r="N29" i="94" s="1"/>
  <c r="B29" i="94"/>
  <c r="X28" i="94"/>
  <c r="Z28" i="94" s="1"/>
  <c r="N28" i="94"/>
  <c r="L28" i="94"/>
  <c r="B28" i="94"/>
  <c r="X27" i="94"/>
  <c r="Z27" i="94" s="1"/>
  <c r="L27" i="94"/>
  <c r="N27" i="94" s="1"/>
  <c r="B27" i="94"/>
  <c r="Z26" i="94"/>
  <c r="X26" i="94"/>
  <c r="N26" i="94"/>
  <c r="L26" i="94"/>
  <c r="B26" i="94"/>
  <c r="X25" i="94"/>
  <c r="Z25" i="94" s="1"/>
  <c r="L25" i="94"/>
  <c r="N25" i="94" s="1"/>
  <c r="B25" i="94"/>
  <c r="T24" i="94"/>
  <c r="P24" i="94"/>
  <c r="X24" i="94" s="1"/>
  <c r="Z24" i="94" s="1"/>
  <c r="H24" i="94"/>
  <c r="D24" i="94"/>
  <c r="L24" i="94" s="1"/>
  <c r="N24" i="94" s="1"/>
  <c r="B24" i="94"/>
  <c r="X23" i="94"/>
  <c r="T23" i="94"/>
  <c r="P23" i="94"/>
  <c r="H23" i="94"/>
  <c r="D23" i="94"/>
  <c r="L23" i="94" s="1"/>
  <c r="H21" i="94"/>
  <c r="X19" i="94"/>
  <c r="Z19" i="94" s="1"/>
  <c r="L19" i="94"/>
  <c r="N19" i="94" s="1"/>
  <c r="B19" i="94"/>
  <c r="Z18" i="94"/>
  <c r="X18" i="94"/>
  <c r="N18" i="94"/>
  <c r="L18" i="94"/>
  <c r="B18" i="94"/>
  <c r="T17" i="94"/>
  <c r="P17" i="94"/>
  <c r="H17" i="94"/>
  <c r="D17" i="94"/>
  <c r="L17" i="94" s="1"/>
  <c r="T15" i="94"/>
  <c r="Z15" i="94" s="1"/>
  <c r="P15" i="94"/>
  <c r="X15" i="94" s="1"/>
  <c r="L15" i="94"/>
  <c r="H15" i="94"/>
  <c r="N15" i="94" s="1"/>
  <c r="D15" i="94"/>
  <c r="D12" i="94" s="1"/>
  <c r="F61" i="94" s="1"/>
  <c r="B15" i="94"/>
  <c r="T14" i="94"/>
  <c r="P14" i="94"/>
  <c r="H14" i="94"/>
  <c r="H12" i="94" s="1"/>
  <c r="J77" i="94" s="1"/>
  <c r="D14" i="94"/>
  <c r="B14" i="94"/>
  <c r="T13" i="94"/>
  <c r="P13" i="94"/>
  <c r="L13" i="94"/>
  <c r="H13" i="94"/>
  <c r="D13" i="94"/>
  <c r="B13" i="94"/>
  <c r="D6" i="94"/>
  <c r="D4" i="94"/>
  <c r="V31" i="93"/>
  <c r="J31" i="93"/>
  <c r="F31" i="93"/>
  <c r="V28" i="93"/>
  <c r="R28" i="93"/>
  <c r="F28" i="93"/>
  <c r="Z26" i="93"/>
  <c r="X26" i="93"/>
  <c r="V26" i="93"/>
  <c r="N26" i="93"/>
  <c r="L26" i="93"/>
  <c r="V24" i="93"/>
  <c r="J24" i="93"/>
  <c r="F24" i="93"/>
  <c r="Z22" i="93"/>
  <c r="X22" i="93"/>
  <c r="V22" i="93"/>
  <c r="T22" i="93"/>
  <c r="R22" i="93"/>
  <c r="P22" i="93"/>
  <c r="N22" i="93"/>
  <c r="H22" i="93"/>
  <c r="L22" i="93" s="1"/>
  <c r="F22" i="93"/>
  <c r="D22" i="93"/>
  <c r="Z20" i="93"/>
  <c r="X20" i="93"/>
  <c r="V20" i="93"/>
  <c r="N20" i="93"/>
  <c r="L20" i="93"/>
  <c r="J20" i="93"/>
  <c r="B20" i="93"/>
  <c r="T19" i="93"/>
  <c r="P19" i="93"/>
  <c r="X19" i="93" s="1"/>
  <c r="L19" i="93"/>
  <c r="H19" i="93"/>
  <c r="N19" i="93" s="1"/>
  <c r="D19" i="93"/>
  <c r="B19" i="93"/>
  <c r="V18" i="93"/>
  <c r="T18" i="93"/>
  <c r="R18" i="93"/>
  <c r="P18" i="93"/>
  <c r="X18" i="93" s="1"/>
  <c r="Z18" i="93" s="1"/>
  <c r="N18" i="93"/>
  <c r="L18" i="93"/>
  <c r="J18" i="93"/>
  <c r="H18" i="93"/>
  <c r="F18" i="93"/>
  <c r="D18" i="93"/>
  <c r="Z16" i="93"/>
  <c r="T16" i="93"/>
  <c r="T24" i="93" s="1"/>
  <c r="T28" i="93" s="1"/>
  <c r="R16" i="93"/>
  <c r="J16" i="93"/>
  <c r="D16" i="93"/>
  <c r="Z14" i="93"/>
  <c r="V14" i="93"/>
  <c r="T14" i="93"/>
  <c r="R14" i="93"/>
  <c r="P14" i="93"/>
  <c r="X14" i="93" s="1"/>
  <c r="N14" i="93"/>
  <c r="L14" i="93"/>
  <c r="H14" i="93"/>
  <c r="F14" i="93"/>
  <c r="D14" i="93"/>
  <c r="Z12" i="93"/>
  <c r="T12" i="93"/>
  <c r="V19" i="93" s="1"/>
  <c r="P12" i="93"/>
  <c r="R26" i="93" s="1"/>
  <c r="N12" i="93"/>
  <c r="H12" i="93"/>
  <c r="J26" i="93" s="1"/>
  <c r="D12" i="93"/>
  <c r="F19" i="93" s="1"/>
  <c r="D6" i="93"/>
  <c r="D4" i="93"/>
  <c r="X81" i="92"/>
  <c r="Z81" i="92" s="1"/>
  <c r="N81" i="92"/>
  <c r="L81" i="92"/>
  <c r="Z77" i="92"/>
  <c r="T77" i="92"/>
  <c r="P77" i="92"/>
  <c r="X77" i="92" s="1"/>
  <c r="N77" i="92"/>
  <c r="H77" i="92"/>
  <c r="D77" i="92"/>
  <c r="L77" i="92" s="1"/>
  <c r="X75" i="92"/>
  <c r="Z75" i="92" s="1"/>
  <c r="N75" i="92"/>
  <c r="L75" i="92"/>
  <c r="B75" i="92"/>
  <c r="X74" i="92"/>
  <c r="T74" i="92"/>
  <c r="P74" i="92"/>
  <c r="H74" i="92"/>
  <c r="D74" i="92"/>
  <c r="L74" i="92" s="1"/>
  <c r="B74" i="92"/>
  <c r="Z73" i="92"/>
  <c r="X73" i="92"/>
  <c r="N73" i="92"/>
  <c r="L73" i="92"/>
  <c r="B73" i="92"/>
  <c r="Z72" i="92"/>
  <c r="X72" i="92"/>
  <c r="N72" i="92"/>
  <c r="L72" i="92"/>
  <c r="B72" i="92"/>
  <c r="X71" i="92"/>
  <c r="Z71" i="92" s="1"/>
  <c r="N71" i="92"/>
  <c r="L71" i="92"/>
  <c r="B71" i="92"/>
  <c r="X70" i="92"/>
  <c r="Z70" i="92" s="1"/>
  <c r="N70" i="92"/>
  <c r="L70" i="92"/>
  <c r="B70" i="92"/>
  <c r="Z69" i="92"/>
  <c r="X69" i="92"/>
  <c r="N69" i="92"/>
  <c r="L69" i="92"/>
  <c r="B69" i="92"/>
  <c r="X68" i="92"/>
  <c r="Z68" i="92" s="1"/>
  <c r="N68" i="92"/>
  <c r="L68" i="92"/>
  <c r="B68" i="92"/>
  <c r="Z67" i="92"/>
  <c r="X67" i="92"/>
  <c r="N67" i="92"/>
  <c r="L67" i="92"/>
  <c r="B67" i="92"/>
  <c r="Z66" i="92"/>
  <c r="X66" i="92"/>
  <c r="N66" i="92"/>
  <c r="L66" i="92"/>
  <c r="B66" i="92"/>
  <c r="Z65" i="92"/>
  <c r="T65" i="92"/>
  <c r="X65" i="92" s="1"/>
  <c r="P65" i="92"/>
  <c r="H65" i="92"/>
  <c r="D65" i="92"/>
  <c r="L65" i="92" s="1"/>
  <c r="N65" i="92" s="1"/>
  <c r="B65" i="92"/>
  <c r="X64" i="92"/>
  <c r="Z64" i="92" s="1"/>
  <c r="N64" i="92"/>
  <c r="L64" i="92"/>
  <c r="B64" i="92"/>
  <c r="Z63" i="92"/>
  <c r="X63" i="92"/>
  <c r="L63" i="92"/>
  <c r="N63" i="92" s="1"/>
  <c r="B63" i="92"/>
  <c r="X62" i="92"/>
  <c r="Z62" i="92" s="1"/>
  <c r="N62" i="92"/>
  <c r="L62" i="92"/>
  <c r="B62" i="92"/>
  <c r="T61" i="92"/>
  <c r="P61" i="92"/>
  <c r="N61" i="92"/>
  <c r="H61" i="92"/>
  <c r="D61" i="92"/>
  <c r="L61" i="92" s="1"/>
  <c r="B61" i="92"/>
  <c r="Z60" i="92"/>
  <c r="X60" i="92"/>
  <c r="N60" i="92"/>
  <c r="L60" i="92"/>
  <c r="B60" i="92"/>
  <c r="Z59" i="92"/>
  <c r="X59" i="92"/>
  <c r="L59" i="92"/>
  <c r="N59" i="92" s="1"/>
  <c r="B59" i="92"/>
  <c r="T58" i="92"/>
  <c r="P58" i="92"/>
  <c r="X58" i="92" s="1"/>
  <c r="Z58" i="92" s="1"/>
  <c r="H58" i="92"/>
  <c r="D58" i="92"/>
  <c r="B58" i="92"/>
  <c r="Z57" i="92"/>
  <c r="X57" i="92"/>
  <c r="N57" i="92"/>
  <c r="L57" i="92"/>
  <c r="B57" i="92"/>
  <c r="X56" i="92"/>
  <c r="T56" i="92"/>
  <c r="P56" i="92"/>
  <c r="N56" i="92"/>
  <c r="H56" i="92"/>
  <c r="D56" i="92"/>
  <c r="L56" i="92" s="1"/>
  <c r="B56" i="92"/>
  <c r="X55" i="92"/>
  <c r="Z55" i="92" s="1"/>
  <c r="N55" i="92"/>
  <c r="L55" i="92"/>
  <c r="B55" i="92"/>
  <c r="Z54" i="92"/>
  <c r="X54" i="92"/>
  <c r="T54" i="92"/>
  <c r="P54" i="92"/>
  <c r="H54" i="92"/>
  <c r="D54" i="92"/>
  <c r="L54" i="92" s="1"/>
  <c r="B54" i="92"/>
  <c r="Z53" i="92"/>
  <c r="X53" i="92"/>
  <c r="N53" i="92"/>
  <c r="L53" i="92"/>
  <c r="B53" i="92"/>
  <c r="T52" i="92"/>
  <c r="P52" i="92"/>
  <c r="L52" i="92"/>
  <c r="H52" i="92"/>
  <c r="D52" i="92"/>
  <c r="B52" i="92"/>
  <c r="Z51" i="92"/>
  <c r="X51" i="92"/>
  <c r="N51" i="92"/>
  <c r="L51" i="92"/>
  <c r="B51" i="92"/>
  <c r="T50" i="92"/>
  <c r="Z50" i="92" s="1"/>
  <c r="P50" i="92"/>
  <c r="X50" i="92" s="1"/>
  <c r="L50" i="92"/>
  <c r="H50" i="92"/>
  <c r="N50" i="92" s="1"/>
  <c r="D50" i="92"/>
  <c r="B50" i="92"/>
  <c r="Z49" i="92"/>
  <c r="X49" i="92"/>
  <c r="N49" i="92"/>
  <c r="L49" i="92"/>
  <c r="B49" i="92"/>
  <c r="T48" i="92"/>
  <c r="Z48" i="92" s="1"/>
  <c r="P48" i="92"/>
  <c r="N48" i="92"/>
  <c r="L48" i="92"/>
  <c r="H48" i="92"/>
  <c r="D48" i="92"/>
  <c r="B48" i="92"/>
  <c r="X47" i="92"/>
  <c r="Z47" i="92" s="1"/>
  <c r="N47" i="92"/>
  <c r="L47" i="92"/>
  <c r="B47" i="92"/>
  <c r="T46" i="92"/>
  <c r="P46" i="92"/>
  <c r="L46" i="92"/>
  <c r="H46" i="92"/>
  <c r="D46" i="92"/>
  <c r="B46" i="92"/>
  <c r="Z45" i="92"/>
  <c r="X45" i="92"/>
  <c r="N45" i="92"/>
  <c r="L45" i="92"/>
  <c r="B45" i="92"/>
  <c r="Z44" i="92"/>
  <c r="X44" i="92"/>
  <c r="T44" i="92"/>
  <c r="P44" i="92"/>
  <c r="N44" i="92"/>
  <c r="L44" i="92"/>
  <c r="H44" i="92"/>
  <c r="D44" i="92"/>
  <c r="B44" i="92"/>
  <c r="Z43" i="92"/>
  <c r="X43" i="92"/>
  <c r="N43" i="92"/>
  <c r="L43" i="92"/>
  <c r="B43" i="92"/>
  <c r="Z42" i="92"/>
  <c r="X42" i="92"/>
  <c r="T42" i="92"/>
  <c r="P42" i="92"/>
  <c r="H42" i="92"/>
  <c r="N42" i="92" s="1"/>
  <c r="D42" i="92"/>
  <c r="L42" i="92" s="1"/>
  <c r="B42" i="92"/>
  <c r="X41" i="92"/>
  <c r="Z41" i="92" s="1"/>
  <c r="N41" i="92"/>
  <c r="L41" i="92"/>
  <c r="B41" i="92"/>
  <c r="T40" i="92"/>
  <c r="P40" i="92"/>
  <c r="X40" i="92" s="1"/>
  <c r="N40" i="92"/>
  <c r="H40" i="92"/>
  <c r="D40" i="92"/>
  <c r="L40" i="92" s="1"/>
  <c r="B40" i="92"/>
  <c r="Z39" i="92"/>
  <c r="X39" i="92"/>
  <c r="N39" i="92"/>
  <c r="L39" i="92"/>
  <c r="B39" i="92"/>
  <c r="Z38" i="92"/>
  <c r="X38" i="92"/>
  <c r="N38" i="92"/>
  <c r="L38" i="92"/>
  <c r="B38" i="92"/>
  <c r="Z37" i="92"/>
  <c r="X37" i="92"/>
  <c r="N37" i="92"/>
  <c r="L37" i="92"/>
  <c r="B37" i="92"/>
  <c r="Z36" i="92"/>
  <c r="X36" i="92"/>
  <c r="V36" i="92"/>
  <c r="N36" i="92"/>
  <c r="L36" i="92"/>
  <c r="B36" i="92"/>
  <c r="X35" i="92"/>
  <c r="Z35" i="92" s="1"/>
  <c r="L35" i="92"/>
  <c r="N35" i="92" s="1"/>
  <c r="B35" i="92"/>
  <c r="Z34" i="92"/>
  <c r="X34" i="92"/>
  <c r="T34" i="92"/>
  <c r="P34" i="92"/>
  <c r="H34" i="92"/>
  <c r="N34" i="92" s="1"/>
  <c r="D34" i="92"/>
  <c r="L34" i="92" s="1"/>
  <c r="B34" i="92"/>
  <c r="X33" i="92"/>
  <c r="Z33" i="92" s="1"/>
  <c r="N33" i="92"/>
  <c r="L33" i="92"/>
  <c r="B33" i="92"/>
  <c r="Z32" i="92"/>
  <c r="X32" i="92"/>
  <c r="L32" i="92"/>
  <c r="N32" i="92" s="1"/>
  <c r="B32" i="92"/>
  <c r="X31" i="92"/>
  <c r="Z31" i="92" s="1"/>
  <c r="L31" i="92"/>
  <c r="N31" i="92" s="1"/>
  <c r="B31" i="92"/>
  <c r="Z30" i="92"/>
  <c r="X30" i="92"/>
  <c r="N30" i="92"/>
  <c r="L30" i="92"/>
  <c r="B30" i="92"/>
  <c r="Z29" i="92"/>
  <c r="X29" i="92"/>
  <c r="L29" i="92"/>
  <c r="N29" i="92" s="1"/>
  <c r="B29" i="92"/>
  <c r="X28" i="92"/>
  <c r="Z28" i="92" s="1"/>
  <c r="N28" i="92"/>
  <c r="L28" i="92"/>
  <c r="B28" i="92"/>
  <c r="X27" i="92"/>
  <c r="Z27" i="92" s="1"/>
  <c r="L27" i="92"/>
  <c r="N27" i="92" s="1"/>
  <c r="B27" i="92"/>
  <c r="Z26" i="92"/>
  <c r="X26" i="92"/>
  <c r="N26" i="92"/>
  <c r="L26" i="92"/>
  <c r="B26" i="92"/>
  <c r="X25" i="92"/>
  <c r="Z25" i="92" s="1"/>
  <c r="N25" i="92"/>
  <c r="L25" i="92"/>
  <c r="B25" i="92"/>
  <c r="V24" i="92"/>
  <c r="T24" i="92"/>
  <c r="P24" i="92"/>
  <c r="H24" i="92"/>
  <c r="D24" i="92"/>
  <c r="L24" i="92" s="1"/>
  <c r="N24" i="92" s="1"/>
  <c r="B24" i="92"/>
  <c r="T23" i="92"/>
  <c r="P23" i="92"/>
  <c r="X23" i="92" s="1"/>
  <c r="H23" i="92"/>
  <c r="D23" i="92"/>
  <c r="L23" i="92" s="1"/>
  <c r="N23" i="92" s="1"/>
  <c r="X19" i="92"/>
  <c r="Z19" i="92" s="1"/>
  <c r="N19" i="92"/>
  <c r="L19" i="92"/>
  <c r="B19" i="92"/>
  <c r="Z18" i="92"/>
  <c r="X18" i="92"/>
  <c r="V18" i="92"/>
  <c r="N18" i="92"/>
  <c r="L18" i="92"/>
  <c r="B18" i="92"/>
  <c r="T17" i="92"/>
  <c r="P17" i="92"/>
  <c r="H17" i="92"/>
  <c r="N17" i="92" s="1"/>
  <c r="D17" i="92"/>
  <c r="Z15" i="92"/>
  <c r="T15" i="92"/>
  <c r="P15" i="92"/>
  <c r="X15" i="92" s="1"/>
  <c r="N15" i="92"/>
  <c r="H15" i="92"/>
  <c r="D15" i="92"/>
  <c r="L15" i="92" s="1"/>
  <c r="B15" i="92"/>
  <c r="T14" i="92"/>
  <c r="P14" i="92"/>
  <c r="H14" i="92"/>
  <c r="N14" i="92" s="1"/>
  <c r="D14" i="92"/>
  <c r="B14" i="92"/>
  <c r="T13" i="92"/>
  <c r="P13" i="92"/>
  <c r="H13" i="92"/>
  <c r="D13" i="92"/>
  <c r="B13" i="92"/>
  <c r="T12" i="92"/>
  <c r="V40" i="92" s="1"/>
  <c r="D6" i="92"/>
  <c r="D4" i="92"/>
  <c r="V55" i="91"/>
  <c r="T55" i="91"/>
  <c r="F55" i="91"/>
  <c r="R52" i="91"/>
  <c r="Z50" i="91"/>
  <c r="X50" i="91"/>
  <c r="V50" i="91"/>
  <c r="R50" i="91"/>
  <c r="N50" i="91"/>
  <c r="L50" i="91"/>
  <c r="V48" i="91"/>
  <c r="T48" i="91"/>
  <c r="T52" i="91" s="1"/>
  <c r="J48" i="91"/>
  <c r="F48" i="91"/>
  <c r="D48" i="91"/>
  <c r="Z46" i="91"/>
  <c r="X46" i="91"/>
  <c r="T46" i="91"/>
  <c r="R46" i="91"/>
  <c r="P46" i="91"/>
  <c r="N46" i="91"/>
  <c r="L46" i="91"/>
  <c r="H46" i="91"/>
  <c r="D46" i="91"/>
  <c r="Z44" i="91"/>
  <c r="X44" i="91"/>
  <c r="V44" i="91"/>
  <c r="R44" i="91"/>
  <c r="N44" i="91"/>
  <c r="L44" i="91"/>
  <c r="B44" i="91"/>
  <c r="X43" i="91"/>
  <c r="V43" i="91"/>
  <c r="T43" i="91"/>
  <c r="Z43" i="91" s="1"/>
  <c r="P43" i="91"/>
  <c r="H43" i="91"/>
  <c r="F43" i="91"/>
  <c r="D43" i="91"/>
  <c r="B43" i="91"/>
  <c r="Z42" i="91"/>
  <c r="X42" i="91"/>
  <c r="V42" i="91"/>
  <c r="N42" i="91"/>
  <c r="L42" i="91"/>
  <c r="B42" i="91"/>
  <c r="X41" i="91"/>
  <c r="T41" i="91"/>
  <c r="Z41" i="91" s="1"/>
  <c r="R41" i="91"/>
  <c r="P41" i="91"/>
  <c r="H41" i="91"/>
  <c r="N41" i="91" s="1"/>
  <c r="D41" i="91"/>
  <c r="B41" i="91"/>
  <c r="X40" i="91"/>
  <c r="Z40" i="91" s="1"/>
  <c r="N40" i="91"/>
  <c r="L40" i="91"/>
  <c r="F40" i="91"/>
  <c r="B40" i="91"/>
  <c r="T39" i="91"/>
  <c r="P39" i="91"/>
  <c r="X39" i="91" s="1"/>
  <c r="H39" i="91"/>
  <c r="D39" i="91"/>
  <c r="L39" i="91" s="1"/>
  <c r="N39" i="91" s="1"/>
  <c r="B39" i="91"/>
  <c r="Z38" i="91"/>
  <c r="X38" i="91"/>
  <c r="N38" i="91"/>
  <c r="L38" i="91"/>
  <c r="B38" i="91"/>
  <c r="Z37" i="91"/>
  <c r="X37" i="91"/>
  <c r="N37" i="91"/>
  <c r="L37" i="91"/>
  <c r="F37" i="91"/>
  <c r="B37" i="91"/>
  <c r="Z36" i="91"/>
  <c r="X36" i="91"/>
  <c r="T36" i="91"/>
  <c r="R36" i="91"/>
  <c r="P36" i="91"/>
  <c r="N36" i="91"/>
  <c r="L36" i="91"/>
  <c r="H36" i="91"/>
  <c r="D36" i="91"/>
  <c r="B36" i="91"/>
  <c r="X35" i="91"/>
  <c r="Z35" i="91" s="1"/>
  <c r="V35" i="91"/>
  <c r="N35" i="91"/>
  <c r="L35" i="91"/>
  <c r="F35" i="91"/>
  <c r="B35" i="91"/>
  <c r="X34" i="91"/>
  <c r="Z34" i="91" s="1"/>
  <c r="T34" i="91"/>
  <c r="P34" i="91"/>
  <c r="H34" i="91"/>
  <c r="D34" i="91"/>
  <c r="L34" i="91" s="1"/>
  <c r="N34" i="91" s="1"/>
  <c r="B34" i="91"/>
  <c r="X33" i="91"/>
  <c r="Z33" i="91" s="1"/>
  <c r="R33" i="91"/>
  <c r="N33" i="91"/>
  <c r="L33" i="91"/>
  <c r="B33" i="91"/>
  <c r="V32" i="91"/>
  <c r="T32" i="91"/>
  <c r="P32" i="91"/>
  <c r="X32" i="91" s="1"/>
  <c r="Z32" i="91" s="1"/>
  <c r="N32" i="91"/>
  <c r="H32" i="91"/>
  <c r="F32" i="91"/>
  <c r="D32" i="91"/>
  <c r="L32" i="91" s="1"/>
  <c r="B32" i="91"/>
  <c r="Z31" i="91"/>
  <c r="X31" i="91"/>
  <c r="R31" i="91"/>
  <c r="N31" i="91"/>
  <c r="L31" i="91"/>
  <c r="B31" i="91"/>
  <c r="Z30" i="91"/>
  <c r="V30" i="91"/>
  <c r="T30" i="91"/>
  <c r="R30" i="91"/>
  <c r="P30" i="91"/>
  <c r="X30" i="91" s="1"/>
  <c r="N30" i="91"/>
  <c r="L30" i="91"/>
  <c r="H30" i="91"/>
  <c r="F30" i="91"/>
  <c r="D30" i="91"/>
  <c r="B30" i="91"/>
  <c r="Z29" i="91"/>
  <c r="X29" i="91"/>
  <c r="L29" i="91"/>
  <c r="N29" i="91" s="1"/>
  <c r="F29" i="91"/>
  <c r="B29" i="91"/>
  <c r="X28" i="91"/>
  <c r="Z28" i="91" s="1"/>
  <c r="T28" i="91"/>
  <c r="R28" i="91"/>
  <c r="P28" i="91"/>
  <c r="L28" i="91"/>
  <c r="N28" i="91" s="1"/>
  <c r="H28" i="91"/>
  <c r="D28" i="91"/>
  <c r="B28" i="91"/>
  <c r="X27" i="91"/>
  <c r="Z27" i="91" s="1"/>
  <c r="V27" i="91"/>
  <c r="N27" i="91"/>
  <c r="L27" i="91"/>
  <c r="F27" i="91"/>
  <c r="B27" i="91"/>
  <c r="X26" i="91"/>
  <c r="Z26" i="91" s="1"/>
  <c r="N26" i="91"/>
  <c r="L26" i="91"/>
  <c r="B26" i="91"/>
  <c r="Z25" i="91"/>
  <c r="X25" i="91"/>
  <c r="L25" i="91"/>
  <c r="N25" i="91" s="1"/>
  <c r="F25" i="91"/>
  <c r="B25" i="91"/>
  <c r="X24" i="91"/>
  <c r="Z24" i="91" s="1"/>
  <c r="N24" i="91"/>
  <c r="L24" i="91"/>
  <c r="F24" i="91"/>
  <c r="B24" i="91"/>
  <c r="Z23" i="91"/>
  <c r="X23" i="91"/>
  <c r="R23" i="91"/>
  <c r="N23" i="91"/>
  <c r="L23" i="91"/>
  <c r="F23" i="91"/>
  <c r="B23" i="91"/>
  <c r="Z22" i="91"/>
  <c r="X22" i="91"/>
  <c r="V22" i="91"/>
  <c r="N22" i="91"/>
  <c r="L22" i="91"/>
  <c r="F22" i="91"/>
  <c r="B22" i="91"/>
  <c r="X21" i="91"/>
  <c r="Z21" i="91" s="1"/>
  <c r="R21" i="91"/>
  <c r="N21" i="91"/>
  <c r="L21" i="91"/>
  <c r="F21" i="91"/>
  <c r="B21" i="91"/>
  <c r="Z20" i="91"/>
  <c r="X20" i="91"/>
  <c r="V20" i="91"/>
  <c r="R20" i="91"/>
  <c r="L20" i="91"/>
  <c r="N20" i="91" s="1"/>
  <c r="B20" i="91"/>
  <c r="X19" i="91"/>
  <c r="V19" i="91"/>
  <c r="T19" i="91"/>
  <c r="P19" i="91"/>
  <c r="H19" i="91"/>
  <c r="F19" i="91"/>
  <c r="D19" i="91"/>
  <c r="B19" i="91"/>
  <c r="V18" i="91"/>
  <c r="T18" i="91"/>
  <c r="R18" i="91"/>
  <c r="P18" i="91"/>
  <c r="X18" i="91" s="1"/>
  <c r="Z18" i="91" s="1"/>
  <c r="L18" i="91"/>
  <c r="N18" i="91" s="1"/>
  <c r="H18" i="91"/>
  <c r="F18" i="91"/>
  <c r="D18" i="91"/>
  <c r="Z16" i="91"/>
  <c r="T16" i="91"/>
  <c r="F16" i="91"/>
  <c r="D16" i="91"/>
  <c r="Z14" i="91"/>
  <c r="V14" i="91"/>
  <c r="T14" i="91"/>
  <c r="R14" i="91"/>
  <c r="P14" i="91"/>
  <c r="X14" i="91" s="1"/>
  <c r="N14" i="91"/>
  <c r="L14" i="91"/>
  <c r="H14" i="91"/>
  <c r="F14" i="91"/>
  <c r="D14" i="91"/>
  <c r="Z12" i="91"/>
  <c r="X12" i="91"/>
  <c r="T12" i="91"/>
  <c r="V38" i="91" s="1"/>
  <c r="P12" i="91"/>
  <c r="R55" i="91" s="1"/>
  <c r="H12" i="91"/>
  <c r="D12" i="91"/>
  <c r="F34" i="91" s="1"/>
  <c r="D6" i="91"/>
  <c r="D4" i="91"/>
  <c r="Z49" i="90"/>
  <c r="X49" i="90"/>
  <c r="N49" i="90"/>
  <c r="L49" i="90"/>
  <c r="Z45" i="90"/>
  <c r="T45" i="90"/>
  <c r="P45" i="90"/>
  <c r="N45" i="90"/>
  <c r="H45" i="90"/>
  <c r="D45" i="90"/>
  <c r="L45" i="90" s="1"/>
  <c r="X43" i="90"/>
  <c r="Z43" i="90" s="1"/>
  <c r="N43" i="90"/>
  <c r="L43" i="90"/>
  <c r="B43" i="90"/>
  <c r="T42" i="90"/>
  <c r="P42" i="90"/>
  <c r="X42" i="90" s="1"/>
  <c r="N42" i="90"/>
  <c r="H42" i="90"/>
  <c r="D42" i="90"/>
  <c r="L42" i="90" s="1"/>
  <c r="B42" i="90"/>
  <c r="Z41" i="90"/>
  <c r="X41" i="90"/>
  <c r="N41" i="90"/>
  <c r="L41" i="90"/>
  <c r="B41" i="90"/>
  <c r="Z40" i="90"/>
  <c r="T40" i="90"/>
  <c r="P40" i="90"/>
  <c r="X40" i="90" s="1"/>
  <c r="L40" i="90"/>
  <c r="H40" i="90"/>
  <c r="N40" i="90" s="1"/>
  <c r="D40" i="90"/>
  <c r="B40" i="90"/>
  <c r="Z39" i="90"/>
  <c r="X39" i="90"/>
  <c r="R39" i="90"/>
  <c r="N39" i="90"/>
  <c r="L39" i="90"/>
  <c r="B39" i="90"/>
  <c r="X38" i="90"/>
  <c r="T38" i="90"/>
  <c r="Z38" i="90" s="1"/>
  <c r="P38" i="90"/>
  <c r="H38" i="90"/>
  <c r="D38" i="90"/>
  <c r="B38" i="90"/>
  <c r="Z37" i="90"/>
  <c r="X37" i="90"/>
  <c r="N37" i="90"/>
  <c r="L37" i="90"/>
  <c r="B37" i="90"/>
  <c r="X36" i="90"/>
  <c r="Z36" i="90" s="1"/>
  <c r="N36" i="90"/>
  <c r="L36" i="90"/>
  <c r="B36" i="90"/>
  <c r="T35" i="90"/>
  <c r="P35" i="90"/>
  <c r="N35" i="90"/>
  <c r="H35" i="90"/>
  <c r="D35" i="90"/>
  <c r="L35" i="90" s="1"/>
  <c r="B35" i="90"/>
  <c r="Z34" i="90"/>
  <c r="X34" i="90"/>
  <c r="N34" i="90"/>
  <c r="L34" i="90"/>
  <c r="B34" i="90"/>
  <c r="T33" i="90"/>
  <c r="R33" i="90"/>
  <c r="P33" i="90"/>
  <c r="X33" i="90" s="1"/>
  <c r="Z33" i="90" s="1"/>
  <c r="N33" i="90"/>
  <c r="L33" i="90"/>
  <c r="H33" i="90"/>
  <c r="D33" i="90"/>
  <c r="B33" i="90"/>
  <c r="X32" i="90"/>
  <c r="Z32" i="90" s="1"/>
  <c r="R32" i="90"/>
  <c r="L32" i="90"/>
  <c r="N32" i="90" s="1"/>
  <c r="B32" i="90"/>
  <c r="Z31" i="90"/>
  <c r="X31" i="90"/>
  <c r="T31" i="90"/>
  <c r="R31" i="90"/>
  <c r="P31" i="90"/>
  <c r="H31" i="90"/>
  <c r="D31" i="90"/>
  <c r="B31" i="90"/>
  <c r="Z30" i="90"/>
  <c r="X30" i="90"/>
  <c r="R30" i="90"/>
  <c r="N30" i="90"/>
  <c r="L30" i="90"/>
  <c r="B30" i="90"/>
  <c r="T29" i="90"/>
  <c r="Z29" i="90" s="1"/>
  <c r="P29" i="90"/>
  <c r="H29" i="90"/>
  <c r="N29" i="90" s="1"/>
  <c r="D29" i="90"/>
  <c r="B29" i="90"/>
  <c r="X28" i="90"/>
  <c r="Z28" i="90" s="1"/>
  <c r="R28" i="90"/>
  <c r="N28" i="90"/>
  <c r="L28" i="90"/>
  <c r="B28" i="90"/>
  <c r="T27" i="90"/>
  <c r="P27" i="90"/>
  <c r="H27" i="90"/>
  <c r="N27" i="90" s="1"/>
  <c r="D27" i="90"/>
  <c r="L27" i="90" s="1"/>
  <c r="B27" i="90"/>
  <c r="Z26" i="90"/>
  <c r="X26" i="90"/>
  <c r="N26" i="90"/>
  <c r="L26" i="90"/>
  <c r="B26" i="90"/>
  <c r="Z25" i="90"/>
  <c r="X25" i="90"/>
  <c r="R25" i="90"/>
  <c r="N25" i="90"/>
  <c r="L25" i="90"/>
  <c r="B25" i="90"/>
  <c r="X24" i="90"/>
  <c r="Z24" i="90" s="1"/>
  <c r="N24" i="90"/>
  <c r="L24" i="90"/>
  <c r="B24" i="90"/>
  <c r="X23" i="90"/>
  <c r="Z23" i="90" s="1"/>
  <c r="R23" i="90"/>
  <c r="N23" i="90"/>
  <c r="L23" i="90"/>
  <c r="B23" i="90"/>
  <c r="Z22" i="90"/>
  <c r="X22" i="90"/>
  <c r="N22" i="90"/>
  <c r="L22" i="90"/>
  <c r="B22" i="90"/>
  <c r="T21" i="90"/>
  <c r="P21" i="90"/>
  <c r="H21" i="90"/>
  <c r="N21" i="90" s="1"/>
  <c r="D21" i="90"/>
  <c r="L21" i="90" s="1"/>
  <c r="B21" i="90"/>
  <c r="T20" i="90"/>
  <c r="R20" i="90"/>
  <c r="P20" i="90"/>
  <c r="N20" i="90"/>
  <c r="H20" i="90"/>
  <c r="D20" i="90"/>
  <c r="L20" i="90" s="1"/>
  <c r="J18" i="90"/>
  <c r="Z16" i="90"/>
  <c r="X16" i="90"/>
  <c r="N16" i="90"/>
  <c r="L16" i="90"/>
  <c r="B16" i="90"/>
  <c r="T15" i="90"/>
  <c r="Z15" i="90" s="1"/>
  <c r="P15" i="90"/>
  <c r="H15" i="90"/>
  <c r="N15" i="90" s="1"/>
  <c r="D15" i="90"/>
  <c r="L15" i="90" s="1"/>
  <c r="X13" i="90"/>
  <c r="T13" i="90"/>
  <c r="Z13" i="90" s="1"/>
  <c r="P13" i="90"/>
  <c r="H13" i="90"/>
  <c r="N13" i="90" s="1"/>
  <c r="D13" i="90"/>
  <c r="B13" i="90"/>
  <c r="P12" i="90"/>
  <c r="R29" i="90" s="1"/>
  <c r="H12" i="90"/>
  <c r="J33" i="90" s="1"/>
  <c r="D6" i="90"/>
  <c r="D4" i="90"/>
  <c r="R37" i="89"/>
  <c r="F37" i="89"/>
  <c r="F34" i="89"/>
  <c r="Z32" i="89"/>
  <c r="X32" i="89"/>
  <c r="N32" i="89"/>
  <c r="L32" i="89"/>
  <c r="R30" i="89"/>
  <c r="F30" i="89"/>
  <c r="Z28" i="89"/>
  <c r="T28" i="89"/>
  <c r="P28" i="89"/>
  <c r="X28" i="89" s="1"/>
  <c r="N28" i="89"/>
  <c r="L28" i="89"/>
  <c r="H28" i="89"/>
  <c r="F28" i="89"/>
  <c r="D28" i="89"/>
  <c r="X26" i="89"/>
  <c r="Z26" i="89" s="1"/>
  <c r="N26" i="89"/>
  <c r="L26" i="89"/>
  <c r="B26" i="89"/>
  <c r="T25" i="89"/>
  <c r="P25" i="89"/>
  <c r="X25" i="89" s="1"/>
  <c r="H25" i="89"/>
  <c r="N25" i="89" s="1"/>
  <c r="D25" i="89"/>
  <c r="L25" i="89" s="1"/>
  <c r="B25" i="89"/>
  <c r="Z24" i="89"/>
  <c r="X24" i="89"/>
  <c r="N24" i="89"/>
  <c r="L24" i="89"/>
  <c r="J24" i="89"/>
  <c r="B24" i="89"/>
  <c r="T23" i="89"/>
  <c r="P23" i="89"/>
  <c r="H23" i="89"/>
  <c r="N23" i="89" s="1"/>
  <c r="D23" i="89"/>
  <c r="L23" i="89" s="1"/>
  <c r="B23" i="89"/>
  <c r="Z22" i="89"/>
  <c r="X22" i="89"/>
  <c r="L22" i="89"/>
  <c r="N22" i="89" s="1"/>
  <c r="B22" i="89"/>
  <c r="T21" i="89"/>
  <c r="P21" i="89"/>
  <c r="X21" i="89" s="1"/>
  <c r="H21" i="89"/>
  <c r="D21" i="89"/>
  <c r="B21" i="89"/>
  <c r="Z20" i="89"/>
  <c r="X20" i="89"/>
  <c r="N20" i="89"/>
  <c r="L20" i="89"/>
  <c r="B20" i="89"/>
  <c r="T19" i="89"/>
  <c r="P19" i="89"/>
  <c r="H19" i="89"/>
  <c r="D19" i="89"/>
  <c r="L19" i="89" s="1"/>
  <c r="B19" i="89"/>
  <c r="V18" i="89"/>
  <c r="T18" i="89"/>
  <c r="R18" i="89"/>
  <c r="P18" i="89"/>
  <c r="N18" i="89"/>
  <c r="H18" i="89"/>
  <c r="F18" i="89"/>
  <c r="D18" i="89"/>
  <c r="L18" i="89" s="1"/>
  <c r="P16" i="89"/>
  <c r="P30" i="89" s="1"/>
  <c r="J16" i="89"/>
  <c r="F16" i="89"/>
  <c r="V14" i="89"/>
  <c r="T14" i="89"/>
  <c r="Z14" i="89" s="1"/>
  <c r="R14" i="89"/>
  <c r="P14" i="89"/>
  <c r="N14" i="89"/>
  <c r="H14" i="89"/>
  <c r="F14" i="89"/>
  <c r="D14" i="89"/>
  <c r="L14" i="89" s="1"/>
  <c r="Z12" i="89"/>
  <c r="T12" i="89"/>
  <c r="V30" i="89" s="1"/>
  <c r="P12" i="89"/>
  <c r="R25" i="89" s="1"/>
  <c r="H12" i="89"/>
  <c r="J28" i="89" s="1"/>
  <c r="D12" i="89"/>
  <c r="F24" i="89" s="1"/>
  <c r="D6" i="89"/>
  <c r="D4" i="89"/>
  <c r="R39" i="88"/>
  <c r="R36" i="88"/>
  <c r="F36" i="88"/>
  <c r="Z34" i="88"/>
  <c r="X34" i="88"/>
  <c r="N34" i="88"/>
  <c r="L34" i="88"/>
  <c r="R32" i="88"/>
  <c r="Z30" i="88"/>
  <c r="X30" i="88"/>
  <c r="T30" i="88"/>
  <c r="R30" i="88"/>
  <c r="P30" i="88"/>
  <c r="H30" i="88"/>
  <c r="N30" i="88" s="1"/>
  <c r="F30" i="88"/>
  <c r="D30" i="88"/>
  <c r="B30" i="88"/>
  <c r="T29" i="88"/>
  <c r="Z29" i="88" s="1"/>
  <c r="P29" i="88"/>
  <c r="X29" i="88" s="1"/>
  <c r="D29" i="88"/>
  <c r="X27" i="88"/>
  <c r="Z27" i="88" s="1"/>
  <c r="R27" i="88"/>
  <c r="N27" i="88"/>
  <c r="L27" i="88"/>
  <c r="F27" i="88"/>
  <c r="B27" i="88"/>
  <c r="Z26" i="88"/>
  <c r="T26" i="88"/>
  <c r="P26" i="88"/>
  <c r="X26" i="88" s="1"/>
  <c r="N26" i="88"/>
  <c r="L26" i="88"/>
  <c r="H26" i="88"/>
  <c r="F26" i="88"/>
  <c r="D26" i="88"/>
  <c r="B26" i="88"/>
  <c r="X25" i="88"/>
  <c r="Z25" i="88" s="1"/>
  <c r="R25" i="88"/>
  <c r="L25" i="88"/>
  <c r="N25" i="88" s="1"/>
  <c r="B25" i="88"/>
  <c r="Z24" i="88"/>
  <c r="X24" i="88"/>
  <c r="T24" i="88"/>
  <c r="R24" i="88"/>
  <c r="P24" i="88"/>
  <c r="H24" i="88"/>
  <c r="F24" i="88"/>
  <c r="D24" i="88"/>
  <c r="B24" i="88"/>
  <c r="Z23" i="88"/>
  <c r="X23" i="88"/>
  <c r="R23" i="88"/>
  <c r="N23" i="88"/>
  <c r="L23" i="88"/>
  <c r="F23" i="88"/>
  <c r="B23" i="88"/>
  <c r="T22" i="88"/>
  <c r="Z22" i="88" s="1"/>
  <c r="R22" i="88"/>
  <c r="P22" i="88"/>
  <c r="N22" i="88"/>
  <c r="H22" i="88"/>
  <c r="F22" i="88"/>
  <c r="D22" i="88"/>
  <c r="L22" i="88" s="1"/>
  <c r="B22" i="88"/>
  <c r="X21" i="88"/>
  <c r="Z21" i="88" s="1"/>
  <c r="N21" i="88"/>
  <c r="L21" i="88"/>
  <c r="F21" i="88"/>
  <c r="B21" i="88"/>
  <c r="Z20" i="88"/>
  <c r="X20" i="88"/>
  <c r="N20" i="88"/>
  <c r="L20" i="88"/>
  <c r="B20" i="88"/>
  <c r="T19" i="88"/>
  <c r="P19" i="88"/>
  <c r="N19" i="88"/>
  <c r="H19" i="88"/>
  <c r="D19" i="88"/>
  <c r="L19" i="88" s="1"/>
  <c r="B19" i="88"/>
  <c r="T18" i="88"/>
  <c r="P18" i="88"/>
  <c r="X18" i="88" s="1"/>
  <c r="Z18" i="88" s="1"/>
  <c r="H18" i="88"/>
  <c r="F18" i="88"/>
  <c r="D18" i="88"/>
  <c r="L18" i="88" s="1"/>
  <c r="N18" i="88" s="1"/>
  <c r="R16" i="88"/>
  <c r="F16" i="88"/>
  <c r="Z14" i="88"/>
  <c r="T14" i="88"/>
  <c r="P14" i="88"/>
  <c r="X14" i="88" s="1"/>
  <c r="N14" i="88"/>
  <c r="H14" i="88"/>
  <c r="F14" i="88"/>
  <c r="D14" i="88"/>
  <c r="L14" i="88" s="1"/>
  <c r="T12" i="88"/>
  <c r="V30" i="88" s="1"/>
  <c r="P12" i="88"/>
  <c r="P16" i="88" s="1"/>
  <c r="N12" i="88"/>
  <c r="H12" i="88"/>
  <c r="J34" i="88" s="1"/>
  <c r="D12" i="88"/>
  <c r="F34" i="88" s="1"/>
  <c r="D6" i="88"/>
  <c r="D4" i="88"/>
  <c r="R29" i="87"/>
  <c r="Z27" i="87"/>
  <c r="X27" i="87"/>
  <c r="N27" i="87"/>
  <c r="L27" i="87"/>
  <c r="Z23" i="87"/>
  <c r="X23" i="87"/>
  <c r="T23" i="87"/>
  <c r="P23" i="87"/>
  <c r="H23" i="87"/>
  <c r="N23" i="87" s="1"/>
  <c r="D23" i="87"/>
  <c r="Z21" i="87"/>
  <c r="X21" i="87"/>
  <c r="N21" i="87"/>
  <c r="L21" i="87"/>
  <c r="B21" i="87"/>
  <c r="X20" i="87"/>
  <c r="T20" i="87"/>
  <c r="R20" i="87"/>
  <c r="P20" i="87"/>
  <c r="L20" i="87"/>
  <c r="H20" i="87"/>
  <c r="N20" i="87" s="1"/>
  <c r="D20" i="87"/>
  <c r="B20" i="87"/>
  <c r="X19" i="87"/>
  <c r="T19" i="87"/>
  <c r="P19" i="87"/>
  <c r="N19" i="87"/>
  <c r="H19" i="87"/>
  <c r="L19" i="87" s="1"/>
  <c r="D19" i="87"/>
  <c r="T15" i="87"/>
  <c r="P15" i="87"/>
  <c r="N15" i="87"/>
  <c r="H15" i="87"/>
  <c r="D15" i="87"/>
  <c r="L15" i="87" s="1"/>
  <c r="T13" i="87"/>
  <c r="P13" i="87"/>
  <c r="X13" i="87" s="1"/>
  <c r="H13" i="87"/>
  <c r="D13" i="87"/>
  <c r="B13" i="87"/>
  <c r="P12" i="87"/>
  <c r="P17" i="87" s="1"/>
  <c r="H12" i="87"/>
  <c r="D6" i="87"/>
  <c r="D4" i="87"/>
  <c r="R73" i="86"/>
  <c r="J70" i="86"/>
  <c r="Z68" i="86"/>
  <c r="X68" i="86"/>
  <c r="N68" i="86"/>
  <c r="L68" i="86"/>
  <c r="R66" i="86"/>
  <c r="Z64" i="86"/>
  <c r="T64" i="86"/>
  <c r="P64" i="86"/>
  <c r="X64" i="86" s="1"/>
  <c r="J64" i="86"/>
  <c r="H64" i="86"/>
  <c r="N64" i="86" s="1"/>
  <c r="D64" i="86"/>
  <c r="L64" i="86" s="1"/>
  <c r="B64" i="86"/>
  <c r="T63" i="86"/>
  <c r="D63" i="86"/>
  <c r="Z61" i="86"/>
  <c r="X61" i="86"/>
  <c r="N61" i="86"/>
  <c r="L61" i="86"/>
  <c r="F61" i="86"/>
  <c r="B61" i="86"/>
  <c r="X60" i="86"/>
  <c r="T60" i="86"/>
  <c r="Z60" i="86" s="1"/>
  <c r="P60" i="86"/>
  <c r="N60" i="86"/>
  <c r="H60" i="86"/>
  <c r="D60" i="86"/>
  <c r="L60" i="86" s="1"/>
  <c r="B60" i="86"/>
  <c r="Z59" i="86"/>
  <c r="X59" i="86"/>
  <c r="N59" i="86"/>
  <c r="L59" i="86"/>
  <c r="B59" i="86"/>
  <c r="Z58" i="86"/>
  <c r="X58" i="86"/>
  <c r="N58" i="86"/>
  <c r="L58" i="86"/>
  <c r="B58" i="86"/>
  <c r="Z57" i="86"/>
  <c r="X57" i="86"/>
  <c r="N57" i="86"/>
  <c r="L57" i="86"/>
  <c r="F57" i="86"/>
  <c r="B57" i="86"/>
  <c r="Z56" i="86"/>
  <c r="X56" i="86"/>
  <c r="N56" i="86"/>
  <c r="L56" i="86"/>
  <c r="J56" i="86"/>
  <c r="B56" i="86"/>
  <c r="Z55" i="86"/>
  <c r="X55" i="86"/>
  <c r="N55" i="86"/>
  <c r="L55" i="86"/>
  <c r="B55" i="86"/>
  <c r="T54" i="86"/>
  <c r="Z54" i="86" s="1"/>
  <c r="R54" i="86"/>
  <c r="P54" i="86"/>
  <c r="X54" i="86" s="1"/>
  <c r="L54" i="86"/>
  <c r="H54" i="86"/>
  <c r="N54" i="86" s="1"/>
  <c r="D54" i="86"/>
  <c r="B54" i="86"/>
  <c r="Z53" i="86"/>
  <c r="X53" i="86"/>
  <c r="N53" i="86"/>
  <c r="L53" i="86"/>
  <c r="F53" i="86"/>
  <c r="B53" i="86"/>
  <c r="X52" i="86"/>
  <c r="T52" i="86"/>
  <c r="Z52" i="86" s="1"/>
  <c r="P52" i="86"/>
  <c r="N52" i="86"/>
  <c r="H52" i="86"/>
  <c r="L52" i="86" s="1"/>
  <c r="D52" i="86"/>
  <c r="B52" i="86"/>
  <c r="Z51" i="86"/>
  <c r="X51" i="86"/>
  <c r="N51" i="86"/>
  <c r="L51" i="86"/>
  <c r="B51" i="86"/>
  <c r="Z50" i="86"/>
  <c r="T50" i="86"/>
  <c r="X50" i="86" s="1"/>
  <c r="P50" i="86"/>
  <c r="J50" i="86"/>
  <c r="H50" i="86"/>
  <c r="N50" i="86" s="1"/>
  <c r="D50" i="86"/>
  <c r="L50" i="86" s="1"/>
  <c r="B50" i="86"/>
  <c r="Z49" i="86"/>
  <c r="X49" i="86"/>
  <c r="R49" i="86"/>
  <c r="N49" i="86"/>
  <c r="L49" i="86"/>
  <c r="B49" i="86"/>
  <c r="X48" i="86"/>
  <c r="Z48" i="86" s="1"/>
  <c r="V48" i="86"/>
  <c r="L48" i="86"/>
  <c r="N48" i="86" s="1"/>
  <c r="B48" i="86"/>
  <c r="X47" i="86"/>
  <c r="Z47" i="86" s="1"/>
  <c r="T47" i="86"/>
  <c r="P47" i="86"/>
  <c r="H47" i="86"/>
  <c r="D47" i="86"/>
  <c r="B47" i="86"/>
  <c r="X46" i="86"/>
  <c r="Z46" i="86" s="1"/>
  <c r="N46" i="86"/>
  <c r="L46" i="86"/>
  <c r="B46" i="86"/>
  <c r="T45" i="86"/>
  <c r="P45" i="86"/>
  <c r="N45" i="86"/>
  <c r="H45" i="86"/>
  <c r="D45" i="86"/>
  <c r="L45" i="86" s="1"/>
  <c r="B45" i="86"/>
  <c r="X44" i="86"/>
  <c r="Z44" i="86" s="1"/>
  <c r="N44" i="86"/>
  <c r="L44" i="86"/>
  <c r="J44" i="86"/>
  <c r="B44" i="86"/>
  <c r="T43" i="86"/>
  <c r="P43" i="86"/>
  <c r="X43" i="86" s="1"/>
  <c r="Z43" i="86" s="1"/>
  <c r="N43" i="86"/>
  <c r="H43" i="86"/>
  <c r="D43" i="86"/>
  <c r="L43" i="86" s="1"/>
  <c r="B43" i="86"/>
  <c r="Z42" i="86"/>
  <c r="X42" i="86"/>
  <c r="N42" i="86"/>
  <c r="L42" i="86"/>
  <c r="B42" i="86"/>
  <c r="Z41" i="86"/>
  <c r="T41" i="86"/>
  <c r="P41" i="86"/>
  <c r="X41" i="86" s="1"/>
  <c r="L41" i="86"/>
  <c r="H41" i="86"/>
  <c r="N41" i="86" s="1"/>
  <c r="D41" i="86"/>
  <c r="B41" i="86"/>
  <c r="X40" i="86"/>
  <c r="Z40" i="86" s="1"/>
  <c r="V40" i="86"/>
  <c r="L40" i="86"/>
  <c r="N40" i="86" s="1"/>
  <c r="B40" i="86"/>
  <c r="X39" i="86"/>
  <c r="Z39" i="86" s="1"/>
  <c r="N39" i="86"/>
  <c r="L39" i="86"/>
  <c r="B39" i="86"/>
  <c r="T38" i="86"/>
  <c r="X38" i="86" s="1"/>
  <c r="Z38" i="86" s="1"/>
  <c r="P38" i="86"/>
  <c r="J38" i="86"/>
  <c r="H38" i="86"/>
  <c r="D38" i="86"/>
  <c r="L38" i="86" s="1"/>
  <c r="N38" i="86" s="1"/>
  <c r="B38" i="86"/>
  <c r="Z37" i="86"/>
  <c r="X37" i="86"/>
  <c r="R37" i="86"/>
  <c r="N37" i="86"/>
  <c r="L37" i="86"/>
  <c r="B37" i="86"/>
  <c r="Z36" i="86"/>
  <c r="V36" i="86"/>
  <c r="T36" i="86"/>
  <c r="P36" i="86"/>
  <c r="X36" i="86" s="1"/>
  <c r="H36" i="86"/>
  <c r="N36" i="86" s="1"/>
  <c r="F36" i="86"/>
  <c r="D36" i="86"/>
  <c r="L36" i="86" s="1"/>
  <c r="B36" i="86"/>
  <c r="Z35" i="86"/>
  <c r="X35" i="86"/>
  <c r="N35" i="86"/>
  <c r="L35" i="86"/>
  <c r="B35" i="86"/>
  <c r="T34" i="86"/>
  <c r="Z34" i="86" s="1"/>
  <c r="R34" i="86"/>
  <c r="P34" i="86"/>
  <c r="X34" i="86" s="1"/>
  <c r="N34" i="86"/>
  <c r="L34" i="86"/>
  <c r="H34" i="86"/>
  <c r="D34" i="86"/>
  <c r="B34" i="86"/>
  <c r="Z33" i="86"/>
  <c r="X33" i="86"/>
  <c r="N33" i="86"/>
  <c r="L33" i="86"/>
  <c r="F33" i="86"/>
  <c r="B33" i="86"/>
  <c r="Z32" i="86"/>
  <c r="X32" i="86"/>
  <c r="N32" i="86"/>
  <c r="L32" i="86"/>
  <c r="J32" i="86"/>
  <c r="B32" i="86"/>
  <c r="Z31" i="86"/>
  <c r="X31" i="86"/>
  <c r="N31" i="86"/>
  <c r="L31" i="86"/>
  <c r="B31" i="86"/>
  <c r="Z30" i="86"/>
  <c r="X30" i="86"/>
  <c r="N30" i="86"/>
  <c r="L30" i="86"/>
  <c r="B30" i="86"/>
  <c r="T29" i="86"/>
  <c r="P29" i="86"/>
  <c r="X29" i="86" s="1"/>
  <c r="N29" i="86"/>
  <c r="H29" i="86"/>
  <c r="D29" i="86"/>
  <c r="L29" i="86" s="1"/>
  <c r="B29" i="86"/>
  <c r="Z28" i="86"/>
  <c r="X28" i="86"/>
  <c r="N28" i="86"/>
  <c r="L28" i="86"/>
  <c r="J28" i="86"/>
  <c r="B28" i="86"/>
  <c r="Z27" i="86"/>
  <c r="X27" i="86"/>
  <c r="N27" i="86"/>
  <c r="L27" i="86"/>
  <c r="B27" i="86"/>
  <c r="Z26" i="86"/>
  <c r="X26" i="86"/>
  <c r="N26" i="86"/>
  <c r="L26" i="86"/>
  <c r="B26" i="86"/>
  <c r="X25" i="86"/>
  <c r="Z25" i="86" s="1"/>
  <c r="R25" i="86"/>
  <c r="N25" i="86"/>
  <c r="L25" i="86"/>
  <c r="B25" i="86"/>
  <c r="Z24" i="86"/>
  <c r="X24" i="86"/>
  <c r="V24" i="86"/>
  <c r="N24" i="86"/>
  <c r="L24" i="86"/>
  <c r="B24" i="86"/>
  <c r="X23" i="86"/>
  <c r="Z23" i="86" s="1"/>
  <c r="N23" i="86"/>
  <c r="L23" i="86"/>
  <c r="B23" i="86"/>
  <c r="Z22" i="86"/>
  <c r="X22" i="86"/>
  <c r="N22" i="86"/>
  <c r="L22" i="86"/>
  <c r="B22" i="86"/>
  <c r="X21" i="86"/>
  <c r="Z21" i="86" s="1"/>
  <c r="N21" i="86"/>
  <c r="L21" i="86"/>
  <c r="F21" i="86"/>
  <c r="B21" i="86"/>
  <c r="X20" i="86"/>
  <c r="Z20" i="86" s="1"/>
  <c r="T20" i="86"/>
  <c r="P20" i="86"/>
  <c r="N20" i="86"/>
  <c r="H20" i="86"/>
  <c r="L20" i="86" s="1"/>
  <c r="D20" i="86"/>
  <c r="B20" i="86"/>
  <c r="X19" i="86"/>
  <c r="T19" i="86"/>
  <c r="P19" i="86"/>
  <c r="H19" i="86"/>
  <c r="D19" i="86"/>
  <c r="P17" i="86"/>
  <c r="Z15" i="86"/>
  <c r="X15" i="86"/>
  <c r="R15" i="86"/>
  <c r="N15" i="86"/>
  <c r="L15" i="86"/>
  <c r="B15" i="86"/>
  <c r="Z14" i="86"/>
  <c r="V14" i="86"/>
  <c r="T14" i="86"/>
  <c r="X14" i="86" s="1"/>
  <c r="R14" i="86"/>
  <c r="P14" i="86"/>
  <c r="J14" i="86"/>
  <c r="H14" i="86"/>
  <c r="N14" i="86" s="1"/>
  <c r="F14" i="86"/>
  <c r="D14" i="86"/>
  <c r="L14" i="86" s="1"/>
  <c r="Z12" i="86"/>
  <c r="T12" i="86"/>
  <c r="V59" i="86" s="1"/>
  <c r="P12" i="86"/>
  <c r="R63" i="86" s="1"/>
  <c r="N12" i="86"/>
  <c r="H12" i="86"/>
  <c r="J55" i="86" s="1"/>
  <c r="D12" i="86"/>
  <c r="F56" i="86" s="1"/>
  <c r="D6" i="86"/>
  <c r="D4" i="86"/>
  <c r="X85" i="85"/>
  <c r="Z85" i="85" s="1"/>
  <c r="N85" i="85"/>
  <c r="L85" i="85"/>
  <c r="Z81" i="85"/>
  <c r="X81" i="85"/>
  <c r="T81" i="85"/>
  <c r="P81" i="85"/>
  <c r="N81" i="85"/>
  <c r="H81" i="85"/>
  <c r="L81" i="85" s="1"/>
  <c r="D81" i="85"/>
  <c r="B81" i="85"/>
  <c r="X80" i="85"/>
  <c r="T80" i="85"/>
  <c r="Z80" i="85" s="1"/>
  <c r="P80" i="85"/>
  <c r="H80" i="85"/>
  <c r="N80" i="85" s="1"/>
  <c r="D80" i="85"/>
  <c r="X78" i="85"/>
  <c r="Z78" i="85" s="1"/>
  <c r="L78" i="85"/>
  <c r="N78" i="85" s="1"/>
  <c r="B78" i="85"/>
  <c r="T77" i="85"/>
  <c r="P77" i="85"/>
  <c r="X77" i="85" s="1"/>
  <c r="Z77" i="85" s="1"/>
  <c r="H77" i="85"/>
  <c r="D77" i="85"/>
  <c r="L77" i="85" s="1"/>
  <c r="N77" i="85" s="1"/>
  <c r="B77" i="85"/>
  <c r="X76" i="85"/>
  <c r="Z76" i="85" s="1"/>
  <c r="N76" i="85"/>
  <c r="L76" i="85"/>
  <c r="B76" i="85"/>
  <c r="T75" i="85"/>
  <c r="P75" i="85"/>
  <c r="X75" i="85" s="1"/>
  <c r="Z75" i="85" s="1"/>
  <c r="N75" i="85"/>
  <c r="L75" i="85"/>
  <c r="H75" i="85"/>
  <c r="D75" i="85"/>
  <c r="B75" i="85"/>
  <c r="X74" i="85"/>
  <c r="Z74" i="85" s="1"/>
  <c r="N74" i="85"/>
  <c r="L74" i="85"/>
  <c r="B74" i="85"/>
  <c r="T73" i="85"/>
  <c r="X73" i="85" s="1"/>
  <c r="Z73" i="85" s="1"/>
  <c r="P73" i="85"/>
  <c r="H73" i="85"/>
  <c r="N73" i="85" s="1"/>
  <c r="D73" i="85"/>
  <c r="L73" i="85" s="1"/>
  <c r="B73" i="85"/>
  <c r="Z72" i="85"/>
  <c r="X72" i="85"/>
  <c r="N72" i="85"/>
  <c r="L72" i="85"/>
  <c r="B72" i="85"/>
  <c r="X71" i="85"/>
  <c r="Z71" i="85" s="1"/>
  <c r="N71" i="85"/>
  <c r="L71" i="85"/>
  <c r="B71" i="85"/>
  <c r="X70" i="85"/>
  <c r="Z70" i="85" s="1"/>
  <c r="N70" i="85"/>
  <c r="L70" i="85"/>
  <c r="B70" i="85"/>
  <c r="Z69" i="85"/>
  <c r="X69" i="85"/>
  <c r="L69" i="85"/>
  <c r="N69" i="85" s="1"/>
  <c r="B69" i="85"/>
  <c r="X68" i="85"/>
  <c r="Z68" i="85" s="1"/>
  <c r="N68" i="85"/>
  <c r="L68" i="85"/>
  <c r="B68" i="85"/>
  <c r="Z67" i="85"/>
  <c r="X67" i="85"/>
  <c r="N67" i="85"/>
  <c r="L67" i="85"/>
  <c r="B67" i="85"/>
  <c r="T66" i="85"/>
  <c r="Z66" i="85" s="1"/>
  <c r="P66" i="85"/>
  <c r="X66" i="85" s="1"/>
  <c r="L66" i="85"/>
  <c r="N66" i="85" s="1"/>
  <c r="H66" i="85"/>
  <c r="D66" i="85"/>
  <c r="B66" i="85"/>
  <c r="Z65" i="85"/>
  <c r="X65" i="85"/>
  <c r="N65" i="85"/>
  <c r="L65" i="85"/>
  <c r="B65" i="85"/>
  <c r="X64" i="85"/>
  <c r="Z64" i="85" s="1"/>
  <c r="T64" i="85"/>
  <c r="P64" i="85"/>
  <c r="L64" i="85"/>
  <c r="H64" i="85"/>
  <c r="N64" i="85" s="1"/>
  <c r="D64" i="85"/>
  <c r="B64" i="85"/>
  <c r="X63" i="85"/>
  <c r="Z63" i="85" s="1"/>
  <c r="N63" i="85"/>
  <c r="L63" i="85"/>
  <c r="B63" i="85"/>
  <c r="X62" i="85"/>
  <c r="Z62" i="85" s="1"/>
  <c r="L62" i="85"/>
  <c r="N62" i="85" s="1"/>
  <c r="B62" i="85"/>
  <c r="Z61" i="85"/>
  <c r="X61" i="85"/>
  <c r="N61" i="85"/>
  <c r="L61" i="85"/>
  <c r="B61" i="85"/>
  <c r="X60" i="85"/>
  <c r="Z60" i="85" s="1"/>
  <c r="N60" i="85"/>
  <c r="L60" i="85"/>
  <c r="B60" i="85"/>
  <c r="T59" i="85"/>
  <c r="P59" i="85"/>
  <c r="X59" i="85" s="1"/>
  <c r="Z59" i="85" s="1"/>
  <c r="N59" i="85"/>
  <c r="L59" i="85"/>
  <c r="H59" i="85"/>
  <c r="D59" i="85"/>
  <c r="B59" i="85"/>
  <c r="X58" i="85"/>
  <c r="Z58" i="85" s="1"/>
  <c r="L58" i="85"/>
  <c r="N58" i="85" s="1"/>
  <c r="B58" i="85"/>
  <c r="Z57" i="85"/>
  <c r="X57" i="85"/>
  <c r="L57" i="85"/>
  <c r="N57" i="85" s="1"/>
  <c r="B57" i="85"/>
  <c r="X56" i="85"/>
  <c r="Z56" i="85" s="1"/>
  <c r="T56" i="85"/>
  <c r="P56" i="85"/>
  <c r="L56" i="85"/>
  <c r="H56" i="85"/>
  <c r="D56" i="85"/>
  <c r="B56" i="85"/>
  <c r="X55" i="85"/>
  <c r="Z55" i="85" s="1"/>
  <c r="N55" i="85"/>
  <c r="L55" i="85"/>
  <c r="B55" i="85"/>
  <c r="X54" i="85"/>
  <c r="T54" i="85"/>
  <c r="Z54" i="85" s="1"/>
  <c r="P54" i="85"/>
  <c r="H54" i="85"/>
  <c r="D54" i="85"/>
  <c r="L54" i="85" s="1"/>
  <c r="B54" i="85"/>
  <c r="X53" i="85"/>
  <c r="Z53" i="85" s="1"/>
  <c r="N53" i="85"/>
  <c r="L53" i="85"/>
  <c r="B53" i="85"/>
  <c r="T52" i="85"/>
  <c r="P52" i="85"/>
  <c r="H52" i="85"/>
  <c r="N52" i="85" s="1"/>
  <c r="D52" i="85"/>
  <c r="L52" i="85" s="1"/>
  <c r="B52" i="85"/>
  <c r="Z51" i="85"/>
  <c r="X51" i="85"/>
  <c r="N51" i="85"/>
  <c r="L51" i="85"/>
  <c r="B51" i="85"/>
  <c r="T50" i="85"/>
  <c r="P50" i="85"/>
  <c r="X50" i="85" s="1"/>
  <c r="L50" i="85"/>
  <c r="H50" i="85"/>
  <c r="N50" i="85" s="1"/>
  <c r="D50" i="85"/>
  <c r="B50" i="85"/>
  <c r="Z49" i="85"/>
  <c r="X49" i="85"/>
  <c r="N49" i="85"/>
  <c r="L49" i="85"/>
  <c r="B49" i="85"/>
  <c r="X48" i="85"/>
  <c r="T48" i="85"/>
  <c r="Z48" i="85" s="1"/>
  <c r="P48" i="85"/>
  <c r="L48" i="85"/>
  <c r="H48" i="85"/>
  <c r="N48" i="85" s="1"/>
  <c r="D48" i="85"/>
  <c r="B48" i="85"/>
  <c r="Z47" i="85"/>
  <c r="X47" i="85"/>
  <c r="V47" i="85"/>
  <c r="N47" i="85"/>
  <c r="L47" i="85"/>
  <c r="B47" i="85"/>
  <c r="X46" i="85"/>
  <c r="T46" i="85"/>
  <c r="Z46" i="85" s="1"/>
  <c r="P46" i="85"/>
  <c r="H46" i="85"/>
  <c r="D46" i="85"/>
  <c r="L46" i="85" s="1"/>
  <c r="B46" i="85"/>
  <c r="Z45" i="85"/>
  <c r="X45" i="85"/>
  <c r="N45" i="85"/>
  <c r="L45" i="85"/>
  <c r="B45" i="85"/>
  <c r="X44" i="85"/>
  <c r="Z44" i="85" s="1"/>
  <c r="L44" i="85"/>
  <c r="N44" i="85" s="1"/>
  <c r="B44" i="85"/>
  <c r="Z43" i="85"/>
  <c r="X43" i="85"/>
  <c r="T43" i="85"/>
  <c r="P43" i="85"/>
  <c r="H43" i="85"/>
  <c r="D43" i="85"/>
  <c r="L43" i="85" s="1"/>
  <c r="N43" i="85" s="1"/>
  <c r="B43" i="85"/>
  <c r="X42" i="85"/>
  <c r="Z42" i="85" s="1"/>
  <c r="L42" i="85"/>
  <c r="N42" i="85" s="1"/>
  <c r="B42" i="85"/>
  <c r="T41" i="85"/>
  <c r="P41" i="85"/>
  <c r="X41" i="85" s="1"/>
  <c r="Z41" i="85" s="1"/>
  <c r="N41" i="85"/>
  <c r="H41" i="85"/>
  <c r="D41" i="85"/>
  <c r="L41" i="85" s="1"/>
  <c r="B41" i="85"/>
  <c r="X40" i="85"/>
  <c r="Z40" i="85" s="1"/>
  <c r="L40" i="85"/>
  <c r="N40" i="85" s="1"/>
  <c r="B40" i="85"/>
  <c r="Z39" i="85"/>
  <c r="T39" i="85"/>
  <c r="P39" i="85"/>
  <c r="X39" i="85" s="1"/>
  <c r="N39" i="85"/>
  <c r="L39" i="85"/>
  <c r="H39" i="85"/>
  <c r="D39" i="85"/>
  <c r="B39" i="85"/>
  <c r="X38" i="85"/>
  <c r="Z38" i="85" s="1"/>
  <c r="L38" i="85"/>
  <c r="N38" i="85" s="1"/>
  <c r="B38" i="85"/>
  <c r="Z37" i="85"/>
  <c r="T37" i="85"/>
  <c r="X37" i="85" s="1"/>
  <c r="P37" i="85"/>
  <c r="L37" i="85"/>
  <c r="H37" i="85"/>
  <c r="N37" i="85" s="1"/>
  <c r="D37" i="85"/>
  <c r="B37" i="85"/>
  <c r="X36" i="85"/>
  <c r="Z36" i="85" s="1"/>
  <c r="N36" i="85"/>
  <c r="L36" i="85"/>
  <c r="B36" i="85"/>
  <c r="X35" i="85"/>
  <c r="Z35" i="85" s="1"/>
  <c r="V35" i="85"/>
  <c r="N35" i="85"/>
  <c r="L35" i="85"/>
  <c r="B35" i="85"/>
  <c r="X34" i="85"/>
  <c r="Z34" i="85" s="1"/>
  <c r="L34" i="85"/>
  <c r="N34" i="85" s="1"/>
  <c r="B34" i="85"/>
  <c r="Z33" i="85"/>
  <c r="X33" i="85"/>
  <c r="N33" i="85"/>
  <c r="L33" i="85"/>
  <c r="B33" i="85"/>
  <c r="X32" i="85"/>
  <c r="Z32" i="85" s="1"/>
  <c r="T32" i="85"/>
  <c r="P32" i="85"/>
  <c r="N32" i="85"/>
  <c r="L32" i="85"/>
  <c r="H32" i="85"/>
  <c r="D32" i="85"/>
  <c r="B32" i="85"/>
  <c r="X31" i="85"/>
  <c r="Z31" i="85" s="1"/>
  <c r="N31" i="85"/>
  <c r="L31" i="85"/>
  <c r="B31" i="85"/>
  <c r="Z30" i="85"/>
  <c r="X30" i="85"/>
  <c r="L30" i="85"/>
  <c r="N30" i="85" s="1"/>
  <c r="B30" i="85"/>
  <c r="Z29" i="85"/>
  <c r="X29" i="85"/>
  <c r="L29" i="85"/>
  <c r="N29" i="85" s="1"/>
  <c r="B29" i="85"/>
  <c r="X28" i="85"/>
  <c r="Z28" i="85" s="1"/>
  <c r="N28" i="85"/>
  <c r="L28" i="85"/>
  <c r="B28" i="85"/>
  <c r="Z27" i="85"/>
  <c r="X27" i="85"/>
  <c r="N27" i="85"/>
  <c r="L27" i="85"/>
  <c r="B27" i="85"/>
  <c r="X26" i="85"/>
  <c r="Z26" i="85" s="1"/>
  <c r="N26" i="85"/>
  <c r="L26" i="85"/>
  <c r="B26" i="85"/>
  <c r="X25" i="85"/>
  <c r="Z25" i="85" s="1"/>
  <c r="N25" i="85"/>
  <c r="L25" i="85"/>
  <c r="B25" i="85"/>
  <c r="Z24" i="85"/>
  <c r="X24" i="85"/>
  <c r="V24" i="85"/>
  <c r="L24" i="85"/>
  <c r="N24" i="85" s="1"/>
  <c r="B24" i="85"/>
  <c r="X23" i="85"/>
  <c r="T23" i="85"/>
  <c r="P23" i="85"/>
  <c r="H23" i="85"/>
  <c r="D23" i="85"/>
  <c r="B23" i="85"/>
  <c r="T22" i="85"/>
  <c r="P22" i="85"/>
  <c r="X22" i="85" s="1"/>
  <c r="L22" i="85"/>
  <c r="H22" i="85"/>
  <c r="N22" i="85" s="1"/>
  <c r="D22" i="85"/>
  <c r="X18" i="85"/>
  <c r="Z18" i="85" s="1"/>
  <c r="N18" i="85"/>
  <c r="L18" i="85"/>
  <c r="B18" i="85"/>
  <c r="X17" i="85"/>
  <c r="Z17" i="85" s="1"/>
  <c r="N17" i="85"/>
  <c r="L17" i="85"/>
  <c r="B17" i="85"/>
  <c r="V16" i="85"/>
  <c r="T16" i="85"/>
  <c r="Z16" i="85" s="1"/>
  <c r="P16" i="85"/>
  <c r="X16" i="85" s="1"/>
  <c r="H16" i="85"/>
  <c r="N16" i="85" s="1"/>
  <c r="F16" i="85"/>
  <c r="D16" i="85"/>
  <c r="L16" i="85" s="1"/>
  <c r="X14" i="85"/>
  <c r="Z14" i="85" s="1"/>
  <c r="T14" i="85"/>
  <c r="P14" i="85"/>
  <c r="H14" i="85"/>
  <c r="D14" i="85"/>
  <c r="D12" i="85" s="1"/>
  <c r="B14" i="85"/>
  <c r="T13" i="85"/>
  <c r="P13" i="85"/>
  <c r="X13" i="85" s="1"/>
  <c r="Z13" i="85" s="1"/>
  <c r="L13" i="85"/>
  <c r="H13" i="85"/>
  <c r="D13" i="85"/>
  <c r="B13" i="85"/>
  <c r="T12" i="85"/>
  <c r="V25" i="85" s="1"/>
  <c r="D6" i="85"/>
  <c r="D4" i="85"/>
  <c r="R38" i="84"/>
  <c r="Z36" i="84"/>
  <c r="X36" i="84"/>
  <c r="R36" i="84"/>
  <c r="L36" i="84"/>
  <c r="N36" i="84" s="1"/>
  <c r="X32" i="84"/>
  <c r="T32" i="84"/>
  <c r="Z32" i="84" s="1"/>
  <c r="R32" i="84"/>
  <c r="P32" i="84"/>
  <c r="N32" i="84"/>
  <c r="L32" i="84"/>
  <c r="H32" i="84"/>
  <c r="D32" i="84"/>
  <c r="Z30" i="84"/>
  <c r="X30" i="84"/>
  <c r="R30" i="84"/>
  <c r="N30" i="84"/>
  <c r="L30" i="84"/>
  <c r="B30" i="84"/>
  <c r="X29" i="84"/>
  <c r="Z29" i="84" s="1"/>
  <c r="N29" i="84"/>
  <c r="L29" i="84"/>
  <c r="B29" i="84"/>
  <c r="Z28" i="84"/>
  <c r="X28" i="84"/>
  <c r="T28" i="84"/>
  <c r="P28" i="84"/>
  <c r="H28" i="84"/>
  <c r="N28" i="84" s="1"/>
  <c r="D28" i="84"/>
  <c r="L28" i="84" s="1"/>
  <c r="B28" i="84"/>
  <c r="X27" i="84"/>
  <c r="Z27" i="84" s="1"/>
  <c r="R27" i="84"/>
  <c r="N27" i="84"/>
  <c r="L27" i="84"/>
  <c r="B27" i="84"/>
  <c r="T26" i="84"/>
  <c r="P26" i="84"/>
  <c r="X26" i="84" s="1"/>
  <c r="H26" i="84"/>
  <c r="N26" i="84" s="1"/>
  <c r="D26" i="84"/>
  <c r="L26" i="84" s="1"/>
  <c r="B26" i="84"/>
  <c r="Z25" i="84"/>
  <c r="X25" i="84"/>
  <c r="R25" i="84"/>
  <c r="N25" i="84"/>
  <c r="L25" i="84"/>
  <c r="B25" i="84"/>
  <c r="T24" i="84"/>
  <c r="Z24" i="84" s="1"/>
  <c r="R24" i="84"/>
  <c r="P24" i="84"/>
  <c r="X24" i="84" s="1"/>
  <c r="L24" i="84"/>
  <c r="H24" i="84"/>
  <c r="N24" i="84" s="1"/>
  <c r="D24" i="84"/>
  <c r="B24" i="84"/>
  <c r="Z23" i="84"/>
  <c r="X23" i="84"/>
  <c r="L23" i="84"/>
  <c r="N23" i="84" s="1"/>
  <c r="B23" i="84"/>
  <c r="X22" i="84"/>
  <c r="T22" i="84"/>
  <c r="Z22" i="84" s="1"/>
  <c r="R22" i="84"/>
  <c r="P22" i="84"/>
  <c r="N22" i="84"/>
  <c r="L22" i="84"/>
  <c r="H22" i="84"/>
  <c r="D22" i="84"/>
  <c r="B22" i="84"/>
  <c r="X21" i="84"/>
  <c r="Z21" i="84" s="1"/>
  <c r="N21" i="84"/>
  <c r="L21" i="84"/>
  <c r="B21" i="84"/>
  <c r="Z20" i="84"/>
  <c r="X20" i="84"/>
  <c r="T20" i="84"/>
  <c r="P20" i="84"/>
  <c r="J20" i="84"/>
  <c r="H20" i="84"/>
  <c r="N20" i="84" s="1"/>
  <c r="D20" i="84"/>
  <c r="L20" i="84" s="1"/>
  <c r="B20" i="84"/>
  <c r="T19" i="84"/>
  <c r="R19" i="84"/>
  <c r="P19" i="84"/>
  <c r="H19" i="84"/>
  <c r="D19" i="84"/>
  <c r="L19" i="84" s="1"/>
  <c r="P17" i="84"/>
  <c r="T15" i="84"/>
  <c r="R15" i="84"/>
  <c r="P15" i="84"/>
  <c r="H15" i="84"/>
  <c r="N15" i="84" s="1"/>
  <c r="D15" i="84"/>
  <c r="L15" i="84" s="1"/>
  <c r="T13" i="84"/>
  <c r="X13" i="84" s="1"/>
  <c r="Z13" i="84" s="1"/>
  <c r="P13" i="84"/>
  <c r="H13" i="84"/>
  <c r="N13" i="84" s="1"/>
  <c r="D13" i="84"/>
  <c r="B13" i="84"/>
  <c r="P12" i="84"/>
  <c r="R41" i="84" s="1"/>
  <c r="H12" i="84"/>
  <c r="D6" i="84"/>
  <c r="D4" i="84"/>
  <c r="V45" i="83"/>
  <c r="R45" i="83"/>
  <c r="F45" i="83"/>
  <c r="J42" i="83"/>
  <c r="Z40" i="83"/>
  <c r="X40" i="83"/>
  <c r="V40" i="83"/>
  <c r="N40" i="83"/>
  <c r="L40" i="83"/>
  <c r="V38" i="83"/>
  <c r="R38" i="83"/>
  <c r="F38" i="83"/>
  <c r="Z36" i="83"/>
  <c r="X36" i="83"/>
  <c r="T36" i="83"/>
  <c r="P36" i="83"/>
  <c r="J36" i="83"/>
  <c r="H36" i="83"/>
  <c r="N36" i="83" s="1"/>
  <c r="D36" i="83"/>
  <c r="L36" i="83" s="1"/>
  <c r="X34" i="83"/>
  <c r="Z34" i="83" s="1"/>
  <c r="V34" i="83"/>
  <c r="N34" i="83"/>
  <c r="L34" i="83"/>
  <c r="B34" i="83"/>
  <c r="T33" i="83"/>
  <c r="R33" i="83"/>
  <c r="P33" i="83"/>
  <c r="H33" i="83"/>
  <c r="D33" i="83"/>
  <c r="L33" i="83" s="1"/>
  <c r="B33" i="83"/>
  <c r="X32" i="83"/>
  <c r="Z32" i="83" s="1"/>
  <c r="N32" i="83"/>
  <c r="L32" i="83"/>
  <c r="J32" i="83"/>
  <c r="F32" i="83"/>
  <c r="B32" i="83"/>
  <c r="T31" i="83"/>
  <c r="Z31" i="83" s="1"/>
  <c r="P31" i="83"/>
  <c r="X31" i="83" s="1"/>
  <c r="N31" i="83"/>
  <c r="H31" i="83"/>
  <c r="D31" i="83"/>
  <c r="L31" i="83" s="1"/>
  <c r="B31" i="83"/>
  <c r="Z30" i="83"/>
  <c r="X30" i="83"/>
  <c r="L30" i="83"/>
  <c r="N30" i="83" s="1"/>
  <c r="B30" i="83"/>
  <c r="V29" i="83"/>
  <c r="T29" i="83"/>
  <c r="P29" i="83"/>
  <c r="X29" i="83" s="1"/>
  <c r="Z29" i="83" s="1"/>
  <c r="L29" i="83"/>
  <c r="N29" i="83" s="1"/>
  <c r="J29" i="83"/>
  <c r="H29" i="83"/>
  <c r="D29" i="83"/>
  <c r="B29" i="83"/>
  <c r="Z28" i="83"/>
  <c r="X28" i="83"/>
  <c r="V28" i="83"/>
  <c r="R28" i="83"/>
  <c r="L28" i="83"/>
  <c r="N28" i="83" s="1"/>
  <c r="B28" i="83"/>
  <c r="X27" i="83"/>
  <c r="Z27" i="83" s="1"/>
  <c r="V27" i="83"/>
  <c r="T27" i="83"/>
  <c r="P27" i="83"/>
  <c r="H27" i="83"/>
  <c r="F27" i="83"/>
  <c r="D27" i="83"/>
  <c r="B27" i="83"/>
  <c r="X26" i="83"/>
  <c r="Z26" i="83" s="1"/>
  <c r="V26" i="83"/>
  <c r="N26" i="83"/>
  <c r="L26" i="83"/>
  <c r="F26" i="83"/>
  <c r="B26" i="83"/>
  <c r="T25" i="83"/>
  <c r="R25" i="83"/>
  <c r="P25" i="83"/>
  <c r="H25" i="83"/>
  <c r="N25" i="83" s="1"/>
  <c r="D25" i="83"/>
  <c r="L25" i="83" s="1"/>
  <c r="B25" i="83"/>
  <c r="X24" i="83"/>
  <c r="Z24" i="83" s="1"/>
  <c r="N24" i="83"/>
  <c r="L24" i="83"/>
  <c r="J24" i="83"/>
  <c r="F24" i="83"/>
  <c r="B24" i="83"/>
  <c r="Z23" i="83"/>
  <c r="X23" i="83"/>
  <c r="R23" i="83"/>
  <c r="N23" i="83"/>
  <c r="L23" i="83"/>
  <c r="J23" i="83"/>
  <c r="B23" i="83"/>
  <c r="Z22" i="83"/>
  <c r="X22" i="83"/>
  <c r="V22" i="83"/>
  <c r="N22" i="83"/>
  <c r="L22" i="83"/>
  <c r="F22" i="83"/>
  <c r="B22" i="83"/>
  <c r="X21" i="83"/>
  <c r="Z21" i="83" s="1"/>
  <c r="R21" i="83"/>
  <c r="N21" i="83"/>
  <c r="L21" i="83"/>
  <c r="B21" i="83"/>
  <c r="Z20" i="83"/>
  <c r="X20" i="83"/>
  <c r="V20" i="83"/>
  <c r="R20" i="83"/>
  <c r="N20" i="83"/>
  <c r="L20" i="83"/>
  <c r="B20" i="83"/>
  <c r="X19" i="83"/>
  <c r="V19" i="83"/>
  <c r="T19" i="83"/>
  <c r="P19" i="83"/>
  <c r="H19" i="83"/>
  <c r="F19" i="83"/>
  <c r="D19" i="83"/>
  <c r="B19" i="83"/>
  <c r="V18" i="83"/>
  <c r="T18" i="83"/>
  <c r="Z18" i="83" s="1"/>
  <c r="R18" i="83"/>
  <c r="P18" i="83"/>
  <c r="X18" i="83" s="1"/>
  <c r="L18" i="83"/>
  <c r="H18" i="83"/>
  <c r="N18" i="83" s="1"/>
  <c r="F18" i="83"/>
  <c r="D18" i="83"/>
  <c r="Z16" i="83"/>
  <c r="T16" i="83"/>
  <c r="T38" i="83" s="1"/>
  <c r="J16" i="83"/>
  <c r="H16" i="83"/>
  <c r="H38" i="83" s="1"/>
  <c r="D16" i="83"/>
  <c r="D38" i="83" s="1"/>
  <c r="V14" i="83"/>
  <c r="T14" i="83"/>
  <c r="Z14" i="83" s="1"/>
  <c r="R14" i="83"/>
  <c r="P14" i="83"/>
  <c r="X14" i="83" s="1"/>
  <c r="L14" i="83"/>
  <c r="H14" i="83"/>
  <c r="N14" i="83" s="1"/>
  <c r="F14" i="83"/>
  <c r="D14" i="83"/>
  <c r="Z12" i="83"/>
  <c r="X12" i="83"/>
  <c r="T12" i="83"/>
  <c r="V42" i="83" s="1"/>
  <c r="P12" i="83"/>
  <c r="R30" i="83" s="1"/>
  <c r="H12" i="83"/>
  <c r="J40" i="83" s="1"/>
  <c r="D12" i="83"/>
  <c r="F42" i="83" s="1"/>
  <c r="D6" i="83"/>
  <c r="D4" i="83"/>
  <c r="V37" i="82"/>
  <c r="J37" i="82"/>
  <c r="F37" i="82"/>
  <c r="Z35" i="82"/>
  <c r="X35" i="82"/>
  <c r="N35" i="82"/>
  <c r="L35" i="82"/>
  <c r="J35" i="82"/>
  <c r="F35" i="82"/>
  <c r="V31" i="82"/>
  <c r="T31" i="82"/>
  <c r="Z31" i="82" s="1"/>
  <c r="P31" i="82"/>
  <c r="X31" i="82" s="1"/>
  <c r="J31" i="82"/>
  <c r="H31" i="82"/>
  <c r="N31" i="82" s="1"/>
  <c r="F31" i="82"/>
  <c r="D31" i="82"/>
  <c r="L31" i="82" s="1"/>
  <c r="X29" i="82"/>
  <c r="Z29" i="82" s="1"/>
  <c r="N29" i="82"/>
  <c r="L29" i="82"/>
  <c r="J29" i="82"/>
  <c r="F29" i="82"/>
  <c r="B29" i="82"/>
  <c r="T28" i="82"/>
  <c r="P28" i="82"/>
  <c r="X28" i="82" s="1"/>
  <c r="H28" i="82"/>
  <c r="D28" i="82"/>
  <c r="L28" i="82" s="1"/>
  <c r="N28" i="82" s="1"/>
  <c r="B28" i="82"/>
  <c r="Z27" i="82"/>
  <c r="X27" i="82"/>
  <c r="N27" i="82"/>
  <c r="L27" i="82"/>
  <c r="J27" i="82"/>
  <c r="B27" i="82"/>
  <c r="V26" i="82"/>
  <c r="T26" i="82"/>
  <c r="P26" i="82"/>
  <c r="X26" i="82" s="1"/>
  <c r="Z26" i="82" s="1"/>
  <c r="N26" i="82"/>
  <c r="L26" i="82"/>
  <c r="J26" i="82"/>
  <c r="H26" i="82"/>
  <c r="F26" i="82"/>
  <c r="D26" i="82"/>
  <c r="B26" i="82"/>
  <c r="Z25" i="82"/>
  <c r="X25" i="82"/>
  <c r="V25" i="82"/>
  <c r="N25" i="82"/>
  <c r="L25" i="82"/>
  <c r="B25" i="82"/>
  <c r="X24" i="82"/>
  <c r="Z24" i="82" s="1"/>
  <c r="V24" i="82"/>
  <c r="N24" i="82"/>
  <c r="L24" i="82"/>
  <c r="F24" i="82"/>
  <c r="B24" i="82"/>
  <c r="Z23" i="82"/>
  <c r="X23" i="82"/>
  <c r="T23" i="82"/>
  <c r="P23" i="82"/>
  <c r="J23" i="82"/>
  <c r="H23" i="82"/>
  <c r="D23" i="82"/>
  <c r="L23" i="82" s="1"/>
  <c r="B23" i="82"/>
  <c r="X22" i="82"/>
  <c r="Z22" i="82" s="1"/>
  <c r="N22" i="82"/>
  <c r="L22" i="82"/>
  <c r="B22" i="82"/>
  <c r="V21" i="82"/>
  <c r="T21" i="82"/>
  <c r="Z21" i="82" s="1"/>
  <c r="P21" i="82"/>
  <c r="X21" i="82" s="1"/>
  <c r="J21" i="82"/>
  <c r="H21" i="82"/>
  <c r="N21" i="82" s="1"/>
  <c r="F21" i="82"/>
  <c r="D21" i="82"/>
  <c r="L21" i="82" s="1"/>
  <c r="B21" i="82"/>
  <c r="Z20" i="82"/>
  <c r="X20" i="82"/>
  <c r="L20" i="82"/>
  <c r="N20" i="82" s="1"/>
  <c r="J20" i="82"/>
  <c r="B20" i="82"/>
  <c r="V19" i="82"/>
  <c r="T19" i="82"/>
  <c r="Z19" i="82" s="1"/>
  <c r="P19" i="82"/>
  <c r="X19" i="82" s="1"/>
  <c r="L19" i="82"/>
  <c r="H19" i="82"/>
  <c r="N19" i="82" s="1"/>
  <c r="F19" i="82"/>
  <c r="D19" i="82"/>
  <c r="B19" i="82"/>
  <c r="V18" i="82"/>
  <c r="T18" i="82"/>
  <c r="P18" i="82"/>
  <c r="X18" i="82" s="1"/>
  <c r="Z18" i="82" s="1"/>
  <c r="L18" i="82"/>
  <c r="N18" i="82" s="1"/>
  <c r="J18" i="82"/>
  <c r="H18" i="82"/>
  <c r="F18" i="82"/>
  <c r="D18" i="82"/>
  <c r="T16" i="82"/>
  <c r="H16" i="82"/>
  <c r="H33" i="82" s="1"/>
  <c r="H37" i="82" s="1"/>
  <c r="D16" i="82"/>
  <c r="Z14" i="82"/>
  <c r="V14" i="82"/>
  <c r="T14" i="82"/>
  <c r="P14" i="82"/>
  <c r="X14" i="82" s="1"/>
  <c r="L14" i="82"/>
  <c r="J14" i="82"/>
  <c r="H14" i="82"/>
  <c r="N14" i="82" s="1"/>
  <c r="F14" i="82"/>
  <c r="D14" i="82"/>
  <c r="T12" i="82"/>
  <c r="V27" i="82" s="1"/>
  <c r="P12" i="82"/>
  <c r="N12" i="82"/>
  <c r="H12" i="82"/>
  <c r="J40" i="82" s="1"/>
  <c r="D12" i="82"/>
  <c r="F23" i="82" s="1"/>
  <c r="D6" i="82"/>
  <c r="D4" i="82"/>
  <c r="V79" i="81"/>
  <c r="Z74" i="81"/>
  <c r="X74" i="81"/>
  <c r="V74" i="81"/>
  <c r="N74" i="81"/>
  <c r="L74" i="81"/>
  <c r="V72" i="81"/>
  <c r="T70" i="81"/>
  <c r="P70" i="81"/>
  <c r="N70" i="81"/>
  <c r="H70" i="81"/>
  <c r="D70" i="81"/>
  <c r="L70" i="81" s="1"/>
  <c r="B70" i="81"/>
  <c r="Z69" i="81"/>
  <c r="X69" i="81"/>
  <c r="T69" i="81"/>
  <c r="P69" i="81"/>
  <c r="J69" i="81"/>
  <c r="H69" i="81"/>
  <c r="D69" i="81"/>
  <c r="L69" i="81" s="1"/>
  <c r="B69" i="81"/>
  <c r="T68" i="81"/>
  <c r="R68" i="81"/>
  <c r="D68" i="81"/>
  <c r="Z66" i="81"/>
  <c r="X66" i="81"/>
  <c r="L66" i="81"/>
  <c r="N66" i="81" s="1"/>
  <c r="B66" i="81"/>
  <c r="X65" i="81"/>
  <c r="Z65" i="81" s="1"/>
  <c r="T65" i="81"/>
  <c r="R65" i="81"/>
  <c r="P65" i="81"/>
  <c r="N65" i="81"/>
  <c r="L65" i="81"/>
  <c r="H65" i="81"/>
  <c r="D65" i="81"/>
  <c r="B65" i="81"/>
  <c r="X64" i="81"/>
  <c r="Z64" i="81" s="1"/>
  <c r="V64" i="81"/>
  <c r="N64" i="81"/>
  <c r="L64" i="81"/>
  <c r="B64" i="81"/>
  <c r="Z63" i="81"/>
  <c r="X63" i="81"/>
  <c r="N63" i="81"/>
  <c r="L63" i="81"/>
  <c r="J63" i="81"/>
  <c r="B63" i="81"/>
  <c r="T62" i="81"/>
  <c r="P62" i="81"/>
  <c r="X62" i="81" s="1"/>
  <c r="Z62" i="81" s="1"/>
  <c r="N62" i="81"/>
  <c r="L62" i="81"/>
  <c r="J62" i="81"/>
  <c r="H62" i="81"/>
  <c r="D62" i="81"/>
  <c r="B62" i="81"/>
  <c r="Z61" i="81"/>
  <c r="X61" i="81"/>
  <c r="V61" i="81"/>
  <c r="R61" i="81"/>
  <c r="L61" i="81"/>
  <c r="N61" i="81" s="1"/>
  <c r="B61" i="81"/>
  <c r="X60" i="81"/>
  <c r="V60" i="81"/>
  <c r="T60" i="81"/>
  <c r="P60" i="81"/>
  <c r="H60" i="81"/>
  <c r="D60" i="81"/>
  <c r="B60" i="81"/>
  <c r="Z59" i="81"/>
  <c r="X59" i="81"/>
  <c r="V59" i="81"/>
  <c r="N59" i="81"/>
  <c r="L59" i="81"/>
  <c r="B59" i="81"/>
  <c r="X58" i="81"/>
  <c r="Z58" i="81" s="1"/>
  <c r="R58" i="81"/>
  <c r="N58" i="81"/>
  <c r="L58" i="81"/>
  <c r="B58" i="81"/>
  <c r="V57" i="81"/>
  <c r="T57" i="81"/>
  <c r="P57" i="81"/>
  <c r="X57" i="81" s="1"/>
  <c r="N57" i="81"/>
  <c r="J57" i="81"/>
  <c r="H57" i="81"/>
  <c r="D57" i="81"/>
  <c r="L57" i="81" s="1"/>
  <c r="B57" i="81"/>
  <c r="Z56" i="81"/>
  <c r="X56" i="81"/>
  <c r="R56" i="81"/>
  <c r="N56" i="81"/>
  <c r="L56" i="81"/>
  <c r="J56" i="81"/>
  <c r="B56" i="81"/>
  <c r="Z55" i="81"/>
  <c r="X55" i="81"/>
  <c r="V55" i="81"/>
  <c r="L55" i="81"/>
  <c r="N55" i="81" s="1"/>
  <c r="B55" i="81"/>
  <c r="X54" i="81"/>
  <c r="Z54" i="81" s="1"/>
  <c r="R54" i="81"/>
  <c r="N54" i="81"/>
  <c r="L54" i="81"/>
  <c r="B54" i="81"/>
  <c r="V53" i="81"/>
  <c r="T53" i="81"/>
  <c r="P53" i="81"/>
  <c r="J53" i="81"/>
  <c r="H53" i="81"/>
  <c r="D53" i="81"/>
  <c r="L53" i="81" s="1"/>
  <c r="N53" i="81" s="1"/>
  <c r="B53" i="81"/>
  <c r="Z52" i="81"/>
  <c r="X52" i="81"/>
  <c r="R52" i="81"/>
  <c r="L52" i="81"/>
  <c r="N52" i="81" s="1"/>
  <c r="J52" i="81"/>
  <c r="B52" i="81"/>
  <c r="Z51" i="81"/>
  <c r="X51" i="81"/>
  <c r="V51" i="81"/>
  <c r="N51" i="81"/>
  <c r="L51" i="81"/>
  <c r="B51" i="81"/>
  <c r="Z50" i="81"/>
  <c r="X50" i="81"/>
  <c r="R50" i="81"/>
  <c r="N50" i="81"/>
  <c r="L50" i="81"/>
  <c r="B50" i="81"/>
  <c r="V49" i="81"/>
  <c r="T49" i="81"/>
  <c r="P49" i="81"/>
  <c r="J49" i="81"/>
  <c r="H49" i="81"/>
  <c r="D49" i="81"/>
  <c r="L49" i="81" s="1"/>
  <c r="N49" i="81" s="1"/>
  <c r="B49" i="81"/>
  <c r="Z48" i="81"/>
  <c r="X48" i="81"/>
  <c r="R48" i="81"/>
  <c r="L48" i="81"/>
  <c r="N48" i="81" s="1"/>
  <c r="J48" i="81"/>
  <c r="B48" i="81"/>
  <c r="V47" i="81"/>
  <c r="T47" i="81"/>
  <c r="R47" i="81"/>
  <c r="P47" i="81"/>
  <c r="X47" i="81" s="1"/>
  <c r="Z47" i="81" s="1"/>
  <c r="L47" i="81"/>
  <c r="H47" i="81"/>
  <c r="N47" i="81" s="1"/>
  <c r="D47" i="81"/>
  <c r="B47" i="81"/>
  <c r="Z46" i="81"/>
  <c r="X46" i="81"/>
  <c r="N46" i="81"/>
  <c r="L46" i="81"/>
  <c r="B46" i="81"/>
  <c r="X45" i="81"/>
  <c r="T45" i="81"/>
  <c r="Z45" i="81" s="1"/>
  <c r="R45" i="81"/>
  <c r="P45" i="81"/>
  <c r="N45" i="81"/>
  <c r="L45" i="81"/>
  <c r="H45" i="81"/>
  <c r="D45" i="81"/>
  <c r="B45" i="81"/>
  <c r="X44" i="81"/>
  <c r="Z44" i="81" s="1"/>
  <c r="V44" i="81"/>
  <c r="N44" i="81"/>
  <c r="L44" i="81"/>
  <c r="B44" i="81"/>
  <c r="Z43" i="81"/>
  <c r="X43" i="81"/>
  <c r="T43" i="81"/>
  <c r="P43" i="81"/>
  <c r="J43" i="81"/>
  <c r="H43" i="81"/>
  <c r="N43" i="81" s="1"/>
  <c r="D43" i="81"/>
  <c r="B43" i="81"/>
  <c r="X42" i="81"/>
  <c r="Z42" i="81" s="1"/>
  <c r="R42" i="81"/>
  <c r="N42" i="81"/>
  <c r="L42" i="81"/>
  <c r="B42" i="81"/>
  <c r="V41" i="81"/>
  <c r="T41" i="81"/>
  <c r="P41" i="81"/>
  <c r="X41" i="81" s="1"/>
  <c r="J41" i="81"/>
  <c r="H41" i="81"/>
  <c r="D41" i="81"/>
  <c r="L41" i="81" s="1"/>
  <c r="N41" i="81" s="1"/>
  <c r="B41" i="81"/>
  <c r="Z40" i="81"/>
  <c r="X40" i="81"/>
  <c r="R40" i="81"/>
  <c r="N40" i="81"/>
  <c r="L40" i="81"/>
  <c r="J40" i="81"/>
  <c r="B40" i="81"/>
  <c r="Z39" i="81"/>
  <c r="V39" i="81"/>
  <c r="T39" i="81"/>
  <c r="R39" i="81"/>
  <c r="P39" i="81"/>
  <c r="X39" i="81" s="1"/>
  <c r="L39" i="81"/>
  <c r="H39" i="81"/>
  <c r="N39" i="81" s="1"/>
  <c r="D39" i="81"/>
  <c r="B39" i="81"/>
  <c r="Z38" i="81"/>
  <c r="X38" i="81"/>
  <c r="L38" i="81"/>
  <c r="N38" i="81" s="1"/>
  <c r="B38" i="81"/>
  <c r="X37" i="81"/>
  <c r="Z37" i="81" s="1"/>
  <c r="N37" i="81"/>
  <c r="L37" i="81"/>
  <c r="J37" i="81"/>
  <c r="B37" i="81"/>
  <c r="T36" i="81"/>
  <c r="P36" i="81"/>
  <c r="X36" i="81" s="1"/>
  <c r="H36" i="81"/>
  <c r="D36" i="81"/>
  <c r="L36" i="81" s="1"/>
  <c r="N36" i="81" s="1"/>
  <c r="B36" i="81"/>
  <c r="Z35" i="81"/>
  <c r="X35" i="81"/>
  <c r="L35" i="81"/>
  <c r="N35" i="81" s="1"/>
  <c r="J35" i="81"/>
  <c r="B35" i="81"/>
  <c r="T34" i="81"/>
  <c r="P34" i="81"/>
  <c r="X34" i="81" s="1"/>
  <c r="Z34" i="81" s="1"/>
  <c r="L34" i="81"/>
  <c r="J34" i="81"/>
  <c r="H34" i="81"/>
  <c r="D34" i="81"/>
  <c r="B34" i="81"/>
  <c r="Z33" i="81"/>
  <c r="X33" i="81"/>
  <c r="V33" i="81"/>
  <c r="R33" i="81"/>
  <c r="N33" i="81"/>
  <c r="L33" i="81"/>
  <c r="B33" i="81"/>
  <c r="X32" i="81"/>
  <c r="Z32" i="81" s="1"/>
  <c r="V32" i="81"/>
  <c r="N32" i="81"/>
  <c r="L32" i="81"/>
  <c r="B32" i="81"/>
  <c r="Z31" i="81"/>
  <c r="X31" i="81"/>
  <c r="N31" i="81"/>
  <c r="L31" i="81"/>
  <c r="J31" i="81"/>
  <c r="B31" i="81"/>
  <c r="Z30" i="81"/>
  <c r="X30" i="81"/>
  <c r="N30" i="81"/>
  <c r="L30" i="81"/>
  <c r="B30" i="81"/>
  <c r="X29" i="81"/>
  <c r="Z29" i="81" s="1"/>
  <c r="N29" i="81"/>
  <c r="L29" i="81"/>
  <c r="J29" i="81"/>
  <c r="B29" i="81"/>
  <c r="T28" i="81"/>
  <c r="P28" i="81"/>
  <c r="N28" i="81"/>
  <c r="H28" i="81"/>
  <c r="D28" i="81"/>
  <c r="L28" i="81" s="1"/>
  <c r="B28" i="81"/>
  <c r="X27" i="81"/>
  <c r="Z27" i="81" s="1"/>
  <c r="N27" i="81"/>
  <c r="L27" i="81"/>
  <c r="J27" i="81"/>
  <c r="B27" i="81"/>
  <c r="Z26" i="81"/>
  <c r="X26" i="81"/>
  <c r="L26" i="81"/>
  <c r="N26" i="81" s="1"/>
  <c r="B26" i="81"/>
  <c r="X25" i="81"/>
  <c r="Z25" i="81" s="1"/>
  <c r="N25" i="81"/>
  <c r="L25" i="81"/>
  <c r="J25" i="81"/>
  <c r="B25" i="81"/>
  <c r="Z24" i="81"/>
  <c r="X24" i="81"/>
  <c r="R24" i="81"/>
  <c r="L24" i="81"/>
  <c r="N24" i="81" s="1"/>
  <c r="J24" i="81"/>
  <c r="B24" i="81"/>
  <c r="X23" i="81"/>
  <c r="Z23" i="81" s="1"/>
  <c r="V23" i="81"/>
  <c r="N23" i="81"/>
  <c r="L23" i="81"/>
  <c r="B23" i="81"/>
  <c r="X22" i="81"/>
  <c r="Z22" i="81" s="1"/>
  <c r="R22" i="81"/>
  <c r="N22" i="81"/>
  <c r="L22" i="81"/>
  <c r="B22" i="81"/>
  <c r="Z21" i="81"/>
  <c r="X21" i="81"/>
  <c r="V21" i="81"/>
  <c r="R21" i="81"/>
  <c r="L21" i="81"/>
  <c r="N21" i="81" s="1"/>
  <c r="B21" i="81"/>
  <c r="X20" i="81"/>
  <c r="Z20" i="81" s="1"/>
  <c r="V20" i="81"/>
  <c r="N20" i="81"/>
  <c r="L20" i="81"/>
  <c r="B20" i="81"/>
  <c r="X19" i="81"/>
  <c r="Z19" i="81" s="1"/>
  <c r="T19" i="81"/>
  <c r="P19" i="81"/>
  <c r="J19" i="81"/>
  <c r="H19" i="81"/>
  <c r="D19" i="81"/>
  <c r="L19" i="81" s="1"/>
  <c r="N19" i="81" s="1"/>
  <c r="B19" i="81"/>
  <c r="X18" i="81"/>
  <c r="T18" i="81"/>
  <c r="R18" i="81"/>
  <c r="P18" i="81"/>
  <c r="H18" i="81"/>
  <c r="D18" i="81"/>
  <c r="P16" i="81"/>
  <c r="J16" i="81"/>
  <c r="T14" i="81"/>
  <c r="Z14" i="81" s="1"/>
  <c r="R14" i="81"/>
  <c r="P14" i="81"/>
  <c r="H14" i="81"/>
  <c r="D14" i="81"/>
  <c r="Z12" i="81"/>
  <c r="X12" i="81"/>
  <c r="T12" i="81"/>
  <c r="V69" i="81" s="1"/>
  <c r="P12" i="81"/>
  <c r="R74" i="81" s="1"/>
  <c r="N12" i="81"/>
  <c r="H12" i="81"/>
  <c r="J65" i="81" s="1"/>
  <c r="D12" i="81"/>
  <c r="F57" i="81" s="1"/>
  <c r="D6" i="81"/>
  <c r="D4" i="81"/>
  <c r="V36" i="80"/>
  <c r="F36" i="80"/>
  <c r="Z34" i="80"/>
  <c r="X34" i="80"/>
  <c r="N34" i="80"/>
  <c r="L34" i="80"/>
  <c r="J34" i="80"/>
  <c r="T32" i="80"/>
  <c r="X30" i="80"/>
  <c r="V30" i="80"/>
  <c r="T30" i="80"/>
  <c r="Z30" i="80" s="1"/>
  <c r="P30" i="80"/>
  <c r="L30" i="80"/>
  <c r="H30" i="80"/>
  <c r="N30" i="80" s="1"/>
  <c r="F30" i="80"/>
  <c r="D30" i="80"/>
  <c r="Z28" i="80"/>
  <c r="X28" i="80"/>
  <c r="N28" i="80"/>
  <c r="L28" i="80"/>
  <c r="J28" i="80"/>
  <c r="B28" i="80"/>
  <c r="V27" i="80"/>
  <c r="T27" i="80"/>
  <c r="R27" i="80"/>
  <c r="P27" i="80"/>
  <c r="X27" i="80" s="1"/>
  <c r="Z27" i="80" s="1"/>
  <c r="N27" i="80"/>
  <c r="L27" i="80"/>
  <c r="H27" i="80"/>
  <c r="F27" i="80"/>
  <c r="D27" i="80"/>
  <c r="B27" i="80"/>
  <c r="Z26" i="80"/>
  <c r="X26" i="80"/>
  <c r="L26" i="80"/>
  <c r="N26" i="80" s="1"/>
  <c r="F26" i="80"/>
  <c r="B26" i="80"/>
  <c r="Z25" i="80"/>
  <c r="X25" i="80"/>
  <c r="T25" i="80"/>
  <c r="R25" i="80"/>
  <c r="P25" i="80"/>
  <c r="N25" i="80"/>
  <c r="L25" i="80"/>
  <c r="H25" i="80"/>
  <c r="D25" i="80"/>
  <c r="B25" i="80"/>
  <c r="X24" i="80"/>
  <c r="Z24" i="80" s="1"/>
  <c r="V24" i="80"/>
  <c r="N24" i="80"/>
  <c r="L24" i="80"/>
  <c r="F24" i="80"/>
  <c r="B24" i="80"/>
  <c r="X23" i="80"/>
  <c r="Z23" i="80" s="1"/>
  <c r="T23" i="80"/>
  <c r="P23" i="80"/>
  <c r="N23" i="80"/>
  <c r="J23" i="80"/>
  <c r="H23" i="80"/>
  <c r="D23" i="80"/>
  <c r="B23" i="80"/>
  <c r="X22" i="80"/>
  <c r="Z22" i="80" s="1"/>
  <c r="N22" i="80"/>
  <c r="L22" i="80"/>
  <c r="B22" i="80"/>
  <c r="Z21" i="80"/>
  <c r="V21" i="80"/>
  <c r="T21" i="80"/>
  <c r="P21" i="80"/>
  <c r="X21" i="80" s="1"/>
  <c r="J21" i="80"/>
  <c r="H21" i="80"/>
  <c r="N21" i="80" s="1"/>
  <c r="F21" i="80"/>
  <c r="D21" i="80"/>
  <c r="L21" i="80" s="1"/>
  <c r="B21" i="80"/>
  <c r="Z20" i="80"/>
  <c r="X20" i="80"/>
  <c r="N20" i="80"/>
  <c r="L20" i="80"/>
  <c r="J20" i="80"/>
  <c r="B20" i="80"/>
  <c r="V19" i="80"/>
  <c r="T19" i="80"/>
  <c r="P19" i="80"/>
  <c r="X19" i="80" s="1"/>
  <c r="N19" i="80"/>
  <c r="L19" i="80"/>
  <c r="H19" i="80"/>
  <c r="F19" i="80"/>
  <c r="D19" i="80"/>
  <c r="B19" i="80"/>
  <c r="Z18" i="80"/>
  <c r="T18" i="80"/>
  <c r="P18" i="80"/>
  <c r="X18" i="80" s="1"/>
  <c r="L18" i="80"/>
  <c r="J18" i="80"/>
  <c r="H18" i="80"/>
  <c r="D18" i="80"/>
  <c r="T16" i="80"/>
  <c r="Z16" i="80" s="1"/>
  <c r="H16" i="80"/>
  <c r="D16" i="80"/>
  <c r="Z14" i="80"/>
  <c r="T14" i="80"/>
  <c r="P14" i="80"/>
  <c r="X14" i="80" s="1"/>
  <c r="L14" i="80"/>
  <c r="J14" i="80"/>
  <c r="H14" i="80"/>
  <c r="N14" i="80" s="1"/>
  <c r="D14" i="80"/>
  <c r="X12" i="80"/>
  <c r="T12" i="80"/>
  <c r="V23" i="80" s="1"/>
  <c r="P12" i="80"/>
  <c r="R19" i="80" s="1"/>
  <c r="N12" i="80"/>
  <c r="L12" i="80"/>
  <c r="H12" i="80"/>
  <c r="J25" i="80" s="1"/>
  <c r="D12" i="80"/>
  <c r="F34" i="80" s="1"/>
  <c r="D6" i="80"/>
  <c r="D4" i="80"/>
  <c r="Z83" i="79"/>
  <c r="X83" i="79"/>
  <c r="N83" i="79"/>
  <c r="L83" i="79"/>
  <c r="T79" i="79"/>
  <c r="P79" i="79"/>
  <c r="N79" i="79"/>
  <c r="H79" i="79"/>
  <c r="D79" i="79"/>
  <c r="B79" i="79"/>
  <c r="N78" i="79"/>
  <c r="H78" i="79"/>
  <c r="Z76" i="79"/>
  <c r="X76" i="79"/>
  <c r="N76" i="79"/>
  <c r="L76" i="79"/>
  <c r="B76" i="79"/>
  <c r="T75" i="79"/>
  <c r="P75" i="79"/>
  <c r="X75" i="79" s="1"/>
  <c r="L75" i="79"/>
  <c r="H75" i="79"/>
  <c r="D75" i="79"/>
  <c r="B75" i="79"/>
  <c r="Z74" i="79"/>
  <c r="X74" i="79"/>
  <c r="N74" i="79"/>
  <c r="L74" i="79"/>
  <c r="B74" i="79"/>
  <c r="T73" i="79"/>
  <c r="P73" i="79"/>
  <c r="X73" i="79" s="1"/>
  <c r="N73" i="79"/>
  <c r="L73" i="79"/>
  <c r="H73" i="79"/>
  <c r="D73" i="79"/>
  <c r="B73" i="79"/>
  <c r="Z72" i="79"/>
  <c r="X72" i="79"/>
  <c r="N72" i="79"/>
  <c r="L72" i="79"/>
  <c r="B72" i="79"/>
  <c r="Z71" i="79"/>
  <c r="X71" i="79"/>
  <c r="R71" i="79"/>
  <c r="N71" i="79"/>
  <c r="L71" i="79"/>
  <c r="B71" i="79"/>
  <c r="Z70" i="79"/>
  <c r="X70" i="79"/>
  <c r="N70" i="79"/>
  <c r="L70" i="79"/>
  <c r="B70" i="79"/>
  <c r="Z69" i="79"/>
  <c r="X69" i="79"/>
  <c r="R69" i="79"/>
  <c r="N69" i="79"/>
  <c r="L69" i="79"/>
  <c r="B69" i="79"/>
  <c r="Z68" i="79"/>
  <c r="X68" i="79"/>
  <c r="N68" i="79"/>
  <c r="L68" i="79"/>
  <c r="B68" i="79"/>
  <c r="Z67" i="79"/>
  <c r="X67" i="79"/>
  <c r="N67" i="79"/>
  <c r="L67" i="79"/>
  <c r="B67" i="79"/>
  <c r="Z66" i="79"/>
  <c r="X66" i="79"/>
  <c r="N66" i="79"/>
  <c r="L66" i="79"/>
  <c r="B66" i="79"/>
  <c r="Z65" i="79"/>
  <c r="X65" i="79"/>
  <c r="N65" i="79"/>
  <c r="L65" i="79"/>
  <c r="B65" i="79"/>
  <c r="Z64" i="79"/>
  <c r="X64" i="79"/>
  <c r="T64" i="79"/>
  <c r="P64" i="79"/>
  <c r="N64" i="79"/>
  <c r="L64" i="79"/>
  <c r="H64" i="79"/>
  <c r="D64" i="79"/>
  <c r="B64" i="79"/>
  <c r="Z63" i="79"/>
  <c r="X63" i="79"/>
  <c r="N63" i="79"/>
  <c r="L63" i="79"/>
  <c r="B63" i="79"/>
  <c r="Z62" i="79"/>
  <c r="X62" i="79"/>
  <c r="T62" i="79"/>
  <c r="P62" i="79"/>
  <c r="H62" i="79"/>
  <c r="N62" i="79" s="1"/>
  <c r="D62" i="79"/>
  <c r="L62" i="79" s="1"/>
  <c r="B62" i="79"/>
  <c r="Z61" i="79"/>
  <c r="X61" i="79"/>
  <c r="N61" i="79"/>
  <c r="L61" i="79"/>
  <c r="B61" i="79"/>
  <c r="Z60" i="79"/>
  <c r="X60" i="79"/>
  <c r="N60" i="79"/>
  <c r="L60" i="79"/>
  <c r="B60" i="79"/>
  <c r="X59" i="79"/>
  <c r="Z59" i="79" s="1"/>
  <c r="N59" i="79"/>
  <c r="L59" i="79"/>
  <c r="B59" i="79"/>
  <c r="Z58" i="79"/>
  <c r="X58" i="79"/>
  <c r="N58" i="79"/>
  <c r="L58" i="79"/>
  <c r="B58" i="79"/>
  <c r="X57" i="79"/>
  <c r="Z57" i="79" s="1"/>
  <c r="T57" i="79"/>
  <c r="P57" i="79"/>
  <c r="L57" i="79"/>
  <c r="H57" i="79"/>
  <c r="D57" i="79"/>
  <c r="B57" i="79"/>
  <c r="Z56" i="79"/>
  <c r="X56" i="79"/>
  <c r="N56" i="79"/>
  <c r="L56" i="79"/>
  <c r="B56" i="79"/>
  <c r="X55" i="79"/>
  <c r="Z55" i="79" s="1"/>
  <c r="N55" i="79"/>
  <c r="L55" i="79"/>
  <c r="B55" i="79"/>
  <c r="Z54" i="79"/>
  <c r="X54" i="79"/>
  <c r="T54" i="79"/>
  <c r="P54" i="79"/>
  <c r="H54" i="79"/>
  <c r="N54" i="79" s="1"/>
  <c r="D54" i="79"/>
  <c r="L54" i="79" s="1"/>
  <c r="B54" i="79"/>
  <c r="X53" i="79"/>
  <c r="Z53" i="79" s="1"/>
  <c r="L53" i="79"/>
  <c r="N53" i="79" s="1"/>
  <c r="B53" i="79"/>
  <c r="T52" i="79"/>
  <c r="Z52" i="79" s="1"/>
  <c r="P52" i="79"/>
  <c r="X52" i="79" s="1"/>
  <c r="H52" i="79"/>
  <c r="D52" i="79"/>
  <c r="L52" i="79" s="1"/>
  <c r="B52" i="79"/>
  <c r="Z51" i="79"/>
  <c r="X51" i="79"/>
  <c r="N51" i="79"/>
  <c r="L51" i="79"/>
  <c r="B51" i="79"/>
  <c r="T50" i="79"/>
  <c r="Z50" i="79" s="1"/>
  <c r="P50" i="79"/>
  <c r="X50" i="79" s="1"/>
  <c r="N50" i="79"/>
  <c r="L50" i="79"/>
  <c r="H50" i="79"/>
  <c r="D50" i="79"/>
  <c r="B50" i="79"/>
  <c r="X49" i="79"/>
  <c r="Z49" i="79" s="1"/>
  <c r="N49" i="79"/>
  <c r="L49" i="79"/>
  <c r="B49" i="79"/>
  <c r="Z48" i="79"/>
  <c r="X48" i="79"/>
  <c r="T48" i="79"/>
  <c r="P48" i="79"/>
  <c r="N48" i="79"/>
  <c r="L48" i="79"/>
  <c r="H48" i="79"/>
  <c r="D48" i="79"/>
  <c r="B48" i="79"/>
  <c r="Z47" i="79"/>
  <c r="X47" i="79"/>
  <c r="N47" i="79"/>
  <c r="L47" i="79"/>
  <c r="B47" i="79"/>
  <c r="Z46" i="79"/>
  <c r="X46" i="79"/>
  <c r="T46" i="79"/>
  <c r="P46" i="79"/>
  <c r="H46" i="79"/>
  <c r="N46" i="79" s="1"/>
  <c r="D46" i="79"/>
  <c r="L46" i="79" s="1"/>
  <c r="B46" i="79"/>
  <c r="Z45" i="79"/>
  <c r="X45" i="79"/>
  <c r="R45" i="79"/>
  <c r="N45" i="79"/>
  <c r="L45" i="79"/>
  <c r="B45" i="79"/>
  <c r="Z44" i="79"/>
  <c r="X44" i="79"/>
  <c r="N44" i="79"/>
  <c r="L44" i="79"/>
  <c r="B44" i="79"/>
  <c r="X43" i="79"/>
  <c r="T43" i="79"/>
  <c r="Z43" i="79" s="1"/>
  <c r="P43" i="79"/>
  <c r="H43" i="79"/>
  <c r="D43" i="79"/>
  <c r="B43" i="79"/>
  <c r="Z42" i="79"/>
  <c r="X42" i="79"/>
  <c r="N42" i="79"/>
  <c r="L42" i="79"/>
  <c r="B42" i="79"/>
  <c r="T41" i="79"/>
  <c r="Z41" i="79" s="1"/>
  <c r="P41" i="79"/>
  <c r="N41" i="79"/>
  <c r="H41" i="79"/>
  <c r="D41" i="79"/>
  <c r="L41" i="79" s="1"/>
  <c r="B41" i="79"/>
  <c r="Z40" i="79"/>
  <c r="X40" i="79"/>
  <c r="N40" i="79"/>
  <c r="L40" i="79"/>
  <c r="B40" i="79"/>
  <c r="Z39" i="79"/>
  <c r="T39" i="79"/>
  <c r="P39" i="79"/>
  <c r="X39" i="79" s="1"/>
  <c r="N39" i="79"/>
  <c r="L39" i="79"/>
  <c r="H39" i="79"/>
  <c r="D39" i="79"/>
  <c r="B39" i="79"/>
  <c r="Z38" i="79"/>
  <c r="X38" i="79"/>
  <c r="N38" i="79"/>
  <c r="L38" i="79"/>
  <c r="B38" i="79"/>
  <c r="Z37" i="79"/>
  <c r="X37" i="79"/>
  <c r="T37" i="79"/>
  <c r="P37" i="79"/>
  <c r="L37" i="79"/>
  <c r="H37" i="79"/>
  <c r="N37" i="79" s="1"/>
  <c r="D37" i="79"/>
  <c r="B37" i="79"/>
  <c r="Z36" i="79"/>
  <c r="X36" i="79"/>
  <c r="V36" i="79"/>
  <c r="N36" i="79"/>
  <c r="L36" i="79"/>
  <c r="B36" i="79"/>
  <c r="Z35" i="79"/>
  <c r="X35" i="79"/>
  <c r="N35" i="79"/>
  <c r="L35" i="79"/>
  <c r="B35" i="79"/>
  <c r="Z34" i="79"/>
  <c r="X34" i="79"/>
  <c r="N34" i="79"/>
  <c r="L34" i="79"/>
  <c r="B34" i="79"/>
  <c r="Z33" i="79"/>
  <c r="X33" i="79"/>
  <c r="N33" i="79"/>
  <c r="L33" i="79"/>
  <c r="B33" i="79"/>
  <c r="Z32" i="79"/>
  <c r="X32" i="79"/>
  <c r="T32" i="79"/>
  <c r="P32" i="79"/>
  <c r="N32" i="79"/>
  <c r="L32" i="79"/>
  <c r="H32" i="79"/>
  <c r="D32" i="79"/>
  <c r="B32" i="79"/>
  <c r="Z31" i="79"/>
  <c r="X31" i="79"/>
  <c r="N31" i="79"/>
  <c r="L31" i="79"/>
  <c r="B31" i="79"/>
  <c r="Z30" i="79"/>
  <c r="X30" i="79"/>
  <c r="N30" i="79"/>
  <c r="L30" i="79"/>
  <c r="B30" i="79"/>
  <c r="Z29" i="79"/>
  <c r="X29" i="79"/>
  <c r="N29" i="79"/>
  <c r="L29" i="79"/>
  <c r="B29" i="79"/>
  <c r="Z28" i="79"/>
  <c r="X28" i="79"/>
  <c r="N28" i="79"/>
  <c r="L28" i="79"/>
  <c r="B28" i="79"/>
  <c r="Z27" i="79"/>
  <c r="X27" i="79"/>
  <c r="N27" i="79"/>
  <c r="L27" i="79"/>
  <c r="B27" i="79"/>
  <c r="Z26" i="79"/>
  <c r="X26" i="79"/>
  <c r="N26" i="79"/>
  <c r="L26" i="79"/>
  <c r="B26" i="79"/>
  <c r="Z25" i="79"/>
  <c r="X25" i="79"/>
  <c r="N25" i="79"/>
  <c r="L25" i="79"/>
  <c r="B25" i="79"/>
  <c r="Z24" i="79"/>
  <c r="X24" i="79"/>
  <c r="N24" i="79"/>
  <c r="L24" i="79"/>
  <c r="B24" i="79"/>
  <c r="X23" i="79"/>
  <c r="T23" i="79"/>
  <c r="P23" i="79"/>
  <c r="H23" i="79"/>
  <c r="N23" i="79" s="1"/>
  <c r="D23" i="79"/>
  <c r="L23" i="79" s="1"/>
  <c r="B23" i="79"/>
  <c r="T22" i="79"/>
  <c r="R22" i="79"/>
  <c r="P22" i="79"/>
  <c r="X22" i="79" s="1"/>
  <c r="N22" i="79"/>
  <c r="L22" i="79"/>
  <c r="H22" i="79"/>
  <c r="D22" i="79"/>
  <c r="Z18" i="79"/>
  <c r="X18" i="79"/>
  <c r="N18" i="79"/>
  <c r="L18" i="79"/>
  <c r="B18" i="79"/>
  <c r="Z17" i="79"/>
  <c r="X17" i="79"/>
  <c r="N17" i="79"/>
  <c r="L17" i="79"/>
  <c r="B17" i="79"/>
  <c r="T16" i="79"/>
  <c r="Z16" i="79" s="1"/>
  <c r="P16" i="79"/>
  <c r="X16" i="79" s="1"/>
  <c r="H16" i="79"/>
  <c r="N16" i="79" s="1"/>
  <c r="D16" i="79"/>
  <c r="L16" i="79" s="1"/>
  <c r="Z14" i="79"/>
  <c r="X14" i="79"/>
  <c r="T14" i="79"/>
  <c r="P14" i="79"/>
  <c r="P12" i="79" s="1"/>
  <c r="R75" i="79" s="1"/>
  <c r="H14" i="79"/>
  <c r="N14" i="79" s="1"/>
  <c r="D14" i="79"/>
  <c r="B14" i="79"/>
  <c r="Z13" i="79"/>
  <c r="T13" i="79"/>
  <c r="T12" i="79" s="1"/>
  <c r="V72" i="79" s="1"/>
  <c r="P13" i="79"/>
  <c r="X13" i="79" s="1"/>
  <c r="L13" i="79"/>
  <c r="H13" i="79"/>
  <c r="D13" i="79"/>
  <c r="D12" i="79" s="1"/>
  <c r="F49" i="79" s="1"/>
  <c r="B13" i="79"/>
  <c r="D6" i="79"/>
  <c r="D4" i="79"/>
  <c r="X30" i="78"/>
  <c r="Z30" i="78" s="1"/>
  <c r="N30" i="78"/>
  <c r="L30" i="78"/>
  <c r="Z26" i="78"/>
  <c r="X26" i="78"/>
  <c r="T26" i="78"/>
  <c r="P26" i="78"/>
  <c r="N26" i="78"/>
  <c r="L26" i="78"/>
  <c r="H26" i="78"/>
  <c r="D26" i="78"/>
  <c r="Z24" i="78"/>
  <c r="X24" i="78"/>
  <c r="N24" i="78"/>
  <c r="L24" i="78"/>
  <c r="B24" i="78"/>
  <c r="X23" i="78"/>
  <c r="T23" i="78"/>
  <c r="Z23" i="78" s="1"/>
  <c r="P23" i="78"/>
  <c r="H23" i="78"/>
  <c r="N23" i="78" s="1"/>
  <c r="D23" i="78"/>
  <c r="L23" i="78" s="1"/>
  <c r="B23" i="78"/>
  <c r="T22" i="78"/>
  <c r="Z22" i="78" s="1"/>
  <c r="R22" i="78"/>
  <c r="P22" i="78"/>
  <c r="X22" i="78" s="1"/>
  <c r="N22" i="78"/>
  <c r="L22" i="78"/>
  <c r="H22" i="78"/>
  <c r="D22" i="78"/>
  <c r="X18" i="78"/>
  <c r="Z18" i="78" s="1"/>
  <c r="N18" i="78"/>
  <c r="L18" i="78"/>
  <c r="B18" i="78"/>
  <c r="Z17" i="78"/>
  <c r="X17" i="78"/>
  <c r="N17" i="78"/>
  <c r="L17" i="78"/>
  <c r="B17" i="78"/>
  <c r="T16" i="78"/>
  <c r="Z16" i="78" s="1"/>
  <c r="P16" i="78"/>
  <c r="X16" i="78" s="1"/>
  <c r="H16" i="78"/>
  <c r="N16" i="78" s="1"/>
  <c r="D16" i="78"/>
  <c r="L16" i="78" s="1"/>
  <c r="Z14" i="78"/>
  <c r="X14" i="78"/>
  <c r="T14" i="78"/>
  <c r="P14" i="78"/>
  <c r="P12" i="78" s="1"/>
  <c r="R17" i="78" s="1"/>
  <c r="H14" i="78"/>
  <c r="N14" i="78" s="1"/>
  <c r="D14" i="78"/>
  <c r="L14" i="78" s="1"/>
  <c r="B14" i="78"/>
  <c r="Z13" i="78"/>
  <c r="T13" i="78"/>
  <c r="T12" i="78" s="1"/>
  <c r="P13" i="78"/>
  <c r="X13" i="78" s="1"/>
  <c r="L13" i="78"/>
  <c r="H13" i="78"/>
  <c r="H12" i="78" s="1"/>
  <c r="N12" i="78" s="1"/>
  <c r="D13" i="78"/>
  <c r="D12" i="78" s="1"/>
  <c r="F16" i="78" s="1"/>
  <c r="B13" i="78"/>
  <c r="D6" i="78"/>
  <c r="D4" i="78"/>
  <c r="Z110" i="77"/>
  <c r="X110" i="77"/>
  <c r="N110" i="77"/>
  <c r="L110" i="77"/>
  <c r="Z106" i="77"/>
  <c r="X106" i="77"/>
  <c r="T106" i="77"/>
  <c r="P106" i="77"/>
  <c r="N106" i="77"/>
  <c r="L106" i="77"/>
  <c r="H106" i="77"/>
  <c r="D106" i="77"/>
  <c r="Z104" i="77"/>
  <c r="X104" i="77"/>
  <c r="N104" i="77"/>
  <c r="L104" i="77"/>
  <c r="B104" i="77"/>
  <c r="X103" i="77"/>
  <c r="T103" i="77"/>
  <c r="P103" i="77"/>
  <c r="H103" i="77"/>
  <c r="D103" i="77"/>
  <c r="L103" i="77" s="1"/>
  <c r="B103" i="77"/>
  <c r="X102" i="77"/>
  <c r="Z102" i="77" s="1"/>
  <c r="N102" i="77"/>
  <c r="L102" i="77"/>
  <c r="B102" i="77"/>
  <c r="T101" i="77"/>
  <c r="P101" i="77"/>
  <c r="N101" i="77"/>
  <c r="H101" i="77"/>
  <c r="D101" i="77"/>
  <c r="L101" i="77" s="1"/>
  <c r="B101" i="77"/>
  <c r="Z100" i="77"/>
  <c r="X100" i="77"/>
  <c r="N100" i="77"/>
  <c r="L100" i="77"/>
  <c r="B100" i="77"/>
  <c r="T99" i="77"/>
  <c r="P99" i="77"/>
  <c r="X99" i="77" s="1"/>
  <c r="Z99" i="77" s="1"/>
  <c r="N99" i="77"/>
  <c r="L99" i="77"/>
  <c r="H99" i="77"/>
  <c r="D99" i="77"/>
  <c r="B99" i="77"/>
  <c r="Z98" i="77"/>
  <c r="X98" i="77"/>
  <c r="N98" i="77"/>
  <c r="L98" i="77"/>
  <c r="B98" i="77"/>
  <c r="Z97" i="77"/>
  <c r="X97" i="77"/>
  <c r="N97" i="77"/>
  <c r="L97" i="77"/>
  <c r="B97" i="77"/>
  <c r="Z96" i="77"/>
  <c r="X96" i="77"/>
  <c r="N96" i="77"/>
  <c r="L96" i="77"/>
  <c r="B96" i="77"/>
  <c r="Z95" i="77"/>
  <c r="X95" i="77"/>
  <c r="N95" i="77"/>
  <c r="L95" i="77"/>
  <c r="B95" i="77"/>
  <c r="T94" i="77"/>
  <c r="Z94" i="77" s="1"/>
  <c r="P94" i="77"/>
  <c r="X94" i="77" s="1"/>
  <c r="N94" i="77"/>
  <c r="L94" i="77"/>
  <c r="H94" i="77"/>
  <c r="D94" i="77"/>
  <c r="B94" i="77"/>
  <c r="Z93" i="77"/>
  <c r="X93" i="77"/>
  <c r="N93" i="77"/>
  <c r="L93" i="77"/>
  <c r="B93" i="77"/>
  <c r="Z92" i="77"/>
  <c r="X92" i="77"/>
  <c r="N92" i="77"/>
  <c r="L92" i="77"/>
  <c r="B92" i="77"/>
  <c r="T91" i="77"/>
  <c r="P91" i="77"/>
  <c r="X91" i="77" s="1"/>
  <c r="Z91" i="77" s="1"/>
  <c r="N91" i="77"/>
  <c r="L91" i="77"/>
  <c r="H91" i="77"/>
  <c r="D91" i="77"/>
  <c r="B91" i="77"/>
  <c r="Z90" i="77"/>
  <c r="X90" i="77"/>
  <c r="L90" i="77"/>
  <c r="N90" i="77" s="1"/>
  <c r="B90" i="77"/>
  <c r="Z89" i="77"/>
  <c r="X89" i="77"/>
  <c r="N89" i="77"/>
  <c r="L89" i="77"/>
  <c r="B89" i="77"/>
  <c r="Z88" i="77"/>
  <c r="X88" i="77"/>
  <c r="N88" i="77"/>
  <c r="L88" i="77"/>
  <c r="B88" i="77"/>
  <c r="T87" i="77"/>
  <c r="P87" i="77"/>
  <c r="X87" i="77" s="1"/>
  <c r="Z87" i="77" s="1"/>
  <c r="N87" i="77"/>
  <c r="L87" i="77"/>
  <c r="H87" i="77"/>
  <c r="D87" i="77"/>
  <c r="B87" i="77"/>
  <c r="Z86" i="77"/>
  <c r="X86" i="77"/>
  <c r="N86" i="77"/>
  <c r="L86" i="77"/>
  <c r="B86" i="77"/>
  <c r="Z85" i="77"/>
  <c r="X85" i="77"/>
  <c r="N85" i="77"/>
  <c r="L85" i="77"/>
  <c r="B85" i="77"/>
  <c r="Z84" i="77"/>
  <c r="X84" i="77"/>
  <c r="N84" i="77"/>
  <c r="L84" i="77"/>
  <c r="B84" i="77"/>
  <c r="T83" i="77"/>
  <c r="P83" i="77"/>
  <c r="X83" i="77" s="1"/>
  <c r="Z83" i="77" s="1"/>
  <c r="L83" i="77"/>
  <c r="N83" i="77" s="1"/>
  <c r="H83" i="77"/>
  <c r="D83" i="77"/>
  <c r="B83" i="77"/>
  <c r="Z82" i="77"/>
  <c r="X82" i="77"/>
  <c r="L82" i="77"/>
  <c r="N82" i="77" s="1"/>
  <c r="B82" i="77"/>
  <c r="X81" i="77"/>
  <c r="Z81" i="77" s="1"/>
  <c r="T81" i="77"/>
  <c r="P81" i="77"/>
  <c r="H81" i="77"/>
  <c r="D81" i="77"/>
  <c r="B81" i="77"/>
  <c r="Z80" i="77"/>
  <c r="X80" i="77"/>
  <c r="N80" i="77"/>
  <c r="L80" i="77"/>
  <c r="B80" i="77"/>
  <c r="T79" i="77"/>
  <c r="P79" i="77"/>
  <c r="H79" i="77"/>
  <c r="N79" i="77" s="1"/>
  <c r="D79" i="77"/>
  <c r="L79" i="77" s="1"/>
  <c r="B79" i="77"/>
  <c r="X78" i="77"/>
  <c r="Z78" i="77" s="1"/>
  <c r="L78" i="77"/>
  <c r="N78" i="77" s="1"/>
  <c r="B78" i="77"/>
  <c r="T77" i="77"/>
  <c r="P77" i="77"/>
  <c r="X77" i="77" s="1"/>
  <c r="H77" i="77"/>
  <c r="D77" i="77"/>
  <c r="L77" i="77" s="1"/>
  <c r="N77" i="77" s="1"/>
  <c r="B77" i="77"/>
  <c r="Z76" i="77"/>
  <c r="X76" i="77"/>
  <c r="N76" i="77"/>
  <c r="L76" i="77"/>
  <c r="B76" i="77"/>
  <c r="T75" i="77"/>
  <c r="P75" i="77"/>
  <c r="X75" i="77" s="1"/>
  <c r="Z75" i="77" s="1"/>
  <c r="L75" i="77"/>
  <c r="N75" i="77" s="1"/>
  <c r="H75" i="77"/>
  <c r="D75" i="77"/>
  <c r="B75" i="77"/>
  <c r="X74" i="77"/>
  <c r="Z74" i="77" s="1"/>
  <c r="L74" i="77"/>
  <c r="N74" i="77" s="1"/>
  <c r="B74" i="77"/>
  <c r="X73" i="77"/>
  <c r="Z73" i="77" s="1"/>
  <c r="T73" i="77"/>
  <c r="P73" i="77"/>
  <c r="L73" i="77"/>
  <c r="H73" i="77"/>
  <c r="D73" i="77"/>
  <c r="B73" i="77"/>
  <c r="Z72" i="77"/>
  <c r="X72" i="77"/>
  <c r="N72" i="77"/>
  <c r="L72" i="77"/>
  <c r="B72" i="77"/>
  <c r="X71" i="77"/>
  <c r="T71" i="77"/>
  <c r="Z71" i="77" s="1"/>
  <c r="P71" i="77"/>
  <c r="H71" i="77"/>
  <c r="N71" i="77" s="1"/>
  <c r="D71" i="77"/>
  <c r="B71" i="77"/>
  <c r="X70" i="77"/>
  <c r="Z70" i="77" s="1"/>
  <c r="N70" i="77"/>
  <c r="L70" i="77"/>
  <c r="B70" i="77"/>
  <c r="T69" i="77"/>
  <c r="P69" i="77"/>
  <c r="H69" i="77"/>
  <c r="D69" i="77"/>
  <c r="L69" i="77" s="1"/>
  <c r="N69" i="77" s="1"/>
  <c r="B69" i="77"/>
  <c r="Z68" i="77"/>
  <c r="X68" i="77"/>
  <c r="N68" i="77"/>
  <c r="L68" i="77"/>
  <c r="B68" i="77"/>
  <c r="T67" i="77"/>
  <c r="P67" i="77"/>
  <c r="X67" i="77" s="1"/>
  <c r="Z67" i="77" s="1"/>
  <c r="N67" i="77"/>
  <c r="L67" i="77"/>
  <c r="H67" i="77"/>
  <c r="D67" i="77"/>
  <c r="B67" i="77"/>
  <c r="Z66" i="77"/>
  <c r="X66" i="77"/>
  <c r="L66" i="77"/>
  <c r="N66" i="77" s="1"/>
  <c r="B66" i="77"/>
  <c r="X65" i="77"/>
  <c r="Z65" i="77" s="1"/>
  <c r="T65" i="77"/>
  <c r="P65" i="77"/>
  <c r="H65" i="77"/>
  <c r="D65" i="77"/>
  <c r="B65" i="77"/>
  <c r="Z64" i="77"/>
  <c r="X64" i="77"/>
  <c r="N64" i="77"/>
  <c r="L64" i="77"/>
  <c r="B64" i="77"/>
  <c r="X63" i="77"/>
  <c r="Z63" i="77" s="1"/>
  <c r="N63" i="77"/>
  <c r="L63" i="77"/>
  <c r="B63" i="77"/>
  <c r="Z62" i="77"/>
  <c r="X62" i="77"/>
  <c r="L62" i="77"/>
  <c r="N62" i="77" s="1"/>
  <c r="B62" i="77"/>
  <c r="Z61" i="77"/>
  <c r="X61" i="77"/>
  <c r="L61" i="77"/>
  <c r="N61" i="77" s="1"/>
  <c r="B61" i="77"/>
  <c r="Z60" i="77"/>
  <c r="X60" i="77"/>
  <c r="N60" i="77"/>
  <c r="L60" i="77"/>
  <c r="B60" i="77"/>
  <c r="T59" i="77"/>
  <c r="P59" i="77"/>
  <c r="X59" i="77" s="1"/>
  <c r="Z59" i="77" s="1"/>
  <c r="N59" i="77"/>
  <c r="L59" i="77"/>
  <c r="H59" i="77"/>
  <c r="D59" i="77"/>
  <c r="B59" i="77"/>
  <c r="Z58" i="77"/>
  <c r="X58" i="77"/>
  <c r="L58" i="77"/>
  <c r="N58" i="77" s="1"/>
  <c r="B58" i="77"/>
  <c r="Z57" i="77"/>
  <c r="X57" i="77"/>
  <c r="L57" i="77"/>
  <c r="N57" i="77" s="1"/>
  <c r="B57" i="77"/>
  <c r="Z56" i="77"/>
  <c r="X56" i="77"/>
  <c r="N56" i="77"/>
  <c r="L56" i="77"/>
  <c r="B56" i="77"/>
  <c r="Z55" i="77"/>
  <c r="X55" i="77"/>
  <c r="L55" i="77"/>
  <c r="N55" i="77" s="1"/>
  <c r="B55" i="77"/>
  <c r="X54" i="77"/>
  <c r="Z54" i="77" s="1"/>
  <c r="N54" i="77"/>
  <c r="L54" i="77"/>
  <c r="B54" i="77"/>
  <c r="X53" i="77"/>
  <c r="Z53" i="77" s="1"/>
  <c r="L53" i="77"/>
  <c r="N53" i="77" s="1"/>
  <c r="B53" i="77"/>
  <c r="Z52" i="77"/>
  <c r="X52" i="77"/>
  <c r="N52" i="77"/>
  <c r="L52" i="77"/>
  <c r="B52" i="77"/>
  <c r="X51" i="77"/>
  <c r="Z51" i="77" s="1"/>
  <c r="N51" i="77"/>
  <c r="L51" i="77"/>
  <c r="B51" i="77"/>
  <c r="X50" i="77"/>
  <c r="Z50" i="77" s="1"/>
  <c r="T50" i="77"/>
  <c r="P50" i="77"/>
  <c r="H50" i="77"/>
  <c r="D50" i="77"/>
  <c r="B50" i="77"/>
  <c r="T49" i="77"/>
  <c r="P49" i="77"/>
  <c r="H49" i="77"/>
  <c r="D49" i="77"/>
  <c r="L49" i="77" s="1"/>
  <c r="N49" i="77" s="1"/>
  <c r="Z45" i="77"/>
  <c r="X45" i="77"/>
  <c r="N45" i="77"/>
  <c r="L45" i="77"/>
  <c r="B45" i="77"/>
  <c r="Z44" i="77"/>
  <c r="X44" i="77"/>
  <c r="N44" i="77"/>
  <c r="L44" i="77"/>
  <c r="B44" i="77"/>
  <c r="X43" i="77"/>
  <c r="Z43" i="77" s="1"/>
  <c r="N43" i="77"/>
  <c r="L43" i="77"/>
  <c r="B43" i="77"/>
  <c r="Z42" i="77"/>
  <c r="X42" i="77"/>
  <c r="N42" i="77"/>
  <c r="L42" i="77"/>
  <c r="B42" i="77"/>
  <c r="Z41" i="77"/>
  <c r="X41" i="77"/>
  <c r="N41" i="77"/>
  <c r="L41" i="77"/>
  <c r="B41" i="77"/>
  <c r="Z40" i="77"/>
  <c r="X40" i="77"/>
  <c r="N40" i="77"/>
  <c r="L40" i="77"/>
  <c r="B40" i="77"/>
  <c r="Z39" i="77"/>
  <c r="X39" i="77"/>
  <c r="N39" i="77"/>
  <c r="L39" i="77"/>
  <c r="B39" i="77"/>
  <c r="T38" i="77"/>
  <c r="P38" i="77"/>
  <c r="X38" i="77" s="1"/>
  <c r="N38" i="77"/>
  <c r="L38" i="77"/>
  <c r="H38" i="77"/>
  <c r="D38" i="77"/>
  <c r="T36" i="77"/>
  <c r="P36" i="77"/>
  <c r="H36" i="77"/>
  <c r="N36" i="77" s="1"/>
  <c r="D36" i="77"/>
  <c r="B36" i="77"/>
  <c r="Z35" i="77"/>
  <c r="X35" i="77"/>
  <c r="T35" i="77"/>
  <c r="P35" i="77"/>
  <c r="N35" i="77"/>
  <c r="H35" i="77"/>
  <c r="D35" i="77"/>
  <c r="L35" i="77" s="1"/>
  <c r="B35" i="77"/>
  <c r="Z34" i="77"/>
  <c r="X34" i="77"/>
  <c r="T34" i="77"/>
  <c r="P34" i="77"/>
  <c r="H34" i="77"/>
  <c r="D34" i="77"/>
  <c r="B34" i="77"/>
  <c r="T33" i="77"/>
  <c r="P33" i="77"/>
  <c r="X33" i="77" s="1"/>
  <c r="Z33" i="77" s="1"/>
  <c r="H33" i="77"/>
  <c r="D33" i="77"/>
  <c r="L33" i="77" s="1"/>
  <c r="B33" i="77"/>
  <c r="T32" i="77"/>
  <c r="P32" i="77"/>
  <c r="L32" i="77"/>
  <c r="N32" i="77" s="1"/>
  <c r="H32" i="77"/>
  <c r="D32" i="77"/>
  <c r="B32" i="77"/>
  <c r="T31" i="77"/>
  <c r="P31" i="77"/>
  <c r="X31" i="77" s="1"/>
  <c r="Z31" i="77" s="1"/>
  <c r="N31" i="77"/>
  <c r="L31" i="77"/>
  <c r="H31" i="77"/>
  <c r="D31" i="77"/>
  <c r="B31" i="77"/>
  <c r="T30" i="77"/>
  <c r="P30" i="77"/>
  <c r="N30" i="77"/>
  <c r="L30" i="77"/>
  <c r="H30" i="77"/>
  <c r="D30" i="77"/>
  <c r="B30" i="77"/>
  <c r="T29" i="77"/>
  <c r="P29" i="77"/>
  <c r="P12" i="77" s="1"/>
  <c r="N29" i="77"/>
  <c r="H29" i="77"/>
  <c r="D29" i="77"/>
  <c r="L29" i="77" s="1"/>
  <c r="B29" i="77"/>
  <c r="T28" i="77"/>
  <c r="P28" i="77"/>
  <c r="H28" i="77"/>
  <c r="N28" i="77" s="1"/>
  <c r="D28" i="77"/>
  <c r="B28" i="77"/>
  <c r="Z27" i="77"/>
  <c r="X27" i="77"/>
  <c r="T27" i="77"/>
  <c r="P27" i="77"/>
  <c r="N27" i="77"/>
  <c r="H27" i="77"/>
  <c r="D27" i="77"/>
  <c r="L27" i="77" s="1"/>
  <c r="B27" i="77"/>
  <c r="Z26" i="77"/>
  <c r="X26" i="77"/>
  <c r="T26" i="77"/>
  <c r="P26" i="77"/>
  <c r="H26" i="77"/>
  <c r="N26" i="77" s="1"/>
  <c r="D26" i="77"/>
  <c r="B26" i="77"/>
  <c r="Z25" i="77"/>
  <c r="T25" i="77"/>
  <c r="P25" i="77"/>
  <c r="X25" i="77" s="1"/>
  <c r="H25" i="77"/>
  <c r="N25" i="77" s="1"/>
  <c r="D25" i="77"/>
  <c r="B25" i="77"/>
  <c r="T24" i="77"/>
  <c r="P24" i="77"/>
  <c r="H24" i="77"/>
  <c r="D24" i="77"/>
  <c r="L24" i="77" s="1"/>
  <c r="N24" i="77" s="1"/>
  <c r="B24" i="77"/>
  <c r="Z23" i="77"/>
  <c r="T23" i="77"/>
  <c r="P23" i="77"/>
  <c r="X23" i="77" s="1"/>
  <c r="N23" i="77"/>
  <c r="H23" i="77"/>
  <c r="L23" i="77" s="1"/>
  <c r="D23" i="77"/>
  <c r="B23" i="77"/>
  <c r="T22" i="77"/>
  <c r="P22" i="77"/>
  <c r="X22" i="77" s="1"/>
  <c r="L22" i="77"/>
  <c r="N22" i="77" s="1"/>
  <c r="H22" i="77"/>
  <c r="D22" i="77"/>
  <c r="B22" i="77"/>
  <c r="X21" i="77"/>
  <c r="T21" i="77"/>
  <c r="P21" i="77"/>
  <c r="N21" i="77"/>
  <c r="H21" i="77"/>
  <c r="D21" i="77"/>
  <c r="L21" i="77" s="1"/>
  <c r="B21" i="77"/>
  <c r="Z20" i="77"/>
  <c r="X20" i="77"/>
  <c r="T20" i="77"/>
  <c r="P20" i="77"/>
  <c r="H20" i="77"/>
  <c r="D20" i="77"/>
  <c r="B20" i="77"/>
  <c r="X19" i="77"/>
  <c r="T19" i="77"/>
  <c r="P19" i="77"/>
  <c r="H19" i="77"/>
  <c r="D19" i="77"/>
  <c r="L19" i="77" s="1"/>
  <c r="N19" i="77" s="1"/>
  <c r="B19" i="77"/>
  <c r="X18" i="77"/>
  <c r="Z18" i="77" s="1"/>
  <c r="T18" i="77"/>
  <c r="P18" i="77"/>
  <c r="H18" i="77"/>
  <c r="D18" i="77"/>
  <c r="L18" i="77" s="1"/>
  <c r="B18" i="77"/>
  <c r="Z17" i="77"/>
  <c r="T17" i="77"/>
  <c r="P17" i="77"/>
  <c r="X17" i="77" s="1"/>
  <c r="L17" i="77"/>
  <c r="H17" i="77"/>
  <c r="D17" i="77"/>
  <c r="B17" i="77"/>
  <c r="T16" i="77"/>
  <c r="P16" i="77"/>
  <c r="H16" i="77"/>
  <c r="D16" i="77"/>
  <c r="B16" i="77"/>
  <c r="T15" i="77"/>
  <c r="P15" i="77"/>
  <c r="X15" i="77" s="1"/>
  <c r="Z15" i="77" s="1"/>
  <c r="H15" i="77"/>
  <c r="D15" i="77"/>
  <c r="B15" i="77"/>
  <c r="T14" i="77"/>
  <c r="P14" i="77"/>
  <c r="X14" i="77" s="1"/>
  <c r="L14" i="77"/>
  <c r="N14" i="77" s="1"/>
  <c r="H14" i="77"/>
  <c r="D14" i="77"/>
  <c r="B14" i="77"/>
  <c r="X13" i="77"/>
  <c r="T13" i="77"/>
  <c r="P13" i="77"/>
  <c r="N13" i="77"/>
  <c r="H13" i="77"/>
  <c r="D13" i="77"/>
  <c r="L13" i="77" s="1"/>
  <c r="B13" i="77"/>
  <c r="D6" i="77"/>
  <c r="D4" i="77"/>
  <c r="Z75" i="76"/>
  <c r="X75" i="76"/>
  <c r="N75" i="76"/>
  <c r="L75" i="76"/>
  <c r="T71" i="76"/>
  <c r="Z71" i="76" s="1"/>
  <c r="P71" i="76"/>
  <c r="H71" i="76"/>
  <c r="N71" i="76" s="1"/>
  <c r="D71" i="76"/>
  <c r="L71" i="76" s="1"/>
  <c r="Z69" i="76"/>
  <c r="X69" i="76"/>
  <c r="N69" i="76"/>
  <c r="L69" i="76"/>
  <c r="B69" i="76"/>
  <c r="T68" i="76"/>
  <c r="P68" i="76"/>
  <c r="L68" i="76"/>
  <c r="N68" i="76" s="1"/>
  <c r="H68" i="76"/>
  <c r="D68" i="76"/>
  <c r="B68" i="76"/>
  <c r="Z67" i="76"/>
  <c r="X67" i="76"/>
  <c r="L67" i="76"/>
  <c r="N67" i="76" s="1"/>
  <c r="B67" i="76"/>
  <c r="X66" i="76"/>
  <c r="Z66" i="76" s="1"/>
  <c r="T66" i="76"/>
  <c r="P66" i="76"/>
  <c r="L66" i="76"/>
  <c r="H66" i="76"/>
  <c r="D66" i="76"/>
  <c r="B66" i="76"/>
  <c r="Z65" i="76"/>
  <c r="X65" i="76"/>
  <c r="N65" i="76"/>
  <c r="L65" i="76"/>
  <c r="F65" i="76"/>
  <c r="B65" i="76"/>
  <c r="Z64" i="76"/>
  <c r="X64" i="76"/>
  <c r="N64" i="76"/>
  <c r="L64" i="76"/>
  <c r="J64" i="76"/>
  <c r="B64" i="76"/>
  <c r="Z63" i="76"/>
  <c r="X63" i="76"/>
  <c r="N63" i="76"/>
  <c r="L63" i="76"/>
  <c r="B63" i="76"/>
  <c r="Z62" i="76"/>
  <c r="X62" i="76"/>
  <c r="N62" i="76"/>
  <c r="L62" i="76"/>
  <c r="B62" i="76"/>
  <c r="T61" i="76"/>
  <c r="P61" i="76"/>
  <c r="N61" i="76"/>
  <c r="H61" i="76"/>
  <c r="D61" i="76"/>
  <c r="L61" i="76" s="1"/>
  <c r="B61" i="76"/>
  <c r="Z60" i="76"/>
  <c r="X60" i="76"/>
  <c r="N60" i="76"/>
  <c r="L60" i="76"/>
  <c r="B60" i="76"/>
  <c r="Z59" i="76"/>
  <c r="X59" i="76"/>
  <c r="N59" i="76"/>
  <c r="L59" i="76"/>
  <c r="B59" i="76"/>
  <c r="Z58" i="76"/>
  <c r="X58" i="76"/>
  <c r="N58" i="76"/>
  <c r="L58" i="76"/>
  <c r="B58" i="76"/>
  <c r="Z57" i="76"/>
  <c r="X57" i="76"/>
  <c r="N57" i="76"/>
  <c r="L57" i="76"/>
  <c r="J57" i="76"/>
  <c r="B57" i="76"/>
  <c r="T56" i="76"/>
  <c r="P56" i="76"/>
  <c r="X56" i="76" s="1"/>
  <c r="Z56" i="76" s="1"/>
  <c r="H56" i="76"/>
  <c r="L56" i="76" s="1"/>
  <c r="N56" i="76" s="1"/>
  <c r="D56" i="76"/>
  <c r="B56" i="76"/>
  <c r="Z55" i="76"/>
  <c r="X55" i="76"/>
  <c r="N55" i="76"/>
  <c r="L55" i="76"/>
  <c r="B55" i="76"/>
  <c r="Z54" i="76"/>
  <c r="X54" i="76"/>
  <c r="N54" i="76"/>
  <c r="L54" i="76"/>
  <c r="B54" i="76"/>
  <c r="T53" i="76"/>
  <c r="P53" i="76"/>
  <c r="N53" i="76"/>
  <c r="L53" i="76"/>
  <c r="H53" i="76"/>
  <c r="D53" i="76"/>
  <c r="B53" i="76"/>
  <c r="X52" i="76"/>
  <c r="Z52" i="76" s="1"/>
  <c r="N52" i="76"/>
  <c r="L52" i="76"/>
  <c r="B52" i="76"/>
  <c r="Z51" i="76"/>
  <c r="X51" i="76"/>
  <c r="T51" i="76"/>
  <c r="P51" i="76"/>
  <c r="J51" i="76"/>
  <c r="H51" i="76"/>
  <c r="D51" i="76"/>
  <c r="L51" i="76" s="1"/>
  <c r="B51" i="76"/>
  <c r="Z50" i="76"/>
  <c r="X50" i="76"/>
  <c r="N50" i="76"/>
  <c r="L50" i="76"/>
  <c r="B50" i="76"/>
  <c r="V49" i="76"/>
  <c r="T49" i="76"/>
  <c r="P49" i="76"/>
  <c r="X49" i="76" s="1"/>
  <c r="H49" i="76"/>
  <c r="D49" i="76"/>
  <c r="L49" i="76" s="1"/>
  <c r="N49" i="76" s="1"/>
  <c r="B49" i="76"/>
  <c r="Z48" i="76"/>
  <c r="X48" i="76"/>
  <c r="L48" i="76"/>
  <c r="N48" i="76" s="1"/>
  <c r="B48" i="76"/>
  <c r="T47" i="76"/>
  <c r="P47" i="76"/>
  <c r="X47" i="76" s="1"/>
  <c r="Z47" i="76" s="1"/>
  <c r="H47" i="76"/>
  <c r="D47" i="76"/>
  <c r="B47" i="76"/>
  <c r="Z46" i="76"/>
  <c r="X46" i="76"/>
  <c r="N46" i="76"/>
  <c r="L46" i="76"/>
  <c r="F46" i="76"/>
  <c r="B46" i="76"/>
  <c r="T45" i="76"/>
  <c r="P45" i="76"/>
  <c r="N45" i="76"/>
  <c r="L45" i="76"/>
  <c r="H45" i="76"/>
  <c r="D45" i="76"/>
  <c r="B45" i="76"/>
  <c r="X44" i="76"/>
  <c r="Z44" i="76" s="1"/>
  <c r="N44" i="76"/>
  <c r="L44" i="76"/>
  <c r="B44" i="76"/>
  <c r="Z43" i="76"/>
  <c r="X43" i="76"/>
  <c r="L43" i="76"/>
  <c r="N43" i="76" s="1"/>
  <c r="B43" i="76"/>
  <c r="T42" i="76"/>
  <c r="X42" i="76" s="1"/>
  <c r="Z42" i="76" s="1"/>
  <c r="P42" i="76"/>
  <c r="L42" i="76"/>
  <c r="H42" i="76"/>
  <c r="D42" i="76"/>
  <c r="B42" i="76"/>
  <c r="Z41" i="76"/>
  <c r="X41" i="76"/>
  <c r="V41" i="76"/>
  <c r="N41" i="76"/>
  <c r="L41" i="76"/>
  <c r="B41" i="76"/>
  <c r="X40" i="76"/>
  <c r="T40" i="76"/>
  <c r="Z40" i="76" s="1"/>
  <c r="P40" i="76"/>
  <c r="H40" i="76"/>
  <c r="N40" i="76" s="1"/>
  <c r="D40" i="76"/>
  <c r="L40" i="76" s="1"/>
  <c r="B40" i="76"/>
  <c r="Z39" i="76"/>
  <c r="X39" i="76"/>
  <c r="N39" i="76"/>
  <c r="L39" i="76"/>
  <c r="B39" i="76"/>
  <c r="T38" i="76"/>
  <c r="Z38" i="76" s="1"/>
  <c r="P38" i="76"/>
  <c r="X38" i="76" s="1"/>
  <c r="N38" i="76"/>
  <c r="H38" i="76"/>
  <c r="D38" i="76"/>
  <c r="L38" i="76" s="1"/>
  <c r="B38" i="76"/>
  <c r="Z37" i="76"/>
  <c r="X37" i="76"/>
  <c r="N37" i="76"/>
  <c r="L37" i="76"/>
  <c r="B37" i="76"/>
  <c r="Z36" i="76"/>
  <c r="T36" i="76"/>
  <c r="P36" i="76"/>
  <c r="X36" i="76" s="1"/>
  <c r="N36" i="76"/>
  <c r="H36" i="76"/>
  <c r="L36" i="76" s="1"/>
  <c r="D36" i="76"/>
  <c r="B36" i="76"/>
  <c r="Z35" i="76"/>
  <c r="X35" i="76"/>
  <c r="N35" i="76"/>
  <c r="L35" i="76"/>
  <c r="B35" i="76"/>
  <c r="Z34" i="76"/>
  <c r="X34" i="76"/>
  <c r="N34" i="76"/>
  <c r="L34" i="76"/>
  <c r="B34" i="76"/>
  <c r="X33" i="76"/>
  <c r="Z33" i="76" s="1"/>
  <c r="N33" i="76"/>
  <c r="L33" i="76"/>
  <c r="J33" i="76"/>
  <c r="B33" i="76"/>
  <c r="T32" i="76"/>
  <c r="P32" i="76"/>
  <c r="X32" i="76" s="1"/>
  <c r="Z32" i="76" s="1"/>
  <c r="N32" i="76"/>
  <c r="H32" i="76"/>
  <c r="L32" i="76" s="1"/>
  <c r="D32" i="76"/>
  <c r="B32" i="76"/>
  <c r="Z31" i="76"/>
  <c r="X31" i="76"/>
  <c r="N31" i="76"/>
  <c r="L31" i="76"/>
  <c r="B31" i="76"/>
  <c r="Z30" i="76"/>
  <c r="X30" i="76"/>
  <c r="N30" i="76"/>
  <c r="L30" i="76"/>
  <c r="B30" i="76"/>
  <c r="X29" i="76"/>
  <c r="Z29" i="76" s="1"/>
  <c r="N29" i="76"/>
  <c r="L29" i="76"/>
  <c r="B29" i="76"/>
  <c r="Z28" i="76"/>
  <c r="X28" i="76"/>
  <c r="N28" i="76"/>
  <c r="L28" i="76"/>
  <c r="B28" i="76"/>
  <c r="Z27" i="76"/>
  <c r="X27" i="76"/>
  <c r="N27" i="76"/>
  <c r="L27" i="76"/>
  <c r="B27" i="76"/>
  <c r="Z26" i="76"/>
  <c r="X26" i="76"/>
  <c r="R26" i="76"/>
  <c r="N26" i="76"/>
  <c r="L26" i="76"/>
  <c r="B26" i="76"/>
  <c r="Z25" i="76"/>
  <c r="X25" i="76"/>
  <c r="V25" i="76"/>
  <c r="N25" i="76"/>
  <c r="L25" i="76"/>
  <c r="B25" i="76"/>
  <c r="X24" i="76"/>
  <c r="Z24" i="76" s="1"/>
  <c r="N24" i="76"/>
  <c r="L24" i="76"/>
  <c r="B24" i="76"/>
  <c r="Z23" i="76"/>
  <c r="T23" i="76"/>
  <c r="P23" i="76"/>
  <c r="X23" i="76" s="1"/>
  <c r="J23" i="76"/>
  <c r="H23" i="76"/>
  <c r="N23" i="76" s="1"/>
  <c r="D23" i="76"/>
  <c r="L23" i="76" s="1"/>
  <c r="B23" i="76"/>
  <c r="T22" i="76"/>
  <c r="P22" i="76"/>
  <c r="X22" i="76" s="1"/>
  <c r="H22" i="76"/>
  <c r="D22" i="76"/>
  <c r="L22" i="76" s="1"/>
  <c r="N22" i="76" s="1"/>
  <c r="Z18" i="76"/>
  <c r="X18" i="76"/>
  <c r="R18" i="76"/>
  <c r="N18" i="76"/>
  <c r="L18" i="76"/>
  <c r="B18" i="76"/>
  <c r="Z17" i="76"/>
  <c r="X17" i="76"/>
  <c r="L17" i="76"/>
  <c r="N17" i="76" s="1"/>
  <c r="B17" i="76"/>
  <c r="X16" i="76"/>
  <c r="T16" i="76"/>
  <c r="Z16" i="76" s="1"/>
  <c r="P16" i="76"/>
  <c r="H16" i="76"/>
  <c r="D16" i="76"/>
  <c r="T14" i="76"/>
  <c r="Z14" i="76" s="1"/>
  <c r="P14" i="76"/>
  <c r="L14" i="76"/>
  <c r="H14" i="76"/>
  <c r="H12" i="76" s="1"/>
  <c r="D14" i="76"/>
  <c r="B14" i="76"/>
  <c r="Z13" i="76"/>
  <c r="X13" i="76"/>
  <c r="T13" i="76"/>
  <c r="T12" i="76" s="1"/>
  <c r="P13" i="76"/>
  <c r="N13" i="76"/>
  <c r="L13" i="76"/>
  <c r="H13" i="76"/>
  <c r="D13" i="76"/>
  <c r="D12" i="76" s="1"/>
  <c r="B13" i="76"/>
  <c r="P12" i="76"/>
  <c r="R50" i="76" s="1"/>
  <c r="D6" i="76"/>
  <c r="D4" i="76"/>
  <c r="X31" i="75"/>
  <c r="Z31" i="75" s="1"/>
  <c r="N31" i="75"/>
  <c r="L31" i="75"/>
  <c r="Z27" i="75"/>
  <c r="T27" i="75"/>
  <c r="P27" i="75"/>
  <c r="X27" i="75" s="1"/>
  <c r="N27" i="75"/>
  <c r="L27" i="75"/>
  <c r="H27" i="75"/>
  <c r="D27" i="75"/>
  <c r="X25" i="75"/>
  <c r="T25" i="75"/>
  <c r="Z25" i="75" s="1"/>
  <c r="P25" i="75"/>
  <c r="H25" i="75"/>
  <c r="N25" i="75" s="1"/>
  <c r="D25" i="75"/>
  <c r="P23" i="75"/>
  <c r="X21" i="75"/>
  <c r="Z21" i="75" s="1"/>
  <c r="N21" i="75"/>
  <c r="L21" i="75"/>
  <c r="B21" i="75"/>
  <c r="Z20" i="75"/>
  <c r="X20" i="75"/>
  <c r="L20" i="75"/>
  <c r="N20" i="75" s="1"/>
  <c r="B20" i="75"/>
  <c r="Z19" i="75"/>
  <c r="X19" i="75"/>
  <c r="N19" i="75"/>
  <c r="L19" i="75"/>
  <c r="B19" i="75"/>
  <c r="T18" i="75"/>
  <c r="P18" i="75"/>
  <c r="N18" i="75"/>
  <c r="H18" i="75"/>
  <c r="D18" i="75"/>
  <c r="L18" i="75" s="1"/>
  <c r="T16" i="75"/>
  <c r="P16" i="75"/>
  <c r="H16" i="75"/>
  <c r="N16" i="75" s="1"/>
  <c r="D16" i="75"/>
  <c r="L16" i="75" s="1"/>
  <c r="B16" i="75"/>
  <c r="X15" i="75"/>
  <c r="T15" i="75"/>
  <c r="P15" i="75"/>
  <c r="H15" i="75"/>
  <c r="D15" i="75"/>
  <c r="B15" i="75"/>
  <c r="Z14" i="75"/>
  <c r="X14" i="75"/>
  <c r="T14" i="75"/>
  <c r="P14" i="75"/>
  <c r="L14" i="75"/>
  <c r="N14" i="75" s="1"/>
  <c r="H14" i="75"/>
  <c r="D14" i="75"/>
  <c r="B14" i="75"/>
  <c r="Z13" i="75"/>
  <c r="T13" i="75"/>
  <c r="T12" i="75" s="1"/>
  <c r="P13" i="75"/>
  <c r="X13" i="75" s="1"/>
  <c r="N13" i="75"/>
  <c r="H13" i="75"/>
  <c r="D13" i="75"/>
  <c r="B13" i="75"/>
  <c r="P12" i="75"/>
  <c r="R31" i="75" s="1"/>
  <c r="H12" i="75"/>
  <c r="D6" i="75"/>
  <c r="D4" i="75"/>
  <c r="J48" i="74"/>
  <c r="Z46" i="74"/>
  <c r="X46" i="74"/>
  <c r="N46" i="74"/>
  <c r="L46" i="74"/>
  <c r="R44" i="74"/>
  <c r="Z42" i="74"/>
  <c r="X42" i="74"/>
  <c r="T42" i="74"/>
  <c r="P42" i="74"/>
  <c r="J42" i="74"/>
  <c r="H42" i="74"/>
  <c r="N42" i="74" s="1"/>
  <c r="D42" i="74"/>
  <c r="L42" i="74" s="1"/>
  <c r="X40" i="74"/>
  <c r="Z40" i="74" s="1"/>
  <c r="N40" i="74"/>
  <c r="L40" i="74"/>
  <c r="B40" i="74"/>
  <c r="T39" i="74"/>
  <c r="P39" i="74"/>
  <c r="X39" i="74" s="1"/>
  <c r="J39" i="74"/>
  <c r="H39" i="74"/>
  <c r="D39" i="74"/>
  <c r="L39" i="74" s="1"/>
  <c r="N39" i="74" s="1"/>
  <c r="B39" i="74"/>
  <c r="X38" i="74"/>
  <c r="Z38" i="74" s="1"/>
  <c r="N38" i="74"/>
  <c r="L38" i="74"/>
  <c r="J38" i="74"/>
  <c r="B38" i="74"/>
  <c r="T37" i="74"/>
  <c r="P37" i="74"/>
  <c r="X37" i="74" s="1"/>
  <c r="Z37" i="74" s="1"/>
  <c r="N37" i="74"/>
  <c r="L37" i="74"/>
  <c r="H37" i="74"/>
  <c r="D37" i="74"/>
  <c r="B37" i="74"/>
  <c r="Z36" i="74"/>
  <c r="X36" i="74"/>
  <c r="N36" i="74"/>
  <c r="L36" i="74"/>
  <c r="B36" i="74"/>
  <c r="T35" i="74"/>
  <c r="X35" i="74" s="1"/>
  <c r="Z35" i="74" s="1"/>
  <c r="P35" i="74"/>
  <c r="L35" i="74"/>
  <c r="J35" i="74"/>
  <c r="H35" i="74"/>
  <c r="N35" i="74" s="1"/>
  <c r="D35" i="74"/>
  <c r="B35" i="74"/>
  <c r="Z34" i="74"/>
  <c r="X34" i="74"/>
  <c r="N34" i="74"/>
  <c r="L34" i="74"/>
  <c r="B34" i="74"/>
  <c r="X33" i="74"/>
  <c r="Z33" i="74" s="1"/>
  <c r="N33" i="74"/>
  <c r="L33" i="74"/>
  <c r="J33" i="74"/>
  <c r="B33" i="74"/>
  <c r="Z32" i="74"/>
  <c r="X32" i="74"/>
  <c r="T32" i="74"/>
  <c r="P32" i="74"/>
  <c r="J32" i="74"/>
  <c r="H32" i="74"/>
  <c r="N32" i="74" s="1"/>
  <c r="D32" i="74"/>
  <c r="L32" i="74" s="1"/>
  <c r="B32" i="74"/>
  <c r="Z31" i="74"/>
  <c r="X31" i="74"/>
  <c r="R31" i="74"/>
  <c r="N31" i="74"/>
  <c r="L31" i="74"/>
  <c r="B31" i="74"/>
  <c r="V30" i="74"/>
  <c r="T30" i="74"/>
  <c r="P30" i="74"/>
  <c r="X30" i="74" s="1"/>
  <c r="H30" i="74"/>
  <c r="F30" i="74"/>
  <c r="D30" i="74"/>
  <c r="L30" i="74" s="1"/>
  <c r="N30" i="74" s="1"/>
  <c r="B30" i="74"/>
  <c r="Z29" i="74"/>
  <c r="X29" i="74"/>
  <c r="L29" i="74"/>
  <c r="N29" i="74" s="1"/>
  <c r="J29" i="74"/>
  <c r="B29" i="74"/>
  <c r="T28" i="74"/>
  <c r="R28" i="74"/>
  <c r="P28" i="74"/>
  <c r="X28" i="74" s="1"/>
  <c r="Z28" i="74" s="1"/>
  <c r="H28" i="74"/>
  <c r="D28" i="74"/>
  <c r="B28" i="74"/>
  <c r="Z27" i="74"/>
  <c r="X27" i="74"/>
  <c r="N27" i="74"/>
  <c r="L27" i="74"/>
  <c r="F27" i="74"/>
  <c r="B27" i="74"/>
  <c r="T26" i="74"/>
  <c r="P26" i="74"/>
  <c r="N26" i="74"/>
  <c r="L26" i="74"/>
  <c r="H26" i="74"/>
  <c r="D26" i="74"/>
  <c r="B26" i="74"/>
  <c r="X25" i="74"/>
  <c r="Z25" i="74" s="1"/>
  <c r="N25" i="74"/>
  <c r="L25" i="74"/>
  <c r="J25" i="74"/>
  <c r="B25" i="74"/>
  <c r="Z24" i="74"/>
  <c r="X24" i="74"/>
  <c r="N24" i="74"/>
  <c r="L24" i="74"/>
  <c r="B24" i="74"/>
  <c r="Z23" i="74"/>
  <c r="X23" i="74"/>
  <c r="N23" i="74"/>
  <c r="L23" i="74"/>
  <c r="F23" i="74"/>
  <c r="B23" i="74"/>
  <c r="X22" i="74"/>
  <c r="Z22" i="74" s="1"/>
  <c r="N22" i="74"/>
  <c r="L22" i="74"/>
  <c r="J22" i="74"/>
  <c r="B22" i="74"/>
  <c r="Z21" i="74"/>
  <c r="X21" i="74"/>
  <c r="N21" i="74"/>
  <c r="L21" i="74"/>
  <c r="J21" i="74"/>
  <c r="B21" i="74"/>
  <c r="T20" i="74"/>
  <c r="R20" i="74"/>
  <c r="P20" i="74"/>
  <c r="X20" i="74" s="1"/>
  <c r="Z20" i="74" s="1"/>
  <c r="H20" i="74"/>
  <c r="N20" i="74" s="1"/>
  <c r="D20" i="74"/>
  <c r="B20" i="74"/>
  <c r="T19" i="74"/>
  <c r="P19" i="74"/>
  <c r="X19" i="74" s="1"/>
  <c r="Z19" i="74" s="1"/>
  <c r="L19" i="74"/>
  <c r="J19" i="74"/>
  <c r="H19" i="74"/>
  <c r="D19" i="74"/>
  <c r="J17" i="74"/>
  <c r="D17" i="74"/>
  <c r="Z15" i="74"/>
  <c r="X15" i="74"/>
  <c r="N15" i="74"/>
  <c r="L15" i="74"/>
  <c r="F15" i="74"/>
  <c r="B15" i="74"/>
  <c r="T14" i="74"/>
  <c r="P14" i="74"/>
  <c r="N14" i="74"/>
  <c r="L14" i="74"/>
  <c r="H14" i="74"/>
  <c r="D14" i="74"/>
  <c r="T12" i="74"/>
  <c r="T17" i="74" s="1"/>
  <c r="P12" i="74"/>
  <c r="H12" i="74"/>
  <c r="J46" i="74" s="1"/>
  <c r="D12" i="74"/>
  <c r="F38" i="74" s="1"/>
  <c r="D6" i="74"/>
  <c r="D4" i="74"/>
  <c r="X68" i="73"/>
  <c r="Z68" i="73" s="1"/>
  <c r="L68" i="73"/>
  <c r="N68" i="73" s="1"/>
  <c r="Z64" i="73"/>
  <c r="X64" i="73"/>
  <c r="T64" i="73"/>
  <c r="P64" i="73"/>
  <c r="H64" i="73"/>
  <c r="D64" i="73"/>
  <c r="Z62" i="73"/>
  <c r="X62" i="73"/>
  <c r="L62" i="73"/>
  <c r="N62" i="73" s="1"/>
  <c r="B62" i="73"/>
  <c r="Z61" i="73"/>
  <c r="T61" i="73"/>
  <c r="X61" i="73" s="1"/>
  <c r="P61" i="73"/>
  <c r="L61" i="73"/>
  <c r="H61" i="73"/>
  <c r="N61" i="73" s="1"/>
  <c r="D61" i="73"/>
  <c r="B61" i="73"/>
  <c r="Z60" i="73"/>
  <c r="X60" i="73"/>
  <c r="L60" i="73"/>
  <c r="N60" i="73" s="1"/>
  <c r="B60" i="73"/>
  <c r="X59" i="73"/>
  <c r="T59" i="73"/>
  <c r="P59" i="73"/>
  <c r="N59" i="73"/>
  <c r="H59" i="73"/>
  <c r="D59" i="73"/>
  <c r="L59" i="73" s="1"/>
  <c r="B59" i="73"/>
  <c r="X58" i="73"/>
  <c r="Z58" i="73" s="1"/>
  <c r="N58" i="73"/>
  <c r="L58" i="73"/>
  <c r="B58" i="73"/>
  <c r="Z57" i="73"/>
  <c r="X57" i="73"/>
  <c r="N57" i="73"/>
  <c r="L57" i="73"/>
  <c r="B57" i="73"/>
  <c r="Z56" i="73"/>
  <c r="X56" i="73"/>
  <c r="N56" i="73"/>
  <c r="L56" i="73"/>
  <c r="B56" i="73"/>
  <c r="X55" i="73"/>
  <c r="Z55" i="73" s="1"/>
  <c r="N55" i="73"/>
  <c r="L55" i="73"/>
  <c r="B55" i="73"/>
  <c r="Z54" i="73"/>
  <c r="X54" i="73"/>
  <c r="N54" i="73"/>
  <c r="L54" i="73"/>
  <c r="B54" i="73"/>
  <c r="Z53" i="73"/>
  <c r="T53" i="73"/>
  <c r="P53" i="73"/>
  <c r="X53" i="73" s="1"/>
  <c r="L53" i="73"/>
  <c r="H53" i="73"/>
  <c r="N53" i="73" s="1"/>
  <c r="D53" i="73"/>
  <c r="B53" i="73"/>
  <c r="Z52" i="73"/>
  <c r="X52" i="73"/>
  <c r="N52" i="73"/>
  <c r="L52" i="73"/>
  <c r="B52" i="73"/>
  <c r="X51" i="73"/>
  <c r="Z51" i="73" s="1"/>
  <c r="N51" i="73"/>
  <c r="L51" i="73"/>
  <c r="B51" i="73"/>
  <c r="X50" i="73"/>
  <c r="Z50" i="73" s="1"/>
  <c r="T50" i="73"/>
  <c r="P50" i="73"/>
  <c r="H50" i="73"/>
  <c r="N50" i="73" s="1"/>
  <c r="D50" i="73"/>
  <c r="L50" i="73" s="1"/>
  <c r="B50" i="73"/>
  <c r="Z49" i="73"/>
  <c r="X49" i="73"/>
  <c r="N49" i="73"/>
  <c r="L49" i="73"/>
  <c r="B49" i="73"/>
  <c r="T48" i="73"/>
  <c r="P48" i="73"/>
  <c r="N48" i="73"/>
  <c r="L48" i="73"/>
  <c r="H48" i="73"/>
  <c r="D48" i="73"/>
  <c r="B48" i="73"/>
  <c r="X47" i="73"/>
  <c r="Z47" i="73" s="1"/>
  <c r="N47" i="73"/>
  <c r="L47" i="73"/>
  <c r="B47" i="73"/>
  <c r="X46" i="73"/>
  <c r="Z46" i="73" s="1"/>
  <c r="L46" i="73"/>
  <c r="N46" i="73" s="1"/>
  <c r="B46" i="73"/>
  <c r="Z45" i="73"/>
  <c r="T45" i="73"/>
  <c r="P45" i="73"/>
  <c r="X45" i="73" s="1"/>
  <c r="H45" i="73"/>
  <c r="D45" i="73"/>
  <c r="L45" i="73" s="1"/>
  <c r="N45" i="73" s="1"/>
  <c r="B45" i="73"/>
  <c r="X44" i="73"/>
  <c r="Z44" i="73" s="1"/>
  <c r="N44" i="73"/>
  <c r="L44" i="73"/>
  <c r="B44" i="73"/>
  <c r="T43" i="73"/>
  <c r="P43" i="73"/>
  <c r="X43" i="73" s="1"/>
  <c r="Z43" i="73" s="1"/>
  <c r="N43" i="73"/>
  <c r="H43" i="73"/>
  <c r="L43" i="73" s="1"/>
  <c r="D43" i="73"/>
  <c r="B43" i="73"/>
  <c r="X42" i="73"/>
  <c r="Z42" i="73" s="1"/>
  <c r="L42" i="73"/>
  <c r="N42" i="73" s="1"/>
  <c r="B42" i="73"/>
  <c r="Z41" i="73"/>
  <c r="T41" i="73"/>
  <c r="X41" i="73" s="1"/>
  <c r="P41" i="73"/>
  <c r="L41" i="73"/>
  <c r="H41" i="73"/>
  <c r="N41" i="73" s="1"/>
  <c r="D41" i="73"/>
  <c r="B41" i="73"/>
  <c r="Z40" i="73"/>
  <c r="X40" i="73"/>
  <c r="N40" i="73"/>
  <c r="L40" i="73"/>
  <c r="B40" i="73"/>
  <c r="X39" i="73"/>
  <c r="T39" i="73"/>
  <c r="Z39" i="73" s="1"/>
  <c r="P39" i="73"/>
  <c r="N39" i="73"/>
  <c r="H39" i="73"/>
  <c r="D39" i="73"/>
  <c r="L39" i="73" s="1"/>
  <c r="B39" i="73"/>
  <c r="X38" i="73"/>
  <c r="Z38" i="73" s="1"/>
  <c r="N38" i="73"/>
  <c r="L38" i="73"/>
  <c r="B38" i="73"/>
  <c r="T37" i="73"/>
  <c r="P37" i="73"/>
  <c r="N37" i="73"/>
  <c r="H37" i="73"/>
  <c r="D37" i="73"/>
  <c r="L37" i="73" s="1"/>
  <c r="B37" i="73"/>
  <c r="Z36" i="73"/>
  <c r="X36" i="73"/>
  <c r="N36" i="73"/>
  <c r="L36" i="73"/>
  <c r="B36" i="73"/>
  <c r="X35" i="73"/>
  <c r="Z35" i="73" s="1"/>
  <c r="N35" i="73"/>
  <c r="L35" i="73"/>
  <c r="B35" i="73"/>
  <c r="Z34" i="73"/>
  <c r="X34" i="73"/>
  <c r="N34" i="73"/>
  <c r="L34" i="73"/>
  <c r="B34" i="73"/>
  <c r="Z33" i="73"/>
  <c r="X33" i="73"/>
  <c r="N33" i="73"/>
  <c r="L33" i="73"/>
  <c r="B33" i="73"/>
  <c r="T32" i="73"/>
  <c r="P32" i="73"/>
  <c r="X32" i="73" s="1"/>
  <c r="N32" i="73"/>
  <c r="H32" i="73"/>
  <c r="D32" i="73"/>
  <c r="L32" i="73" s="1"/>
  <c r="B32" i="73"/>
  <c r="X31" i="73"/>
  <c r="Z31" i="73" s="1"/>
  <c r="N31" i="73"/>
  <c r="L31" i="73"/>
  <c r="B31" i="73"/>
  <c r="X30" i="73"/>
  <c r="Z30" i="73" s="1"/>
  <c r="N30" i="73"/>
  <c r="L30" i="73"/>
  <c r="B30" i="73"/>
  <c r="Z29" i="73"/>
  <c r="X29" i="73"/>
  <c r="N29" i="73"/>
  <c r="L29" i="73"/>
  <c r="B29" i="73"/>
  <c r="Z28" i="73"/>
  <c r="X28" i="73"/>
  <c r="N28" i="73"/>
  <c r="L28" i="73"/>
  <c r="B28" i="73"/>
  <c r="X27" i="73"/>
  <c r="Z27" i="73" s="1"/>
  <c r="N27" i="73"/>
  <c r="L27" i="73"/>
  <c r="B27" i="73"/>
  <c r="Z26" i="73"/>
  <c r="X26" i="73"/>
  <c r="L26" i="73"/>
  <c r="N26" i="73" s="1"/>
  <c r="B26" i="73"/>
  <c r="Z25" i="73"/>
  <c r="X25" i="73"/>
  <c r="N25" i="73"/>
  <c r="L25" i="73"/>
  <c r="B25" i="73"/>
  <c r="X24" i="73"/>
  <c r="Z24" i="73" s="1"/>
  <c r="N24" i="73"/>
  <c r="L24" i="73"/>
  <c r="B24" i="73"/>
  <c r="T23" i="73"/>
  <c r="P23" i="73"/>
  <c r="X23" i="73" s="1"/>
  <c r="Z23" i="73" s="1"/>
  <c r="L23" i="73"/>
  <c r="N23" i="73" s="1"/>
  <c r="H23" i="73"/>
  <c r="D23" i="73"/>
  <c r="B23" i="73"/>
  <c r="T22" i="73"/>
  <c r="P22" i="73"/>
  <c r="X22" i="73" s="1"/>
  <c r="Z22" i="73" s="1"/>
  <c r="H22" i="73"/>
  <c r="D22" i="73"/>
  <c r="L22" i="73" s="1"/>
  <c r="Z18" i="73"/>
  <c r="X18" i="73"/>
  <c r="N18" i="73"/>
  <c r="L18" i="73"/>
  <c r="B18" i="73"/>
  <c r="X17" i="73"/>
  <c r="Z17" i="73" s="1"/>
  <c r="N17" i="73"/>
  <c r="L17" i="73"/>
  <c r="B17" i="73"/>
  <c r="X16" i="73"/>
  <c r="Z16" i="73" s="1"/>
  <c r="T16" i="73"/>
  <c r="P16" i="73"/>
  <c r="H16" i="73"/>
  <c r="D16" i="73"/>
  <c r="L16" i="73" s="1"/>
  <c r="N16" i="73" s="1"/>
  <c r="T14" i="73"/>
  <c r="Z14" i="73" s="1"/>
  <c r="P14" i="73"/>
  <c r="X14" i="73" s="1"/>
  <c r="L14" i="73"/>
  <c r="H14" i="73"/>
  <c r="N14" i="73" s="1"/>
  <c r="D14" i="73"/>
  <c r="B14" i="73"/>
  <c r="T13" i="73"/>
  <c r="P13" i="73"/>
  <c r="N13" i="73"/>
  <c r="H13" i="73"/>
  <c r="H12" i="73" s="1"/>
  <c r="D13" i="73"/>
  <c r="L13" i="73" s="1"/>
  <c r="B13" i="73"/>
  <c r="P12" i="73"/>
  <c r="D6" i="73"/>
  <c r="D4" i="73"/>
  <c r="X98" i="71"/>
  <c r="Z98" i="71" s="1"/>
  <c r="N98" i="71"/>
  <c r="L98" i="71"/>
  <c r="T94" i="71"/>
  <c r="P94" i="71"/>
  <c r="X94" i="71" s="1"/>
  <c r="L94" i="71"/>
  <c r="N94" i="71" s="1"/>
  <c r="H94" i="71"/>
  <c r="D94" i="71"/>
  <c r="B94" i="71"/>
  <c r="Z93" i="71"/>
  <c r="T93" i="71"/>
  <c r="P93" i="71"/>
  <c r="X93" i="71" s="1"/>
  <c r="N93" i="71"/>
  <c r="H93" i="71"/>
  <c r="D93" i="71"/>
  <c r="L93" i="71" s="1"/>
  <c r="B93" i="71"/>
  <c r="T92" i="71"/>
  <c r="Z92" i="71" s="1"/>
  <c r="P92" i="71"/>
  <c r="X92" i="71" s="1"/>
  <c r="H92" i="71"/>
  <c r="D92" i="71"/>
  <c r="L92" i="71" s="1"/>
  <c r="B92" i="71"/>
  <c r="Z89" i="71"/>
  <c r="X89" i="71"/>
  <c r="N89" i="71"/>
  <c r="L89" i="71"/>
  <c r="B89" i="71"/>
  <c r="X88" i="71"/>
  <c r="T88" i="71"/>
  <c r="Z88" i="71" s="1"/>
  <c r="P88" i="71"/>
  <c r="H88" i="71"/>
  <c r="N88" i="71" s="1"/>
  <c r="D88" i="71"/>
  <c r="L88" i="71" s="1"/>
  <c r="B88" i="71"/>
  <c r="X87" i="71"/>
  <c r="Z87" i="71" s="1"/>
  <c r="N87" i="71"/>
  <c r="L87" i="71"/>
  <c r="B87" i="71"/>
  <c r="T86" i="71"/>
  <c r="Z86" i="71" s="1"/>
  <c r="P86" i="71"/>
  <c r="X86" i="71" s="1"/>
  <c r="H86" i="71"/>
  <c r="D86" i="71"/>
  <c r="L86" i="71" s="1"/>
  <c r="B86" i="71"/>
  <c r="Z85" i="71"/>
  <c r="X85" i="71"/>
  <c r="N85" i="71"/>
  <c r="L85" i="71"/>
  <c r="B85" i="71"/>
  <c r="Z84" i="71"/>
  <c r="X84" i="71"/>
  <c r="L84" i="71"/>
  <c r="N84" i="71" s="1"/>
  <c r="B84" i="71"/>
  <c r="X83" i="71"/>
  <c r="Z83" i="71" s="1"/>
  <c r="N83" i="71"/>
  <c r="L83" i="71"/>
  <c r="B83" i="71"/>
  <c r="T82" i="71"/>
  <c r="P82" i="71"/>
  <c r="X82" i="71" s="1"/>
  <c r="H82" i="71"/>
  <c r="N82" i="71" s="1"/>
  <c r="D82" i="71"/>
  <c r="L82" i="71" s="1"/>
  <c r="B82" i="71"/>
  <c r="Z81" i="71"/>
  <c r="X81" i="71"/>
  <c r="N81" i="71"/>
  <c r="L81" i="71"/>
  <c r="B81" i="71"/>
  <c r="T80" i="71"/>
  <c r="Z80" i="71" s="1"/>
  <c r="P80" i="71"/>
  <c r="X80" i="71" s="1"/>
  <c r="L80" i="71"/>
  <c r="N80" i="71" s="1"/>
  <c r="H80" i="71"/>
  <c r="D80" i="71"/>
  <c r="B80" i="71"/>
  <c r="Z79" i="71"/>
  <c r="X79" i="71"/>
  <c r="N79" i="71"/>
  <c r="L79" i="71"/>
  <c r="B79" i="71"/>
  <c r="X78" i="71"/>
  <c r="Z78" i="71" s="1"/>
  <c r="T78" i="71"/>
  <c r="P78" i="71"/>
  <c r="L78" i="71"/>
  <c r="H78" i="71"/>
  <c r="N78" i="71" s="1"/>
  <c r="D78" i="71"/>
  <c r="B78" i="71"/>
  <c r="Z77" i="71"/>
  <c r="X77" i="71"/>
  <c r="N77" i="71"/>
  <c r="L77" i="71"/>
  <c r="B77" i="71"/>
  <c r="X76" i="71"/>
  <c r="Z76" i="71" s="1"/>
  <c r="N76" i="71"/>
  <c r="L76" i="71"/>
  <c r="B76" i="71"/>
  <c r="T75" i="71"/>
  <c r="P75" i="71"/>
  <c r="X75" i="71" s="1"/>
  <c r="Z75" i="71" s="1"/>
  <c r="H75" i="71"/>
  <c r="D75" i="71"/>
  <c r="L75" i="71" s="1"/>
  <c r="N75" i="71" s="1"/>
  <c r="B75" i="71"/>
  <c r="Z74" i="71"/>
  <c r="X74" i="71"/>
  <c r="N74" i="71"/>
  <c r="L74" i="71"/>
  <c r="B74" i="71"/>
  <c r="Z73" i="71"/>
  <c r="T73" i="71"/>
  <c r="P73" i="71"/>
  <c r="X73" i="71" s="1"/>
  <c r="N73" i="71"/>
  <c r="L73" i="71"/>
  <c r="H73" i="71"/>
  <c r="D73" i="71"/>
  <c r="B73" i="71"/>
  <c r="Z72" i="71"/>
  <c r="X72" i="71"/>
  <c r="L72" i="71"/>
  <c r="N72" i="71" s="1"/>
  <c r="B72" i="71"/>
  <c r="X71" i="71"/>
  <c r="Z71" i="71" s="1"/>
  <c r="T71" i="71"/>
  <c r="P71" i="71"/>
  <c r="N71" i="71"/>
  <c r="L71" i="71"/>
  <c r="H71" i="71"/>
  <c r="D71" i="71"/>
  <c r="B71" i="71"/>
  <c r="X70" i="71"/>
  <c r="Z70" i="71" s="1"/>
  <c r="N70" i="71"/>
  <c r="L70" i="71"/>
  <c r="B70" i="71"/>
  <c r="Z69" i="71"/>
  <c r="X69" i="71"/>
  <c r="T69" i="71"/>
  <c r="P69" i="71"/>
  <c r="N69" i="71"/>
  <c r="H69" i="71"/>
  <c r="D69" i="71"/>
  <c r="L69" i="71" s="1"/>
  <c r="B69" i="71"/>
  <c r="Z68" i="71"/>
  <c r="X68" i="71"/>
  <c r="N68" i="71"/>
  <c r="L68" i="71"/>
  <c r="B68" i="71"/>
  <c r="Z67" i="71"/>
  <c r="X67" i="71"/>
  <c r="L67" i="71"/>
  <c r="N67" i="71" s="1"/>
  <c r="B67" i="71"/>
  <c r="Z66" i="71"/>
  <c r="X66" i="71"/>
  <c r="N66" i="71"/>
  <c r="L66" i="71"/>
  <c r="B66" i="71"/>
  <c r="Z65" i="71"/>
  <c r="X65" i="71"/>
  <c r="N65" i="71"/>
  <c r="L65" i="71"/>
  <c r="B65" i="71"/>
  <c r="Z64" i="71"/>
  <c r="X64" i="71"/>
  <c r="L64" i="71"/>
  <c r="N64" i="71" s="1"/>
  <c r="B64" i="71"/>
  <c r="T63" i="71"/>
  <c r="Z63" i="71" s="1"/>
  <c r="P63" i="71"/>
  <c r="X63" i="71" s="1"/>
  <c r="N63" i="71"/>
  <c r="L63" i="71"/>
  <c r="H63" i="71"/>
  <c r="D63" i="71"/>
  <c r="B63" i="71"/>
  <c r="X62" i="71"/>
  <c r="Z62" i="71" s="1"/>
  <c r="L62" i="71"/>
  <c r="N62" i="71" s="1"/>
  <c r="B62" i="71"/>
  <c r="Z61" i="71"/>
  <c r="X61" i="71"/>
  <c r="N61" i="71"/>
  <c r="L61" i="71"/>
  <c r="B61" i="71"/>
  <c r="Z60" i="71"/>
  <c r="X60" i="71"/>
  <c r="L60" i="71"/>
  <c r="N60" i="71" s="1"/>
  <c r="B60" i="71"/>
  <c r="X59" i="71"/>
  <c r="Z59" i="71" s="1"/>
  <c r="N59" i="71"/>
  <c r="L59" i="71"/>
  <c r="B59" i="71"/>
  <c r="X58" i="71"/>
  <c r="Z58" i="71" s="1"/>
  <c r="L58" i="71"/>
  <c r="N58" i="71" s="1"/>
  <c r="B58" i="71"/>
  <c r="Z57" i="71"/>
  <c r="X57" i="71"/>
  <c r="N57" i="71"/>
  <c r="L57" i="71"/>
  <c r="B57" i="71"/>
  <c r="X56" i="71"/>
  <c r="Z56" i="71" s="1"/>
  <c r="N56" i="71"/>
  <c r="L56" i="71"/>
  <c r="B56" i="71"/>
  <c r="Z55" i="71"/>
  <c r="X55" i="71"/>
  <c r="L55" i="71"/>
  <c r="N55" i="71" s="1"/>
  <c r="B55" i="71"/>
  <c r="X54" i="71"/>
  <c r="Z54" i="71" s="1"/>
  <c r="L54" i="71"/>
  <c r="N54" i="71" s="1"/>
  <c r="B54" i="71"/>
  <c r="Z53" i="71"/>
  <c r="X53" i="71"/>
  <c r="T53" i="71"/>
  <c r="P53" i="71"/>
  <c r="H53" i="71"/>
  <c r="D53" i="71"/>
  <c r="L53" i="71" s="1"/>
  <c r="N53" i="71" s="1"/>
  <c r="B53" i="71"/>
  <c r="T52" i="71"/>
  <c r="P52" i="71"/>
  <c r="H52" i="71"/>
  <c r="D52" i="71"/>
  <c r="L52" i="71" s="1"/>
  <c r="X48" i="71"/>
  <c r="Z48" i="71" s="1"/>
  <c r="N48" i="71"/>
  <c r="L48" i="71"/>
  <c r="B48" i="71"/>
  <c r="Z47" i="71"/>
  <c r="X47" i="71"/>
  <c r="L47" i="71"/>
  <c r="N47" i="71" s="1"/>
  <c r="B47" i="71"/>
  <c r="X46" i="71"/>
  <c r="Z46" i="71" s="1"/>
  <c r="N46" i="71"/>
  <c r="L46" i="71"/>
  <c r="B46" i="71"/>
  <c r="Z45" i="71"/>
  <c r="X45" i="71"/>
  <c r="N45" i="71"/>
  <c r="L45" i="71"/>
  <c r="B45" i="71"/>
  <c r="Z44" i="71"/>
  <c r="X44" i="71"/>
  <c r="N44" i="71"/>
  <c r="L44" i="71"/>
  <c r="B44" i="71"/>
  <c r="X43" i="71"/>
  <c r="Z43" i="71" s="1"/>
  <c r="N43" i="71"/>
  <c r="L43" i="71"/>
  <c r="B43" i="71"/>
  <c r="X42" i="71"/>
  <c r="Z42" i="71" s="1"/>
  <c r="L42" i="71"/>
  <c r="N42" i="71" s="1"/>
  <c r="B42" i="71"/>
  <c r="Z41" i="71"/>
  <c r="X41" i="71"/>
  <c r="N41" i="71"/>
  <c r="L41" i="71"/>
  <c r="B41" i="71"/>
  <c r="X40" i="71"/>
  <c r="Z40" i="71" s="1"/>
  <c r="N40" i="71"/>
  <c r="L40" i="71"/>
  <c r="B40" i="71"/>
  <c r="Z39" i="71"/>
  <c r="X39" i="71"/>
  <c r="L39" i="71"/>
  <c r="N39" i="71" s="1"/>
  <c r="B39" i="71"/>
  <c r="X38" i="71"/>
  <c r="Z38" i="71" s="1"/>
  <c r="L38" i="71"/>
  <c r="N38" i="71" s="1"/>
  <c r="B38" i="71"/>
  <c r="Z37" i="71"/>
  <c r="X37" i="71"/>
  <c r="N37" i="71"/>
  <c r="L37" i="71"/>
  <c r="B37" i="71"/>
  <c r="Z36" i="71"/>
  <c r="X36" i="71"/>
  <c r="N36" i="71"/>
  <c r="L36" i="71"/>
  <c r="B36" i="71"/>
  <c r="T35" i="71"/>
  <c r="P35" i="71"/>
  <c r="X35" i="71" s="1"/>
  <c r="Z35" i="71" s="1"/>
  <c r="N35" i="71"/>
  <c r="L35" i="71"/>
  <c r="H35" i="71"/>
  <c r="D35" i="71"/>
  <c r="T33" i="71"/>
  <c r="Z33" i="71" s="1"/>
  <c r="P33" i="71"/>
  <c r="X33" i="71" s="1"/>
  <c r="H33" i="71"/>
  <c r="N33" i="71" s="1"/>
  <c r="D33" i="71"/>
  <c r="B33" i="71"/>
  <c r="X32" i="71"/>
  <c r="T32" i="71"/>
  <c r="Z32" i="71" s="1"/>
  <c r="P32" i="71"/>
  <c r="N32" i="71"/>
  <c r="H32" i="71"/>
  <c r="D32" i="71"/>
  <c r="L32" i="71" s="1"/>
  <c r="B32" i="71"/>
  <c r="Z31" i="71"/>
  <c r="X31" i="71"/>
  <c r="T31" i="71"/>
  <c r="P31" i="71"/>
  <c r="H31" i="71"/>
  <c r="N31" i="71" s="1"/>
  <c r="D31" i="71"/>
  <c r="L31" i="71" s="1"/>
  <c r="B31" i="71"/>
  <c r="T30" i="71"/>
  <c r="P30" i="71"/>
  <c r="X30" i="71" s="1"/>
  <c r="Z30" i="71" s="1"/>
  <c r="H30" i="71"/>
  <c r="D30" i="71"/>
  <c r="L30" i="71" s="1"/>
  <c r="B30" i="71"/>
  <c r="T29" i="71"/>
  <c r="P29" i="71"/>
  <c r="H29" i="71"/>
  <c r="N29" i="71" s="1"/>
  <c r="D29" i="71"/>
  <c r="L29" i="71" s="1"/>
  <c r="B29" i="71"/>
  <c r="T28" i="71"/>
  <c r="P28" i="71"/>
  <c r="X28" i="71" s="1"/>
  <c r="Z28" i="71" s="1"/>
  <c r="L28" i="71"/>
  <c r="H28" i="71"/>
  <c r="N28" i="71" s="1"/>
  <c r="D28" i="71"/>
  <c r="B28" i="71"/>
  <c r="T27" i="71"/>
  <c r="Z27" i="71" s="1"/>
  <c r="P27" i="71"/>
  <c r="X27" i="71" s="1"/>
  <c r="N27" i="71"/>
  <c r="L27" i="71"/>
  <c r="H27" i="71"/>
  <c r="D27" i="71"/>
  <c r="B27" i="71"/>
  <c r="T26" i="71"/>
  <c r="Z26" i="71" s="1"/>
  <c r="P26" i="71"/>
  <c r="X26" i="71" s="1"/>
  <c r="N26" i="71"/>
  <c r="H26" i="71"/>
  <c r="D26" i="71"/>
  <c r="L26" i="71" s="1"/>
  <c r="B26" i="71"/>
  <c r="T25" i="71"/>
  <c r="Z25" i="71" s="1"/>
  <c r="P25" i="71"/>
  <c r="X25" i="71" s="1"/>
  <c r="H25" i="71"/>
  <c r="N25" i="71" s="1"/>
  <c r="D25" i="71"/>
  <c r="L25" i="71" s="1"/>
  <c r="B25" i="71"/>
  <c r="X24" i="71"/>
  <c r="T24" i="71"/>
  <c r="Z24" i="71" s="1"/>
  <c r="P24" i="71"/>
  <c r="H24" i="71"/>
  <c r="D24" i="71"/>
  <c r="L24" i="71" s="1"/>
  <c r="N24" i="71" s="1"/>
  <c r="B24" i="71"/>
  <c r="Z23" i="71"/>
  <c r="X23" i="71"/>
  <c r="T23" i="71"/>
  <c r="P23" i="71"/>
  <c r="H23" i="71"/>
  <c r="N23" i="71" s="1"/>
  <c r="D23" i="71"/>
  <c r="L23" i="71" s="1"/>
  <c r="B23" i="71"/>
  <c r="T22" i="71"/>
  <c r="P22" i="71"/>
  <c r="X22" i="71" s="1"/>
  <c r="Z22" i="71" s="1"/>
  <c r="H22" i="71"/>
  <c r="D22" i="71"/>
  <c r="L22" i="71" s="1"/>
  <c r="B22" i="71"/>
  <c r="T21" i="71"/>
  <c r="P21" i="71"/>
  <c r="H21" i="71"/>
  <c r="D21" i="71"/>
  <c r="L21" i="71" s="1"/>
  <c r="B21" i="71"/>
  <c r="T20" i="71"/>
  <c r="P20" i="71"/>
  <c r="X20" i="71" s="1"/>
  <c r="Z20" i="71" s="1"/>
  <c r="L20" i="71"/>
  <c r="H20" i="71"/>
  <c r="N20" i="71" s="1"/>
  <c r="D20" i="71"/>
  <c r="B20" i="71"/>
  <c r="T19" i="71"/>
  <c r="Z19" i="71" s="1"/>
  <c r="P19" i="71"/>
  <c r="X19" i="71" s="1"/>
  <c r="N19" i="71"/>
  <c r="L19" i="71"/>
  <c r="H19" i="71"/>
  <c r="D19" i="71"/>
  <c r="B19" i="71"/>
  <c r="T18" i="71"/>
  <c r="P18" i="71"/>
  <c r="X18" i="71" s="1"/>
  <c r="H18" i="71"/>
  <c r="D18" i="71"/>
  <c r="L18" i="71" s="1"/>
  <c r="N18" i="71" s="1"/>
  <c r="B18" i="71"/>
  <c r="T17" i="71"/>
  <c r="Z17" i="71" s="1"/>
  <c r="P17" i="71"/>
  <c r="X17" i="71" s="1"/>
  <c r="H17" i="71"/>
  <c r="D17" i="71"/>
  <c r="B17" i="71"/>
  <c r="X16" i="71"/>
  <c r="T16" i="71"/>
  <c r="Z16" i="71" s="1"/>
  <c r="P16" i="71"/>
  <c r="H16" i="71"/>
  <c r="D16" i="71"/>
  <c r="L16" i="71" s="1"/>
  <c r="N16" i="71" s="1"/>
  <c r="B16" i="71"/>
  <c r="Z15" i="71"/>
  <c r="X15" i="71"/>
  <c r="T15" i="71"/>
  <c r="P15" i="71"/>
  <c r="H15" i="71"/>
  <c r="D15" i="71"/>
  <c r="L15" i="71" s="1"/>
  <c r="B15" i="71"/>
  <c r="T14" i="71"/>
  <c r="P14" i="71"/>
  <c r="X14" i="71" s="1"/>
  <c r="Z14" i="71" s="1"/>
  <c r="H14" i="71"/>
  <c r="N14" i="71" s="1"/>
  <c r="D14" i="71"/>
  <c r="L14" i="71" s="1"/>
  <c r="B14" i="71"/>
  <c r="T13" i="71"/>
  <c r="P13" i="71"/>
  <c r="H13" i="71"/>
  <c r="D13" i="71"/>
  <c r="B13" i="71"/>
  <c r="D6" i="71"/>
  <c r="D4" i="71"/>
  <c r="X79" i="70"/>
  <c r="Z79" i="70" s="1"/>
  <c r="N79" i="70"/>
  <c r="L79" i="70"/>
  <c r="T75" i="70"/>
  <c r="Z75" i="70" s="1"/>
  <c r="P75" i="70"/>
  <c r="X75" i="70" s="1"/>
  <c r="L75" i="70"/>
  <c r="H75" i="70"/>
  <c r="N75" i="70" s="1"/>
  <c r="D75" i="70"/>
  <c r="D74" i="70" s="1"/>
  <c r="B75" i="70"/>
  <c r="Z72" i="70"/>
  <c r="X72" i="70"/>
  <c r="N72" i="70"/>
  <c r="L72" i="70"/>
  <c r="J72" i="70"/>
  <c r="B72" i="70"/>
  <c r="T71" i="70"/>
  <c r="P71" i="70"/>
  <c r="X71" i="70" s="1"/>
  <c r="H71" i="70"/>
  <c r="N71" i="70" s="1"/>
  <c r="D71" i="70"/>
  <c r="L71" i="70" s="1"/>
  <c r="B71" i="70"/>
  <c r="Z70" i="70"/>
  <c r="X70" i="70"/>
  <c r="N70" i="70"/>
  <c r="L70" i="70"/>
  <c r="B70" i="70"/>
  <c r="T69" i="70"/>
  <c r="Z69" i="70" s="1"/>
  <c r="P69" i="70"/>
  <c r="X69" i="70" s="1"/>
  <c r="L69" i="70"/>
  <c r="H69" i="70"/>
  <c r="N69" i="70" s="1"/>
  <c r="D69" i="70"/>
  <c r="B69" i="70"/>
  <c r="Z68" i="70"/>
  <c r="X68" i="70"/>
  <c r="N68" i="70"/>
  <c r="L68" i="70"/>
  <c r="B68" i="70"/>
  <c r="X67" i="70"/>
  <c r="Z67" i="70" s="1"/>
  <c r="N67" i="70"/>
  <c r="L67" i="70"/>
  <c r="B67" i="70"/>
  <c r="Z66" i="70"/>
  <c r="X66" i="70"/>
  <c r="N66" i="70"/>
  <c r="L66" i="70"/>
  <c r="B66" i="70"/>
  <c r="Z65" i="70"/>
  <c r="X65" i="70"/>
  <c r="N65" i="70"/>
  <c r="L65" i="70"/>
  <c r="B65" i="70"/>
  <c r="Z64" i="70"/>
  <c r="X64" i="70"/>
  <c r="N64" i="70"/>
  <c r="L64" i="70"/>
  <c r="B64" i="70"/>
  <c r="T63" i="70"/>
  <c r="P63" i="70"/>
  <c r="X63" i="70" s="1"/>
  <c r="H63" i="70"/>
  <c r="N63" i="70" s="1"/>
  <c r="D63" i="70"/>
  <c r="L63" i="70" s="1"/>
  <c r="B63" i="70"/>
  <c r="Z62" i="70"/>
  <c r="X62" i="70"/>
  <c r="N62" i="70"/>
  <c r="L62" i="70"/>
  <c r="J62" i="70"/>
  <c r="B62" i="70"/>
  <c r="T61" i="70"/>
  <c r="P61" i="70"/>
  <c r="X61" i="70" s="1"/>
  <c r="L61" i="70"/>
  <c r="H61" i="70"/>
  <c r="D61" i="70"/>
  <c r="B61" i="70"/>
  <c r="Z60" i="70"/>
  <c r="X60" i="70"/>
  <c r="N60" i="70"/>
  <c r="L60" i="70"/>
  <c r="B60" i="70"/>
  <c r="X59" i="70"/>
  <c r="Z59" i="70" s="1"/>
  <c r="L59" i="70"/>
  <c r="N59" i="70" s="1"/>
  <c r="B59" i="70"/>
  <c r="Z58" i="70"/>
  <c r="X58" i="70"/>
  <c r="N58" i="70"/>
  <c r="L58" i="70"/>
  <c r="B58" i="70"/>
  <c r="T57" i="70"/>
  <c r="Z57" i="70" s="1"/>
  <c r="P57" i="70"/>
  <c r="X57" i="70" s="1"/>
  <c r="L57" i="70"/>
  <c r="N57" i="70" s="1"/>
  <c r="H57" i="70"/>
  <c r="D57" i="70"/>
  <c r="B57" i="70"/>
  <c r="Z56" i="70"/>
  <c r="X56" i="70"/>
  <c r="N56" i="70"/>
  <c r="L56" i="70"/>
  <c r="B56" i="70"/>
  <c r="Z55" i="70"/>
  <c r="X55" i="70"/>
  <c r="T55" i="70"/>
  <c r="P55" i="70"/>
  <c r="L55" i="70"/>
  <c r="H55" i="70"/>
  <c r="N55" i="70" s="1"/>
  <c r="D55" i="70"/>
  <c r="B55" i="70"/>
  <c r="Z54" i="70"/>
  <c r="X54" i="70"/>
  <c r="N54" i="70"/>
  <c r="L54" i="70"/>
  <c r="B54" i="70"/>
  <c r="X53" i="70"/>
  <c r="Z53" i="70" s="1"/>
  <c r="N53" i="70"/>
  <c r="L53" i="70"/>
  <c r="B53" i="70"/>
  <c r="Z52" i="70"/>
  <c r="T52" i="70"/>
  <c r="X52" i="70" s="1"/>
  <c r="P52" i="70"/>
  <c r="H52" i="70"/>
  <c r="D52" i="70"/>
  <c r="L52" i="70" s="1"/>
  <c r="N52" i="70" s="1"/>
  <c r="B52" i="70"/>
  <c r="X51" i="70"/>
  <c r="Z51" i="70" s="1"/>
  <c r="L51" i="70"/>
  <c r="N51" i="70" s="1"/>
  <c r="B51" i="70"/>
  <c r="T50" i="70"/>
  <c r="P50" i="70"/>
  <c r="X50" i="70" s="1"/>
  <c r="Z50" i="70" s="1"/>
  <c r="H50" i="70"/>
  <c r="N50" i="70" s="1"/>
  <c r="D50" i="70"/>
  <c r="L50" i="70" s="1"/>
  <c r="B50" i="70"/>
  <c r="Z49" i="70"/>
  <c r="X49" i="70"/>
  <c r="N49" i="70"/>
  <c r="L49" i="70"/>
  <c r="B49" i="70"/>
  <c r="T48" i="70"/>
  <c r="Z48" i="70" s="1"/>
  <c r="P48" i="70"/>
  <c r="X48" i="70" s="1"/>
  <c r="N48" i="70"/>
  <c r="L48" i="70"/>
  <c r="H48" i="70"/>
  <c r="D48" i="70"/>
  <c r="B48" i="70"/>
  <c r="X47" i="70"/>
  <c r="Z47" i="70" s="1"/>
  <c r="L47" i="70"/>
  <c r="N47" i="70" s="1"/>
  <c r="B47" i="70"/>
  <c r="Z46" i="70"/>
  <c r="X46" i="70"/>
  <c r="T46" i="70"/>
  <c r="P46" i="70"/>
  <c r="H46" i="70"/>
  <c r="L46" i="70" s="1"/>
  <c r="N46" i="70" s="1"/>
  <c r="D46" i="70"/>
  <c r="B46" i="70"/>
  <c r="Z45" i="70"/>
  <c r="X45" i="70"/>
  <c r="N45" i="70"/>
  <c r="L45" i="70"/>
  <c r="B45" i="70"/>
  <c r="Z44" i="70"/>
  <c r="T44" i="70"/>
  <c r="X44" i="70" s="1"/>
  <c r="P44" i="70"/>
  <c r="N44" i="70"/>
  <c r="H44" i="70"/>
  <c r="D44" i="70"/>
  <c r="L44" i="70" s="1"/>
  <c r="B44" i="70"/>
  <c r="X43" i="70"/>
  <c r="Z43" i="70" s="1"/>
  <c r="L43" i="70"/>
  <c r="N43" i="70" s="1"/>
  <c r="B43" i="70"/>
  <c r="Z42" i="70"/>
  <c r="X42" i="70"/>
  <c r="N42" i="70"/>
  <c r="L42" i="70"/>
  <c r="B42" i="70"/>
  <c r="X41" i="70"/>
  <c r="Z41" i="70" s="1"/>
  <c r="N41" i="70"/>
  <c r="L41" i="70"/>
  <c r="B41" i="70"/>
  <c r="Z40" i="70"/>
  <c r="T40" i="70"/>
  <c r="P40" i="70"/>
  <c r="X40" i="70" s="1"/>
  <c r="J40" i="70"/>
  <c r="H40" i="70"/>
  <c r="D40" i="70"/>
  <c r="L40" i="70" s="1"/>
  <c r="N40" i="70" s="1"/>
  <c r="B40" i="70"/>
  <c r="X39" i="70"/>
  <c r="Z39" i="70" s="1"/>
  <c r="L39" i="70"/>
  <c r="N39" i="70" s="1"/>
  <c r="B39" i="70"/>
  <c r="Z38" i="70"/>
  <c r="X38" i="70"/>
  <c r="N38" i="70"/>
  <c r="L38" i="70"/>
  <c r="B38" i="70"/>
  <c r="X37" i="70"/>
  <c r="Z37" i="70" s="1"/>
  <c r="N37" i="70"/>
  <c r="L37" i="70"/>
  <c r="B37" i="70"/>
  <c r="Z36" i="70"/>
  <c r="X36" i="70"/>
  <c r="L36" i="70"/>
  <c r="N36" i="70" s="1"/>
  <c r="B36" i="70"/>
  <c r="X35" i="70"/>
  <c r="Z35" i="70" s="1"/>
  <c r="N35" i="70"/>
  <c r="L35" i="70"/>
  <c r="B35" i="70"/>
  <c r="Z34" i="70"/>
  <c r="X34" i="70"/>
  <c r="N34" i="70"/>
  <c r="L34" i="70"/>
  <c r="J34" i="70"/>
  <c r="B34" i="70"/>
  <c r="Z33" i="70"/>
  <c r="X33" i="70"/>
  <c r="L33" i="70"/>
  <c r="N33" i="70" s="1"/>
  <c r="B33" i="70"/>
  <c r="X32" i="70"/>
  <c r="Z32" i="70" s="1"/>
  <c r="N32" i="70"/>
  <c r="L32" i="70"/>
  <c r="J32" i="70"/>
  <c r="B32" i="70"/>
  <c r="T31" i="70"/>
  <c r="P31" i="70"/>
  <c r="X31" i="70" s="1"/>
  <c r="H31" i="70"/>
  <c r="D31" i="70"/>
  <c r="B31" i="70"/>
  <c r="Z30" i="70"/>
  <c r="T30" i="70"/>
  <c r="P30" i="70"/>
  <c r="X30" i="70" s="1"/>
  <c r="N30" i="70"/>
  <c r="H30" i="70"/>
  <c r="D30" i="70"/>
  <c r="L30" i="70" s="1"/>
  <c r="Z26" i="70"/>
  <c r="X26" i="70"/>
  <c r="N26" i="70"/>
  <c r="L26" i="70"/>
  <c r="B26" i="70"/>
  <c r="T25" i="70"/>
  <c r="Z25" i="70" s="1"/>
  <c r="P25" i="70"/>
  <c r="X25" i="70" s="1"/>
  <c r="N25" i="70"/>
  <c r="H25" i="70"/>
  <c r="D25" i="70"/>
  <c r="L25" i="70" s="1"/>
  <c r="T23" i="70"/>
  <c r="P23" i="70"/>
  <c r="X23" i="70" s="1"/>
  <c r="Z23" i="70" s="1"/>
  <c r="H23" i="70"/>
  <c r="D23" i="70"/>
  <c r="L23" i="70" s="1"/>
  <c r="N23" i="70" s="1"/>
  <c r="B23" i="70"/>
  <c r="T22" i="70"/>
  <c r="Z22" i="70" s="1"/>
  <c r="P22" i="70"/>
  <c r="H22" i="70"/>
  <c r="D22" i="70"/>
  <c r="B22" i="70"/>
  <c r="X21" i="70"/>
  <c r="T21" i="70"/>
  <c r="P21" i="70"/>
  <c r="L21" i="70"/>
  <c r="N21" i="70" s="1"/>
  <c r="H21" i="70"/>
  <c r="D21" i="70"/>
  <c r="B21" i="70"/>
  <c r="Z20" i="70"/>
  <c r="X20" i="70"/>
  <c r="T20" i="70"/>
  <c r="P20" i="70"/>
  <c r="N20" i="70"/>
  <c r="H20" i="70"/>
  <c r="L20" i="70" s="1"/>
  <c r="D20" i="70"/>
  <c r="B20" i="70"/>
  <c r="T19" i="70"/>
  <c r="P19" i="70"/>
  <c r="X19" i="70" s="1"/>
  <c r="Z19" i="70" s="1"/>
  <c r="N19" i="70"/>
  <c r="L19" i="70"/>
  <c r="H19" i="70"/>
  <c r="D19" i="70"/>
  <c r="B19" i="70"/>
  <c r="T18" i="70"/>
  <c r="P18" i="70"/>
  <c r="N18" i="70"/>
  <c r="H18" i="70"/>
  <c r="D18" i="70"/>
  <c r="L18" i="70" s="1"/>
  <c r="B18" i="70"/>
  <c r="Z17" i="70"/>
  <c r="T17" i="70"/>
  <c r="P17" i="70"/>
  <c r="X17" i="70" s="1"/>
  <c r="L17" i="70"/>
  <c r="H17" i="70"/>
  <c r="N17" i="70" s="1"/>
  <c r="D17" i="70"/>
  <c r="B17" i="70"/>
  <c r="Z16" i="70"/>
  <c r="T16" i="70"/>
  <c r="X16" i="70" s="1"/>
  <c r="P16" i="70"/>
  <c r="N16" i="70"/>
  <c r="L16" i="70"/>
  <c r="H16" i="70"/>
  <c r="D16" i="70"/>
  <c r="B16" i="70"/>
  <c r="T15" i="70"/>
  <c r="P15" i="70"/>
  <c r="H15" i="70"/>
  <c r="D15" i="70"/>
  <c r="L15" i="70" s="1"/>
  <c r="N15" i="70" s="1"/>
  <c r="B15" i="70"/>
  <c r="T14" i="70"/>
  <c r="P14" i="70"/>
  <c r="H14" i="70"/>
  <c r="D14" i="70"/>
  <c r="B14" i="70"/>
  <c r="X13" i="70"/>
  <c r="T13" i="70"/>
  <c r="P13" i="70"/>
  <c r="N13" i="70"/>
  <c r="H13" i="70"/>
  <c r="D13" i="70"/>
  <c r="B13" i="70"/>
  <c r="H12" i="70"/>
  <c r="J64" i="70" s="1"/>
  <c r="D6" i="70"/>
  <c r="D4" i="70"/>
  <c r="X143" i="69"/>
  <c r="Z143" i="69" s="1"/>
  <c r="N143" i="69"/>
  <c r="L143" i="69"/>
  <c r="Z139" i="69"/>
  <c r="T139" i="69"/>
  <c r="P139" i="69"/>
  <c r="X139" i="69" s="1"/>
  <c r="N139" i="69"/>
  <c r="H139" i="69"/>
  <c r="D139" i="69"/>
  <c r="L139" i="69" s="1"/>
  <c r="B139" i="69"/>
  <c r="T138" i="69"/>
  <c r="P138" i="69"/>
  <c r="H138" i="69"/>
  <c r="D138" i="69"/>
  <c r="B138" i="69"/>
  <c r="Z135" i="69"/>
  <c r="X135" i="69"/>
  <c r="N135" i="69"/>
  <c r="L135" i="69"/>
  <c r="B135" i="69"/>
  <c r="T134" i="69"/>
  <c r="Z134" i="69" s="1"/>
  <c r="P134" i="69"/>
  <c r="H134" i="69"/>
  <c r="N134" i="69" s="1"/>
  <c r="D134" i="69"/>
  <c r="L134" i="69" s="1"/>
  <c r="B134" i="69"/>
  <c r="X133" i="69"/>
  <c r="Z133" i="69" s="1"/>
  <c r="N133" i="69"/>
  <c r="L133" i="69"/>
  <c r="B133" i="69"/>
  <c r="T132" i="69"/>
  <c r="P132" i="69"/>
  <c r="X132" i="69" s="1"/>
  <c r="H132" i="69"/>
  <c r="D132" i="69"/>
  <c r="L132" i="69" s="1"/>
  <c r="B132" i="69"/>
  <c r="Z131" i="69"/>
  <c r="X131" i="69"/>
  <c r="N131" i="69"/>
  <c r="L131" i="69"/>
  <c r="B131" i="69"/>
  <c r="Z130" i="69"/>
  <c r="X130" i="69"/>
  <c r="N130" i="69"/>
  <c r="L130" i="69"/>
  <c r="B130" i="69"/>
  <c r="X129" i="69"/>
  <c r="Z129" i="69" s="1"/>
  <c r="N129" i="69"/>
  <c r="L129" i="69"/>
  <c r="B129" i="69"/>
  <c r="X128" i="69"/>
  <c r="Z128" i="69" s="1"/>
  <c r="N128" i="69"/>
  <c r="L128" i="69"/>
  <c r="B128" i="69"/>
  <c r="T127" i="69"/>
  <c r="P127" i="69"/>
  <c r="X127" i="69" s="1"/>
  <c r="Z127" i="69" s="1"/>
  <c r="L127" i="69"/>
  <c r="N127" i="69" s="1"/>
  <c r="H127" i="69"/>
  <c r="D127" i="69"/>
  <c r="B127" i="69"/>
  <c r="Z126" i="69"/>
  <c r="X126" i="69"/>
  <c r="N126" i="69"/>
  <c r="L126" i="69"/>
  <c r="B126" i="69"/>
  <c r="X125" i="69"/>
  <c r="Z125" i="69" s="1"/>
  <c r="N125" i="69"/>
  <c r="L125" i="69"/>
  <c r="B125" i="69"/>
  <c r="T124" i="69"/>
  <c r="P124" i="69"/>
  <c r="X124" i="69" s="1"/>
  <c r="N124" i="69"/>
  <c r="H124" i="69"/>
  <c r="D124" i="69"/>
  <c r="L124" i="69" s="1"/>
  <c r="B124" i="69"/>
  <c r="Z123" i="69"/>
  <c r="X123" i="69"/>
  <c r="N123" i="69"/>
  <c r="L123" i="69"/>
  <c r="B123" i="69"/>
  <c r="Z122" i="69"/>
  <c r="X122" i="69"/>
  <c r="N122" i="69"/>
  <c r="L122" i="69"/>
  <c r="B122" i="69"/>
  <c r="T121" i="69"/>
  <c r="P121" i="69"/>
  <c r="X121" i="69" s="1"/>
  <c r="Z121" i="69" s="1"/>
  <c r="N121" i="69"/>
  <c r="L121" i="69"/>
  <c r="H121" i="69"/>
  <c r="D121" i="69"/>
  <c r="B121" i="69"/>
  <c r="Z120" i="69"/>
  <c r="X120" i="69"/>
  <c r="N120" i="69"/>
  <c r="L120" i="69"/>
  <c r="B120" i="69"/>
  <c r="Z119" i="69"/>
  <c r="X119" i="69"/>
  <c r="N119" i="69"/>
  <c r="L119" i="69"/>
  <c r="B119" i="69"/>
  <c r="T118" i="69"/>
  <c r="P118" i="69"/>
  <c r="N118" i="69"/>
  <c r="L118" i="69"/>
  <c r="H118" i="69"/>
  <c r="D118" i="69"/>
  <c r="B118" i="69"/>
  <c r="Z117" i="69"/>
  <c r="X117" i="69"/>
  <c r="N117" i="69"/>
  <c r="L117" i="69"/>
  <c r="B117" i="69"/>
  <c r="Z116" i="69"/>
  <c r="X116" i="69"/>
  <c r="T116" i="69"/>
  <c r="P116" i="69"/>
  <c r="H116" i="69"/>
  <c r="N116" i="69" s="1"/>
  <c r="D116" i="69"/>
  <c r="L116" i="69" s="1"/>
  <c r="B116" i="69"/>
  <c r="Z115" i="69"/>
  <c r="X115" i="69"/>
  <c r="N115" i="69"/>
  <c r="L115" i="69"/>
  <c r="B115" i="69"/>
  <c r="Z114" i="69"/>
  <c r="X114" i="69"/>
  <c r="N114" i="69"/>
  <c r="L114" i="69"/>
  <c r="B114" i="69"/>
  <c r="X113" i="69"/>
  <c r="T113" i="69"/>
  <c r="Z113" i="69" s="1"/>
  <c r="P113" i="69"/>
  <c r="H113" i="69"/>
  <c r="D113" i="69"/>
  <c r="L113" i="69" s="1"/>
  <c r="N113" i="69" s="1"/>
  <c r="B113" i="69"/>
  <c r="X112" i="69"/>
  <c r="Z112" i="69" s="1"/>
  <c r="L112" i="69"/>
  <c r="N112" i="69" s="1"/>
  <c r="B112" i="69"/>
  <c r="Z111" i="69"/>
  <c r="X111" i="69"/>
  <c r="N111" i="69"/>
  <c r="L111" i="69"/>
  <c r="B111" i="69"/>
  <c r="T110" i="69"/>
  <c r="P110" i="69"/>
  <c r="X110" i="69" s="1"/>
  <c r="H110" i="69"/>
  <c r="D110" i="69"/>
  <c r="L110" i="69" s="1"/>
  <c r="N110" i="69" s="1"/>
  <c r="B110" i="69"/>
  <c r="Z109" i="69"/>
  <c r="X109" i="69"/>
  <c r="N109" i="69"/>
  <c r="L109" i="69"/>
  <c r="B109" i="69"/>
  <c r="Z108" i="69"/>
  <c r="X108" i="69"/>
  <c r="T108" i="69"/>
  <c r="P108" i="69"/>
  <c r="H108" i="69"/>
  <c r="D108" i="69"/>
  <c r="B108" i="69"/>
  <c r="Z107" i="69"/>
  <c r="X107" i="69"/>
  <c r="N107" i="69"/>
  <c r="L107" i="69"/>
  <c r="B107" i="69"/>
  <c r="T106" i="69"/>
  <c r="P106" i="69"/>
  <c r="N106" i="69"/>
  <c r="H106" i="69"/>
  <c r="D106" i="69"/>
  <c r="L106" i="69" s="1"/>
  <c r="B106" i="69"/>
  <c r="Z105" i="69"/>
  <c r="X105" i="69"/>
  <c r="N105" i="69"/>
  <c r="L105" i="69"/>
  <c r="B105" i="69"/>
  <c r="Z104" i="69"/>
  <c r="X104" i="69"/>
  <c r="N104" i="69"/>
  <c r="L104" i="69"/>
  <c r="B104" i="69"/>
  <c r="Z103" i="69"/>
  <c r="X103" i="69"/>
  <c r="T103" i="69"/>
  <c r="P103" i="69"/>
  <c r="L103" i="69"/>
  <c r="H103" i="69"/>
  <c r="N103" i="69" s="1"/>
  <c r="D103" i="69"/>
  <c r="B103" i="69"/>
  <c r="Z102" i="69"/>
  <c r="X102" i="69"/>
  <c r="N102" i="69"/>
  <c r="L102" i="69"/>
  <c r="B102" i="69"/>
  <c r="X101" i="69"/>
  <c r="T101" i="69"/>
  <c r="Z101" i="69" s="1"/>
  <c r="P101" i="69"/>
  <c r="N101" i="69"/>
  <c r="H101" i="69"/>
  <c r="D101" i="69"/>
  <c r="L101" i="69" s="1"/>
  <c r="B101" i="69"/>
  <c r="X100" i="69"/>
  <c r="Z100" i="69" s="1"/>
  <c r="L100" i="69"/>
  <c r="N100" i="69" s="1"/>
  <c r="B100" i="69"/>
  <c r="Z99" i="69"/>
  <c r="X99" i="69"/>
  <c r="N99" i="69"/>
  <c r="L99" i="69"/>
  <c r="B99" i="69"/>
  <c r="Z98" i="69"/>
  <c r="X98" i="69"/>
  <c r="N98" i="69"/>
  <c r="L98" i="69"/>
  <c r="B98" i="69"/>
  <c r="X97" i="69"/>
  <c r="Z97" i="69" s="1"/>
  <c r="L97" i="69"/>
  <c r="N97" i="69" s="1"/>
  <c r="B97" i="69"/>
  <c r="X96" i="69"/>
  <c r="Z96" i="69" s="1"/>
  <c r="L96" i="69"/>
  <c r="N96" i="69" s="1"/>
  <c r="B96" i="69"/>
  <c r="Z95" i="69"/>
  <c r="X95" i="69"/>
  <c r="T95" i="69"/>
  <c r="P95" i="69"/>
  <c r="L95" i="69"/>
  <c r="H95" i="69"/>
  <c r="N95" i="69" s="1"/>
  <c r="D95" i="69"/>
  <c r="B95" i="69"/>
  <c r="Z94" i="69"/>
  <c r="X94" i="69"/>
  <c r="N94" i="69"/>
  <c r="L94" i="69"/>
  <c r="B94" i="69"/>
  <c r="X93" i="69"/>
  <c r="Z93" i="69" s="1"/>
  <c r="L93" i="69"/>
  <c r="N93" i="69" s="1"/>
  <c r="B93" i="69"/>
  <c r="X92" i="69"/>
  <c r="Z92" i="69" s="1"/>
  <c r="L92" i="69"/>
  <c r="N92" i="69" s="1"/>
  <c r="B92" i="69"/>
  <c r="Z91" i="69"/>
  <c r="X91" i="69"/>
  <c r="N91" i="69"/>
  <c r="L91" i="69"/>
  <c r="B91" i="69"/>
  <c r="Z90" i="69"/>
  <c r="X90" i="69"/>
  <c r="N90" i="69"/>
  <c r="L90" i="69"/>
  <c r="B90" i="69"/>
  <c r="X89" i="69"/>
  <c r="Z89" i="69" s="1"/>
  <c r="L89" i="69"/>
  <c r="N89" i="69" s="1"/>
  <c r="B89" i="69"/>
  <c r="X88" i="69"/>
  <c r="Z88" i="69" s="1"/>
  <c r="L88" i="69"/>
  <c r="N88" i="69" s="1"/>
  <c r="B88" i="69"/>
  <c r="Z87" i="69"/>
  <c r="X87" i="69"/>
  <c r="N87" i="69"/>
  <c r="L87" i="69"/>
  <c r="B87" i="69"/>
  <c r="T86" i="69"/>
  <c r="P86" i="69"/>
  <c r="L86" i="69"/>
  <c r="N86" i="69" s="1"/>
  <c r="H86" i="69"/>
  <c r="D86" i="69"/>
  <c r="B86" i="69"/>
  <c r="T85" i="69"/>
  <c r="Z85" i="69" s="1"/>
  <c r="P85" i="69"/>
  <c r="X85" i="69" s="1"/>
  <c r="H85" i="69"/>
  <c r="D85" i="69"/>
  <c r="L85" i="69" s="1"/>
  <c r="N85" i="69" s="1"/>
  <c r="X81" i="69"/>
  <c r="Z81" i="69" s="1"/>
  <c r="L81" i="69"/>
  <c r="N81" i="69" s="1"/>
  <c r="B81" i="69"/>
  <c r="Z80" i="69"/>
  <c r="X80" i="69"/>
  <c r="N80" i="69"/>
  <c r="L80" i="69"/>
  <c r="B80" i="69"/>
  <c r="Z79" i="69"/>
  <c r="X79" i="69"/>
  <c r="N79" i="69"/>
  <c r="L79" i="69"/>
  <c r="B79" i="69"/>
  <c r="Z78" i="69"/>
  <c r="X78" i="69"/>
  <c r="N78" i="69"/>
  <c r="L78" i="69"/>
  <c r="B78" i="69"/>
  <c r="X77" i="69"/>
  <c r="Z77" i="69" s="1"/>
  <c r="L77" i="69"/>
  <c r="N77" i="69" s="1"/>
  <c r="B77" i="69"/>
  <c r="X76" i="69"/>
  <c r="Z76" i="69" s="1"/>
  <c r="L76" i="69"/>
  <c r="N76" i="69" s="1"/>
  <c r="B76" i="69"/>
  <c r="Z75" i="69"/>
  <c r="X75" i="69"/>
  <c r="N75" i="69"/>
  <c r="L75" i="69"/>
  <c r="B75" i="69"/>
  <c r="Z74" i="69"/>
  <c r="X74" i="69"/>
  <c r="N74" i="69"/>
  <c r="L74" i="69"/>
  <c r="B74" i="69"/>
  <c r="Z73" i="69"/>
  <c r="X73" i="69"/>
  <c r="N73" i="69"/>
  <c r="L73" i="69"/>
  <c r="B73" i="69"/>
  <c r="X72" i="69"/>
  <c r="Z72" i="69" s="1"/>
  <c r="N72" i="69"/>
  <c r="L72" i="69"/>
  <c r="B72" i="69"/>
  <c r="Z71" i="69"/>
  <c r="X71" i="69"/>
  <c r="N71" i="69"/>
  <c r="L71" i="69"/>
  <c r="B71" i="69"/>
  <c r="Z70" i="69"/>
  <c r="X70" i="69"/>
  <c r="N70" i="69"/>
  <c r="L70" i="69"/>
  <c r="B70" i="69"/>
  <c r="X69" i="69"/>
  <c r="Z69" i="69" s="1"/>
  <c r="L69" i="69"/>
  <c r="N69" i="69" s="1"/>
  <c r="B69" i="69"/>
  <c r="X68" i="69"/>
  <c r="Z68" i="69" s="1"/>
  <c r="L68" i="69"/>
  <c r="N68" i="69" s="1"/>
  <c r="B68" i="69"/>
  <c r="Z67" i="69"/>
  <c r="X67" i="69"/>
  <c r="N67" i="69"/>
  <c r="L67" i="69"/>
  <c r="B67" i="69"/>
  <c r="Z66" i="69"/>
  <c r="X66" i="69"/>
  <c r="N66" i="69"/>
  <c r="L66" i="69"/>
  <c r="B66" i="69"/>
  <c r="X65" i="69"/>
  <c r="Z65" i="69" s="1"/>
  <c r="L65" i="69"/>
  <c r="N65" i="69" s="1"/>
  <c r="B65" i="69"/>
  <c r="X64" i="69"/>
  <c r="Z64" i="69" s="1"/>
  <c r="L64" i="69"/>
  <c r="N64" i="69" s="1"/>
  <c r="B64" i="69"/>
  <c r="Z63" i="69"/>
  <c r="X63" i="69"/>
  <c r="N63" i="69"/>
  <c r="L63" i="69"/>
  <c r="B63" i="69"/>
  <c r="Z62" i="69"/>
  <c r="X62" i="69"/>
  <c r="N62" i="69"/>
  <c r="L62" i="69"/>
  <c r="B62" i="69"/>
  <c r="X61" i="69"/>
  <c r="Z61" i="69" s="1"/>
  <c r="N61" i="69"/>
  <c r="L61" i="69"/>
  <c r="B61" i="69"/>
  <c r="X60" i="69"/>
  <c r="Z60" i="69" s="1"/>
  <c r="N60" i="69"/>
  <c r="L60" i="69"/>
  <c r="B60" i="69"/>
  <c r="Z59" i="69"/>
  <c r="X59" i="69"/>
  <c r="N59" i="69"/>
  <c r="L59" i="69"/>
  <c r="B59" i="69"/>
  <c r="Z58" i="69"/>
  <c r="X58" i="69"/>
  <c r="N58" i="69"/>
  <c r="L58" i="69"/>
  <c r="B58" i="69"/>
  <c r="Z57" i="69"/>
  <c r="X57" i="69"/>
  <c r="N57" i="69"/>
  <c r="L57" i="69"/>
  <c r="B57" i="69"/>
  <c r="X56" i="69"/>
  <c r="Z56" i="69" s="1"/>
  <c r="T56" i="69"/>
  <c r="P56" i="69"/>
  <c r="H56" i="69"/>
  <c r="D56" i="69"/>
  <c r="L56" i="69" s="1"/>
  <c r="Z54" i="69"/>
  <c r="X54" i="69"/>
  <c r="T54" i="69"/>
  <c r="P54" i="69"/>
  <c r="L54" i="69"/>
  <c r="H54" i="69"/>
  <c r="N54" i="69" s="1"/>
  <c r="D54" i="69"/>
  <c r="B54" i="69"/>
  <c r="T53" i="69"/>
  <c r="P53" i="69"/>
  <c r="X53" i="69" s="1"/>
  <c r="Z53" i="69" s="1"/>
  <c r="N53" i="69"/>
  <c r="L53" i="69"/>
  <c r="H53" i="69"/>
  <c r="D53" i="69"/>
  <c r="B53" i="69"/>
  <c r="T52" i="69"/>
  <c r="Z52" i="69" s="1"/>
  <c r="P52" i="69"/>
  <c r="X52" i="69" s="1"/>
  <c r="H52" i="69"/>
  <c r="D52" i="69"/>
  <c r="B52" i="69"/>
  <c r="T51" i="69"/>
  <c r="P51" i="69"/>
  <c r="X51" i="69" s="1"/>
  <c r="L51" i="69"/>
  <c r="H51" i="69"/>
  <c r="D51" i="69"/>
  <c r="B51" i="69"/>
  <c r="X50" i="69"/>
  <c r="T50" i="69"/>
  <c r="Z50" i="69" s="1"/>
  <c r="P50" i="69"/>
  <c r="N50" i="69"/>
  <c r="L50" i="69"/>
  <c r="H50" i="69"/>
  <c r="D50" i="69"/>
  <c r="B50" i="69"/>
  <c r="T49" i="69"/>
  <c r="P49" i="69"/>
  <c r="X49" i="69" s="1"/>
  <c r="Z49" i="69" s="1"/>
  <c r="H49" i="69"/>
  <c r="D49" i="69"/>
  <c r="L49" i="69" s="1"/>
  <c r="N49" i="69" s="1"/>
  <c r="B49" i="69"/>
  <c r="T48" i="69"/>
  <c r="P48" i="69"/>
  <c r="H48" i="69"/>
  <c r="N48" i="69" s="1"/>
  <c r="D48" i="69"/>
  <c r="L48" i="69" s="1"/>
  <c r="B48" i="69"/>
  <c r="T47" i="69"/>
  <c r="P47" i="69"/>
  <c r="H47" i="69"/>
  <c r="D47" i="69"/>
  <c r="B47" i="69"/>
  <c r="Z46" i="69"/>
  <c r="X46" i="69"/>
  <c r="T46" i="69"/>
  <c r="P46" i="69"/>
  <c r="N46" i="69"/>
  <c r="L46" i="69"/>
  <c r="H46" i="69"/>
  <c r="D46" i="69"/>
  <c r="B46" i="69"/>
  <c r="T45" i="69"/>
  <c r="P45" i="69"/>
  <c r="X45" i="69" s="1"/>
  <c r="Z45" i="69" s="1"/>
  <c r="H45" i="69"/>
  <c r="D45" i="69"/>
  <c r="L45" i="69" s="1"/>
  <c r="N45" i="69" s="1"/>
  <c r="B45" i="69"/>
  <c r="T44" i="69"/>
  <c r="P44" i="69"/>
  <c r="X44" i="69" s="1"/>
  <c r="H44" i="69"/>
  <c r="D44" i="69"/>
  <c r="B44" i="69"/>
  <c r="X43" i="69"/>
  <c r="T43" i="69"/>
  <c r="P43" i="69"/>
  <c r="H43" i="69"/>
  <c r="N43" i="69" s="1"/>
  <c r="D43" i="69"/>
  <c r="B43" i="69"/>
  <c r="T42" i="69"/>
  <c r="P42" i="69"/>
  <c r="L42" i="69"/>
  <c r="N42" i="69" s="1"/>
  <c r="H42" i="69"/>
  <c r="D42" i="69"/>
  <c r="B42" i="69"/>
  <c r="X41" i="69"/>
  <c r="Z41" i="69" s="1"/>
  <c r="T41" i="69"/>
  <c r="P41" i="69"/>
  <c r="N41" i="69"/>
  <c r="H41" i="69"/>
  <c r="D41" i="69"/>
  <c r="L41" i="69" s="1"/>
  <c r="B41" i="69"/>
  <c r="T40" i="69"/>
  <c r="Z40" i="69" s="1"/>
  <c r="P40" i="69"/>
  <c r="H40" i="69"/>
  <c r="N40" i="69" s="1"/>
  <c r="D40" i="69"/>
  <c r="B40" i="69"/>
  <c r="T39" i="69"/>
  <c r="P39" i="69"/>
  <c r="X39" i="69" s="1"/>
  <c r="H39" i="69"/>
  <c r="D39" i="69"/>
  <c r="L39" i="69" s="1"/>
  <c r="B39" i="69"/>
  <c r="T38" i="69"/>
  <c r="P38" i="69"/>
  <c r="H38" i="69"/>
  <c r="L38" i="69" s="1"/>
  <c r="D38" i="69"/>
  <c r="B38" i="69"/>
  <c r="X37" i="69"/>
  <c r="Z37" i="69" s="1"/>
  <c r="T37" i="69"/>
  <c r="P37" i="69"/>
  <c r="L37" i="69"/>
  <c r="N37" i="69" s="1"/>
  <c r="H37" i="69"/>
  <c r="D37" i="69"/>
  <c r="B37" i="69"/>
  <c r="T36" i="69"/>
  <c r="P36" i="69"/>
  <c r="H36" i="69"/>
  <c r="N36" i="69" s="1"/>
  <c r="D36" i="69"/>
  <c r="B36" i="69"/>
  <c r="T35" i="69"/>
  <c r="P35" i="69"/>
  <c r="X35" i="69" s="1"/>
  <c r="H35" i="69"/>
  <c r="D35" i="69"/>
  <c r="L35" i="69" s="1"/>
  <c r="B35" i="69"/>
  <c r="T34" i="69"/>
  <c r="P34" i="69"/>
  <c r="H34" i="69"/>
  <c r="L34" i="69" s="1"/>
  <c r="D34" i="69"/>
  <c r="B34" i="69"/>
  <c r="X33" i="69"/>
  <c r="Z33" i="69" s="1"/>
  <c r="T33" i="69"/>
  <c r="P33" i="69"/>
  <c r="N33" i="69"/>
  <c r="L33" i="69"/>
  <c r="H33" i="69"/>
  <c r="D33" i="69"/>
  <c r="B33" i="69"/>
  <c r="T32" i="69"/>
  <c r="P32" i="69"/>
  <c r="H32" i="69"/>
  <c r="N32" i="69" s="1"/>
  <c r="D32" i="69"/>
  <c r="B32" i="69"/>
  <c r="T31" i="69"/>
  <c r="P31" i="69"/>
  <c r="X31" i="69" s="1"/>
  <c r="H31" i="69"/>
  <c r="N31" i="69" s="1"/>
  <c r="D31" i="69"/>
  <c r="L31" i="69" s="1"/>
  <c r="B31" i="69"/>
  <c r="T30" i="69"/>
  <c r="P30" i="69"/>
  <c r="X30" i="69" s="1"/>
  <c r="Z30" i="69" s="1"/>
  <c r="H30" i="69"/>
  <c r="L30" i="69" s="1"/>
  <c r="D30" i="69"/>
  <c r="B30" i="69"/>
  <c r="X29" i="69"/>
  <c r="T29" i="69"/>
  <c r="Z29" i="69" s="1"/>
  <c r="P29" i="69"/>
  <c r="L29" i="69"/>
  <c r="N29" i="69" s="1"/>
  <c r="H29" i="69"/>
  <c r="D29" i="69"/>
  <c r="B29" i="69"/>
  <c r="T28" i="69"/>
  <c r="P28" i="69"/>
  <c r="X28" i="69" s="1"/>
  <c r="Z28" i="69" s="1"/>
  <c r="N28" i="69"/>
  <c r="H28" i="69"/>
  <c r="D28" i="69"/>
  <c r="L28" i="69" s="1"/>
  <c r="B28" i="69"/>
  <c r="T27" i="69"/>
  <c r="P27" i="69"/>
  <c r="X27" i="69" s="1"/>
  <c r="L27" i="69"/>
  <c r="H27" i="69"/>
  <c r="N27" i="69" s="1"/>
  <c r="D27" i="69"/>
  <c r="B27" i="69"/>
  <c r="T26" i="69"/>
  <c r="X26" i="69" s="1"/>
  <c r="P26" i="69"/>
  <c r="N26" i="69"/>
  <c r="H26" i="69"/>
  <c r="D26" i="69"/>
  <c r="L26" i="69" s="1"/>
  <c r="B26" i="69"/>
  <c r="Z25" i="69"/>
  <c r="X25" i="69"/>
  <c r="T25" i="69"/>
  <c r="P25" i="69"/>
  <c r="L25" i="69"/>
  <c r="H25" i="69"/>
  <c r="N25" i="69" s="1"/>
  <c r="D25" i="69"/>
  <c r="B25" i="69"/>
  <c r="T24" i="69"/>
  <c r="P24" i="69"/>
  <c r="X24" i="69" s="1"/>
  <c r="Z24" i="69" s="1"/>
  <c r="H24" i="69"/>
  <c r="D24" i="69"/>
  <c r="L24" i="69" s="1"/>
  <c r="N24" i="69" s="1"/>
  <c r="B24" i="69"/>
  <c r="X23" i="69"/>
  <c r="T23" i="69"/>
  <c r="Z23" i="69" s="1"/>
  <c r="P23" i="69"/>
  <c r="H23" i="69"/>
  <c r="N23" i="69" s="1"/>
  <c r="D23" i="69"/>
  <c r="L23" i="69" s="1"/>
  <c r="B23" i="69"/>
  <c r="T22" i="69"/>
  <c r="P22" i="69"/>
  <c r="X22" i="69" s="1"/>
  <c r="Z22" i="69" s="1"/>
  <c r="H22" i="69"/>
  <c r="L22" i="69" s="1"/>
  <c r="D22" i="69"/>
  <c r="B22" i="69"/>
  <c r="X21" i="69"/>
  <c r="T21" i="69"/>
  <c r="Z21" i="69" s="1"/>
  <c r="P21" i="69"/>
  <c r="L21" i="69"/>
  <c r="N21" i="69" s="1"/>
  <c r="H21" i="69"/>
  <c r="D21" i="69"/>
  <c r="B21" i="69"/>
  <c r="T20" i="69"/>
  <c r="P20" i="69"/>
  <c r="X20" i="69" s="1"/>
  <c r="Z20" i="69" s="1"/>
  <c r="H20" i="69"/>
  <c r="L20" i="69" s="1"/>
  <c r="N20" i="69" s="1"/>
  <c r="D20" i="69"/>
  <c r="B20" i="69"/>
  <c r="T19" i="69"/>
  <c r="P19" i="69"/>
  <c r="X19" i="69" s="1"/>
  <c r="L19" i="69"/>
  <c r="N19" i="69" s="1"/>
  <c r="H19" i="69"/>
  <c r="D19" i="69"/>
  <c r="B19" i="69"/>
  <c r="T18" i="69"/>
  <c r="X18" i="69" s="1"/>
  <c r="P18" i="69"/>
  <c r="N18" i="69"/>
  <c r="H18" i="69"/>
  <c r="D18" i="69"/>
  <c r="L18" i="69" s="1"/>
  <c r="B18" i="69"/>
  <c r="X17" i="69"/>
  <c r="Z17" i="69" s="1"/>
  <c r="T17" i="69"/>
  <c r="P17" i="69"/>
  <c r="P12" i="69" s="1"/>
  <c r="L17" i="69"/>
  <c r="H17" i="69"/>
  <c r="N17" i="69" s="1"/>
  <c r="D17" i="69"/>
  <c r="B17" i="69"/>
  <c r="T16" i="69"/>
  <c r="X16" i="69" s="1"/>
  <c r="Z16" i="69" s="1"/>
  <c r="P16" i="69"/>
  <c r="H16" i="69"/>
  <c r="D16" i="69"/>
  <c r="L16" i="69" s="1"/>
  <c r="N16" i="69" s="1"/>
  <c r="B16" i="69"/>
  <c r="X15" i="69"/>
  <c r="Z15" i="69" s="1"/>
  <c r="T15" i="69"/>
  <c r="P15" i="69"/>
  <c r="H15" i="69"/>
  <c r="N15" i="69" s="1"/>
  <c r="D15" i="69"/>
  <c r="L15" i="69" s="1"/>
  <c r="B15" i="69"/>
  <c r="T14" i="69"/>
  <c r="P14" i="69"/>
  <c r="X14" i="69" s="1"/>
  <c r="Z14" i="69" s="1"/>
  <c r="H14" i="69"/>
  <c r="L14" i="69" s="1"/>
  <c r="D14" i="69"/>
  <c r="B14" i="69"/>
  <c r="X13" i="69"/>
  <c r="T13" i="69"/>
  <c r="Z13" i="69" s="1"/>
  <c r="P13" i="69"/>
  <c r="L13" i="69"/>
  <c r="N13" i="69" s="1"/>
  <c r="H13" i="69"/>
  <c r="D13" i="69"/>
  <c r="D12" i="69" s="1"/>
  <c r="B13" i="69"/>
  <c r="D6" i="69"/>
  <c r="D4" i="69"/>
  <c r="Z52" i="67"/>
  <c r="X52" i="67"/>
  <c r="N52" i="67"/>
  <c r="L52" i="67"/>
  <c r="Z48" i="67"/>
  <c r="X48" i="67"/>
  <c r="T48" i="67"/>
  <c r="P48" i="67"/>
  <c r="H48" i="67"/>
  <c r="N48" i="67" s="1"/>
  <c r="D48" i="67"/>
  <c r="L48" i="67" s="1"/>
  <c r="X46" i="67"/>
  <c r="Z46" i="67" s="1"/>
  <c r="N46" i="67"/>
  <c r="L46" i="67"/>
  <c r="B46" i="67"/>
  <c r="T45" i="67"/>
  <c r="P45" i="67"/>
  <c r="X45" i="67" s="1"/>
  <c r="H45" i="67"/>
  <c r="D45" i="67"/>
  <c r="L45" i="67" s="1"/>
  <c r="N45" i="67" s="1"/>
  <c r="B45" i="67"/>
  <c r="Z44" i="67"/>
  <c r="X44" i="67"/>
  <c r="N44" i="67"/>
  <c r="L44" i="67"/>
  <c r="B44" i="67"/>
  <c r="Z43" i="67"/>
  <c r="T43" i="67"/>
  <c r="P43" i="67"/>
  <c r="X43" i="67" s="1"/>
  <c r="N43" i="67"/>
  <c r="H43" i="67"/>
  <c r="D43" i="67"/>
  <c r="L43" i="67" s="1"/>
  <c r="B43" i="67"/>
  <c r="Z42" i="67"/>
  <c r="X42" i="67"/>
  <c r="N42" i="67"/>
  <c r="L42" i="67"/>
  <c r="B42" i="67"/>
  <c r="T41" i="67"/>
  <c r="P41" i="67"/>
  <c r="X41" i="67" s="1"/>
  <c r="Z41" i="67" s="1"/>
  <c r="L41" i="67"/>
  <c r="H41" i="67"/>
  <c r="N41" i="67" s="1"/>
  <c r="D41" i="67"/>
  <c r="B41" i="67"/>
  <c r="X40" i="67"/>
  <c r="Z40" i="67" s="1"/>
  <c r="L40" i="67"/>
  <c r="N40" i="67" s="1"/>
  <c r="B40" i="67"/>
  <c r="X39" i="67"/>
  <c r="T39" i="67"/>
  <c r="Z39" i="67" s="1"/>
  <c r="P39" i="67"/>
  <c r="H39" i="67"/>
  <c r="D39" i="67"/>
  <c r="B39" i="67"/>
  <c r="Z38" i="67"/>
  <c r="X38" i="67"/>
  <c r="N38" i="67"/>
  <c r="L38" i="67"/>
  <c r="B38" i="67"/>
  <c r="T37" i="67"/>
  <c r="P37" i="67"/>
  <c r="H37" i="67"/>
  <c r="N37" i="67" s="1"/>
  <c r="D37" i="67"/>
  <c r="L37" i="67" s="1"/>
  <c r="B37" i="67"/>
  <c r="X36" i="67"/>
  <c r="Z36" i="67" s="1"/>
  <c r="N36" i="67"/>
  <c r="L36" i="67"/>
  <c r="B36" i="67"/>
  <c r="T35" i="67"/>
  <c r="P35" i="67"/>
  <c r="X35" i="67" s="1"/>
  <c r="N35" i="67"/>
  <c r="H35" i="67"/>
  <c r="D35" i="67"/>
  <c r="L35" i="67" s="1"/>
  <c r="B35" i="67"/>
  <c r="Z34" i="67"/>
  <c r="X34" i="67"/>
  <c r="N34" i="67"/>
  <c r="L34" i="67"/>
  <c r="B34" i="67"/>
  <c r="T33" i="67"/>
  <c r="P33" i="67"/>
  <c r="X33" i="67" s="1"/>
  <c r="Z33" i="67" s="1"/>
  <c r="L33" i="67"/>
  <c r="H33" i="67"/>
  <c r="N33" i="67" s="1"/>
  <c r="D33" i="67"/>
  <c r="B33" i="67"/>
  <c r="Z32" i="67"/>
  <c r="X32" i="67"/>
  <c r="V32" i="67"/>
  <c r="N32" i="67"/>
  <c r="L32" i="67"/>
  <c r="B32" i="67"/>
  <c r="X31" i="67"/>
  <c r="Z31" i="67" s="1"/>
  <c r="N31" i="67"/>
  <c r="L31" i="67"/>
  <c r="B31" i="67"/>
  <c r="Z30" i="67"/>
  <c r="X30" i="67"/>
  <c r="N30" i="67"/>
  <c r="L30" i="67"/>
  <c r="B30" i="67"/>
  <c r="Z29" i="67"/>
  <c r="X29" i="67"/>
  <c r="N29" i="67"/>
  <c r="L29" i="67"/>
  <c r="B29" i="67"/>
  <c r="Z28" i="67"/>
  <c r="X28" i="67"/>
  <c r="N28" i="67"/>
  <c r="L28" i="67"/>
  <c r="B28" i="67"/>
  <c r="X27" i="67"/>
  <c r="Z27" i="67" s="1"/>
  <c r="L27" i="67"/>
  <c r="N27" i="67" s="1"/>
  <c r="B27" i="67"/>
  <c r="Z26" i="67"/>
  <c r="X26" i="67"/>
  <c r="N26" i="67"/>
  <c r="L26" i="67"/>
  <c r="B26" i="67"/>
  <c r="X25" i="67"/>
  <c r="Z25" i="67" s="1"/>
  <c r="N25" i="67"/>
  <c r="L25" i="67"/>
  <c r="B25" i="67"/>
  <c r="V24" i="67"/>
  <c r="T24" i="67"/>
  <c r="Z24" i="67" s="1"/>
  <c r="P24" i="67"/>
  <c r="X24" i="67" s="1"/>
  <c r="H24" i="67"/>
  <c r="D24" i="67"/>
  <c r="L24" i="67" s="1"/>
  <c r="N24" i="67" s="1"/>
  <c r="B24" i="67"/>
  <c r="T23" i="67"/>
  <c r="P23" i="67"/>
  <c r="X23" i="67" s="1"/>
  <c r="H23" i="67"/>
  <c r="D23" i="67"/>
  <c r="L23" i="67" s="1"/>
  <c r="X19" i="67"/>
  <c r="Z19" i="67" s="1"/>
  <c r="N19" i="67"/>
  <c r="L19" i="67"/>
  <c r="B19" i="67"/>
  <c r="T18" i="67"/>
  <c r="P18" i="67"/>
  <c r="X18" i="67" s="1"/>
  <c r="Z18" i="67" s="1"/>
  <c r="L18" i="67"/>
  <c r="H18" i="67"/>
  <c r="N18" i="67" s="1"/>
  <c r="D18" i="67"/>
  <c r="Z16" i="67"/>
  <c r="X16" i="67"/>
  <c r="T16" i="67"/>
  <c r="P16" i="67"/>
  <c r="H16" i="67"/>
  <c r="N16" i="67" s="1"/>
  <c r="D16" i="67"/>
  <c r="B16" i="67"/>
  <c r="Z15" i="67"/>
  <c r="T15" i="67"/>
  <c r="P15" i="67"/>
  <c r="X15" i="67" s="1"/>
  <c r="N15" i="67"/>
  <c r="H15" i="67"/>
  <c r="D15" i="67"/>
  <c r="L15" i="67" s="1"/>
  <c r="B15" i="67"/>
  <c r="T14" i="67"/>
  <c r="Z14" i="67" s="1"/>
  <c r="P14" i="67"/>
  <c r="X14" i="67" s="1"/>
  <c r="H14" i="67"/>
  <c r="N14" i="67" s="1"/>
  <c r="D14" i="67"/>
  <c r="D12" i="67" s="1"/>
  <c r="B14" i="67"/>
  <c r="T13" i="67"/>
  <c r="Z13" i="67" s="1"/>
  <c r="P13" i="67"/>
  <c r="X13" i="67" s="1"/>
  <c r="L13" i="67"/>
  <c r="H13" i="67"/>
  <c r="H12" i="67" s="1"/>
  <c r="D13" i="67"/>
  <c r="B13" i="67"/>
  <c r="T12" i="67"/>
  <c r="V40" i="67" s="1"/>
  <c r="D6" i="67"/>
  <c r="D4" i="67"/>
  <c r="Z115" i="66"/>
  <c r="X115" i="66"/>
  <c r="N115" i="66"/>
  <c r="L115" i="66"/>
  <c r="T111" i="66"/>
  <c r="P111" i="66"/>
  <c r="N111" i="66"/>
  <c r="L111" i="66"/>
  <c r="H111" i="66"/>
  <c r="D111" i="66"/>
  <c r="B111" i="66"/>
  <c r="X110" i="66"/>
  <c r="T110" i="66"/>
  <c r="Z110" i="66" s="1"/>
  <c r="P110" i="66"/>
  <c r="H110" i="66"/>
  <c r="H108" i="66" s="1"/>
  <c r="D110" i="66"/>
  <c r="B110" i="66"/>
  <c r="T109" i="66"/>
  <c r="P109" i="66"/>
  <c r="X109" i="66" s="1"/>
  <c r="Z109" i="66" s="1"/>
  <c r="H109" i="66"/>
  <c r="D109" i="66"/>
  <c r="B109" i="66"/>
  <c r="T108" i="66"/>
  <c r="P108" i="66"/>
  <c r="X108" i="66" s="1"/>
  <c r="Z108" i="66" s="1"/>
  <c r="D108" i="66"/>
  <c r="X106" i="66"/>
  <c r="Z106" i="66" s="1"/>
  <c r="N106" i="66"/>
  <c r="L106" i="66"/>
  <c r="B106" i="66"/>
  <c r="T105" i="66"/>
  <c r="P105" i="66"/>
  <c r="X105" i="66" s="1"/>
  <c r="N105" i="66"/>
  <c r="H105" i="66"/>
  <c r="D105" i="66"/>
  <c r="L105" i="66" s="1"/>
  <c r="B105" i="66"/>
  <c r="X104" i="66"/>
  <c r="Z104" i="66" s="1"/>
  <c r="L104" i="66"/>
  <c r="N104" i="66" s="1"/>
  <c r="B104" i="66"/>
  <c r="X103" i="66"/>
  <c r="Z103" i="66" s="1"/>
  <c r="N103" i="66"/>
  <c r="L103" i="66"/>
  <c r="B103" i="66"/>
  <c r="T102" i="66"/>
  <c r="P102" i="66"/>
  <c r="H102" i="66"/>
  <c r="N102" i="66" s="1"/>
  <c r="D102" i="66"/>
  <c r="L102" i="66" s="1"/>
  <c r="B102" i="66"/>
  <c r="X101" i="66"/>
  <c r="Z101" i="66" s="1"/>
  <c r="N101" i="66"/>
  <c r="L101" i="66"/>
  <c r="B101" i="66"/>
  <c r="X100" i="66"/>
  <c r="Z100" i="66" s="1"/>
  <c r="L100" i="66"/>
  <c r="N100" i="66" s="1"/>
  <c r="B100" i="66"/>
  <c r="T99" i="66"/>
  <c r="P99" i="66"/>
  <c r="X99" i="66" s="1"/>
  <c r="Z99" i="66" s="1"/>
  <c r="L99" i="66"/>
  <c r="H99" i="66"/>
  <c r="N99" i="66" s="1"/>
  <c r="D99" i="66"/>
  <c r="B99" i="66"/>
  <c r="Z98" i="66"/>
  <c r="X98" i="66"/>
  <c r="N98" i="66"/>
  <c r="L98" i="66"/>
  <c r="B98" i="66"/>
  <c r="X97" i="66"/>
  <c r="T97" i="66"/>
  <c r="Z97" i="66" s="1"/>
  <c r="P97" i="66"/>
  <c r="N97" i="66"/>
  <c r="L97" i="66"/>
  <c r="H97" i="66"/>
  <c r="D97" i="66"/>
  <c r="B97" i="66"/>
  <c r="X96" i="66"/>
  <c r="Z96" i="66" s="1"/>
  <c r="N96" i="66"/>
  <c r="L96" i="66"/>
  <c r="B96" i="66"/>
  <c r="Z95" i="66"/>
  <c r="X95" i="66"/>
  <c r="L95" i="66"/>
  <c r="N95" i="66" s="1"/>
  <c r="B95" i="66"/>
  <c r="Z94" i="66"/>
  <c r="X94" i="66"/>
  <c r="N94" i="66"/>
  <c r="L94" i="66"/>
  <c r="B94" i="66"/>
  <c r="T93" i="66"/>
  <c r="P93" i="66"/>
  <c r="N93" i="66"/>
  <c r="L93" i="66"/>
  <c r="H93" i="66"/>
  <c r="D93" i="66"/>
  <c r="B93" i="66"/>
  <c r="X92" i="66"/>
  <c r="Z92" i="66" s="1"/>
  <c r="N92" i="66"/>
  <c r="L92" i="66"/>
  <c r="B92" i="66"/>
  <c r="T91" i="66"/>
  <c r="P91" i="66"/>
  <c r="X91" i="66" s="1"/>
  <c r="Z91" i="66" s="1"/>
  <c r="H91" i="66"/>
  <c r="D91" i="66"/>
  <c r="L91" i="66" s="1"/>
  <c r="B91" i="66"/>
  <c r="Z90" i="66"/>
  <c r="X90" i="66"/>
  <c r="N90" i="66"/>
  <c r="L90" i="66"/>
  <c r="B90" i="66"/>
  <c r="T89" i="66"/>
  <c r="P89" i="66"/>
  <c r="X89" i="66" s="1"/>
  <c r="H89" i="66"/>
  <c r="D89" i="66"/>
  <c r="L89" i="66" s="1"/>
  <c r="B89" i="66"/>
  <c r="Z88" i="66"/>
  <c r="X88" i="66"/>
  <c r="L88" i="66"/>
  <c r="N88" i="66" s="1"/>
  <c r="B88" i="66"/>
  <c r="X87" i="66"/>
  <c r="Z87" i="66" s="1"/>
  <c r="N87" i="66"/>
  <c r="L87" i="66"/>
  <c r="B87" i="66"/>
  <c r="T86" i="66"/>
  <c r="P86" i="66"/>
  <c r="H86" i="66"/>
  <c r="D86" i="66"/>
  <c r="L86" i="66" s="1"/>
  <c r="N86" i="66" s="1"/>
  <c r="B86" i="66"/>
  <c r="X85" i="66"/>
  <c r="Z85" i="66" s="1"/>
  <c r="N85" i="66"/>
  <c r="L85" i="66"/>
  <c r="B85" i="66"/>
  <c r="T84" i="66"/>
  <c r="P84" i="66"/>
  <c r="X84" i="66" s="1"/>
  <c r="Z84" i="66" s="1"/>
  <c r="N84" i="66"/>
  <c r="H84" i="66"/>
  <c r="D84" i="66"/>
  <c r="L84" i="66" s="1"/>
  <c r="B84" i="66"/>
  <c r="Z83" i="66"/>
  <c r="X83" i="66"/>
  <c r="N83" i="66"/>
  <c r="L83" i="66"/>
  <c r="B83" i="66"/>
  <c r="T82" i="66"/>
  <c r="P82" i="66"/>
  <c r="X82" i="66" s="1"/>
  <c r="Z82" i="66" s="1"/>
  <c r="L82" i="66"/>
  <c r="H82" i="66"/>
  <c r="N82" i="66" s="1"/>
  <c r="D82" i="66"/>
  <c r="B82" i="66"/>
  <c r="Z81" i="66"/>
  <c r="X81" i="66"/>
  <c r="N81" i="66"/>
  <c r="L81" i="66"/>
  <c r="B81" i="66"/>
  <c r="X80" i="66"/>
  <c r="T80" i="66"/>
  <c r="Z80" i="66" s="1"/>
  <c r="P80" i="66"/>
  <c r="H80" i="66"/>
  <c r="N80" i="66" s="1"/>
  <c r="D80" i="66"/>
  <c r="B80" i="66"/>
  <c r="Z79" i="66"/>
  <c r="X79" i="66"/>
  <c r="N79" i="66"/>
  <c r="L79" i="66"/>
  <c r="B79" i="66"/>
  <c r="T78" i="66"/>
  <c r="P78" i="66"/>
  <c r="H78" i="66"/>
  <c r="N78" i="66" s="1"/>
  <c r="D78" i="66"/>
  <c r="L78" i="66" s="1"/>
  <c r="B78" i="66"/>
  <c r="Z77" i="66"/>
  <c r="X77" i="66"/>
  <c r="N77" i="66"/>
  <c r="L77" i="66"/>
  <c r="B77" i="66"/>
  <c r="X76" i="66"/>
  <c r="Z76" i="66" s="1"/>
  <c r="L76" i="66"/>
  <c r="N76" i="66" s="1"/>
  <c r="B76" i="66"/>
  <c r="Z75" i="66"/>
  <c r="X75" i="66"/>
  <c r="N75" i="66"/>
  <c r="L75" i="66"/>
  <c r="B75" i="66"/>
  <c r="X74" i="66"/>
  <c r="Z74" i="66" s="1"/>
  <c r="N74" i="66"/>
  <c r="L74" i="66"/>
  <c r="B74" i="66"/>
  <c r="Z73" i="66"/>
  <c r="X73" i="66"/>
  <c r="L73" i="66"/>
  <c r="N73" i="66" s="1"/>
  <c r="B73" i="66"/>
  <c r="X72" i="66"/>
  <c r="Z72" i="66" s="1"/>
  <c r="L72" i="66"/>
  <c r="N72" i="66" s="1"/>
  <c r="B72" i="66"/>
  <c r="Z71" i="66"/>
  <c r="X71" i="66"/>
  <c r="N71" i="66"/>
  <c r="L71" i="66"/>
  <c r="B71" i="66"/>
  <c r="T70" i="66"/>
  <c r="Z70" i="66" s="1"/>
  <c r="P70" i="66"/>
  <c r="X70" i="66" s="1"/>
  <c r="L70" i="66"/>
  <c r="H70" i="66"/>
  <c r="N70" i="66" s="1"/>
  <c r="D70" i="66"/>
  <c r="B70" i="66"/>
  <c r="Z69" i="66"/>
  <c r="X69" i="66"/>
  <c r="L69" i="66"/>
  <c r="N69" i="66" s="1"/>
  <c r="B69" i="66"/>
  <c r="X68" i="66"/>
  <c r="Z68" i="66" s="1"/>
  <c r="L68" i="66"/>
  <c r="N68" i="66" s="1"/>
  <c r="B68" i="66"/>
  <c r="Z67" i="66"/>
  <c r="X67" i="66"/>
  <c r="N67" i="66"/>
  <c r="L67" i="66"/>
  <c r="B67" i="66"/>
  <c r="Z66" i="66"/>
  <c r="X66" i="66"/>
  <c r="N66" i="66"/>
  <c r="L66" i="66"/>
  <c r="B66" i="66"/>
  <c r="X65" i="66"/>
  <c r="Z65" i="66" s="1"/>
  <c r="N65" i="66"/>
  <c r="L65" i="66"/>
  <c r="B65" i="66"/>
  <c r="X64" i="66"/>
  <c r="Z64" i="66" s="1"/>
  <c r="N64" i="66"/>
  <c r="L64" i="66"/>
  <c r="B64" i="66"/>
  <c r="Z63" i="66"/>
  <c r="X63" i="66"/>
  <c r="N63" i="66"/>
  <c r="L63" i="66"/>
  <c r="B63" i="66"/>
  <c r="Z62" i="66"/>
  <c r="X62" i="66"/>
  <c r="N62" i="66"/>
  <c r="L62" i="66"/>
  <c r="B62" i="66"/>
  <c r="Z61" i="66"/>
  <c r="X61" i="66"/>
  <c r="L61" i="66"/>
  <c r="N61" i="66" s="1"/>
  <c r="B61" i="66"/>
  <c r="X60" i="66"/>
  <c r="T60" i="66"/>
  <c r="Z60" i="66" s="1"/>
  <c r="P60" i="66"/>
  <c r="H60" i="66"/>
  <c r="D60" i="66"/>
  <c r="B60" i="66"/>
  <c r="T59" i="66"/>
  <c r="P59" i="66"/>
  <c r="X59" i="66" s="1"/>
  <c r="H59" i="66"/>
  <c r="D59" i="66"/>
  <c r="L59" i="66" s="1"/>
  <c r="Z55" i="66"/>
  <c r="X55" i="66"/>
  <c r="N55" i="66"/>
  <c r="L55" i="66"/>
  <c r="B55" i="66"/>
  <c r="Z54" i="66"/>
  <c r="X54" i="66"/>
  <c r="N54" i="66"/>
  <c r="L54" i="66"/>
  <c r="B54" i="66"/>
  <c r="X53" i="66"/>
  <c r="Z53" i="66" s="1"/>
  <c r="N53" i="66"/>
  <c r="L53" i="66"/>
  <c r="B53" i="66"/>
  <c r="X52" i="66"/>
  <c r="Z52" i="66" s="1"/>
  <c r="L52" i="66"/>
  <c r="N52" i="66" s="1"/>
  <c r="B52" i="66"/>
  <c r="Z51" i="66"/>
  <c r="X51" i="66"/>
  <c r="L51" i="66"/>
  <c r="N51" i="66" s="1"/>
  <c r="B51" i="66"/>
  <c r="Z50" i="66"/>
  <c r="X50" i="66"/>
  <c r="N50" i="66"/>
  <c r="L50" i="66"/>
  <c r="B50" i="66"/>
  <c r="X49" i="66"/>
  <c r="Z49" i="66" s="1"/>
  <c r="L49" i="66"/>
  <c r="N49" i="66" s="1"/>
  <c r="B49" i="66"/>
  <c r="X48" i="66"/>
  <c r="Z48" i="66" s="1"/>
  <c r="L48" i="66"/>
  <c r="N48" i="66" s="1"/>
  <c r="B48" i="66"/>
  <c r="X47" i="66"/>
  <c r="Z47" i="66" s="1"/>
  <c r="N47" i="66"/>
  <c r="L47" i="66"/>
  <c r="B47" i="66"/>
  <c r="Z46" i="66"/>
  <c r="X46" i="66"/>
  <c r="N46" i="66"/>
  <c r="L46" i="66"/>
  <c r="B46" i="66"/>
  <c r="X45" i="66"/>
  <c r="Z45" i="66" s="1"/>
  <c r="L45" i="66"/>
  <c r="N45" i="66" s="1"/>
  <c r="B45" i="66"/>
  <c r="X44" i="66"/>
  <c r="Z44" i="66" s="1"/>
  <c r="N44" i="66"/>
  <c r="L44" i="66"/>
  <c r="B44" i="66"/>
  <c r="Z43" i="66"/>
  <c r="X43" i="66"/>
  <c r="L43" i="66"/>
  <c r="N43" i="66" s="1"/>
  <c r="B43" i="66"/>
  <c r="Z42" i="66"/>
  <c r="X42" i="66"/>
  <c r="N42" i="66"/>
  <c r="L42" i="66"/>
  <c r="B42" i="66"/>
  <c r="X41" i="66"/>
  <c r="Z41" i="66" s="1"/>
  <c r="L41" i="66"/>
  <c r="N41" i="66" s="1"/>
  <c r="B41" i="66"/>
  <c r="X40" i="66"/>
  <c r="Z40" i="66" s="1"/>
  <c r="L40" i="66"/>
  <c r="N40" i="66" s="1"/>
  <c r="B40" i="66"/>
  <c r="Z39" i="66"/>
  <c r="X39" i="66"/>
  <c r="N39" i="66"/>
  <c r="L39" i="66"/>
  <c r="B39" i="66"/>
  <c r="T38" i="66"/>
  <c r="P38" i="66"/>
  <c r="H38" i="66"/>
  <c r="D38" i="66"/>
  <c r="L38" i="66" s="1"/>
  <c r="Z36" i="66"/>
  <c r="T36" i="66"/>
  <c r="P36" i="66"/>
  <c r="X36" i="66" s="1"/>
  <c r="N36" i="66"/>
  <c r="H36" i="66"/>
  <c r="D36" i="66"/>
  <c r="L36" i="66" s="1"/>
  <c r="B36" i="66"/>
  <c r="T35" i="66"/>
  <c r="Z35" i="66" s="1"/>
  <c r="P35" i="66"/>
  <c r="X35" i="66" s="1"/>
  <c r="H35" i="66"/>
  <c r="D35" i="66"/>
  <c r="B35" i="66"/>
  <c r="T34" i="66"/>
  <c r="P34" i="66"/>
  <c r="X34" i="66" s="1"/>
  <c r="L34" i="66"/>
  <c r="N34" i="66" s="1"/>
  <c r="H34" i="66"/>
  <c r="D34" i="66"/>
  <c r="B34" i="66"/>
  <c r="X33" i="66"/>
  <c r="T33" i="66"/>
  <c r="Z33" i="66" s="1"/>
  <c r="P33" i="66"/>
  <c r="N33" i="66"/>
  <c r="L33" i="66"/>
  <c r="H33" i="66"/>
  <c r="D33" i="66"/>
  <c r="B33" i="66"/>
  <c r="Z32" i="66"/>
  <c r="T32" i="66"/>
  <c r="P32" i="66"/>
  <c r="X32" i="66" s="1"/>
  <c r="N32" i="66"/>
  <c r="H32" i="66"/>
  <c r="D32" i="66"/>
  <c r="L32" i="66" s="1"/>
  <c r="B32" i="66"/>
  <c r="T31" i="66"/>
  <c r="P31" i="66"/>
  <c r="H31" i="66"/>
  <c r="N31" i="66" s="1"/>
  <c r="D31" i="66"/>
  <c r="L31" i="66" s="1"/>
  <c r="B31" i="66"/>
  <c r="X30" i="66"/>
  <c r="Z30" i="66" s="1"/>
  <c r="T30" i="66"/>
  <c r="P30" i="66"/>
  <c r="H30" i="66"/>
  <c r="N30" i="66" s="1"/>
  <c r="D30" i="66"/>
  <c r="L30" i="66" s="1"/>
  <c r="B30" i="66"/>
  <c r="Z29" i="66"/>
  <c r="X29" i="66"/>
  <c r="T29" i="66"/>
  <c r="P29" i="66"/>
  <c r="L29" i="66"/>
  <c r="H29" i="66"/>
  <c r="N29" i="66" s="1"/>
  <c r="D29" i="66"/>
  <c r="B29" i="66"/>
  <c r="Z28" i="66"/>
  <c r="T28" i="66"/>
  <c r="P28" i="66"/>
  <c r="X28" i="66" s="1"/>
  <c r="N28" i="66"/>
  <c r="H28" i="66"/>
  <c r="D28" i="66"/>
  <c r="L28" i="66" s="1"/>
  <c r="B28" i="66"/>
  <c r="T27" i="66"/>
  <c r="Z27" i="66" s="1"/>
  <c r="P27" i="66"/>
  <c r="X27" i="66" s="1"/>
  <c r="H27" i="66"/>
  <c r="N27" i="66" s="1"/>
  <c r="D27" i="66"/>
  <c r="B27" i="66"/>
  <c r="T26" i="66"/>
  <c r="P26" i="66"/>
  <c r="X26" i="66" s="1"/>
  <c r="L26" i="66"/>
  <c r="N26" i="66" s="1"/>
  <c r="H26" i="66"/>
  <c r="D26" i="66"/>
  <c r="B26" i="66"/>
  <c r="X25" i="66"/>
  <c r="T25" i="66"/>
  <c r="Z25" i="66" s="1"/>
  <c r="P25" i="66"/>
  <c r="N25" i="66"/>
  <c r="L25" i="66"/>
  <c r="H25" i="66"/>
  <c r="D25" i="66"/>
  <c r="B25" i="66"/>
  <c r="T24" i="66"/>
  <c r="P24" i="66"/>
  <c r="X24" i="66" s="1"/>
  <c r="Z24" i="66" s="1"/>
  <c r="N24" i="66"/>
  <c r="H24" i="66"/>
  <c r="D24" i="66"/>
  <c r="L24" i="66" s="1"/>
  <c r="B24" i="66"/>
  <c r="T23" i="66"/>
  <c r="P23" i="66"/>
  <c r="H23" i="66"/>
  <c r="D23" i="66"/>
  <c r="L23" i="66" s="1"/>
  <c r="B23" i="66"/>
  <c r="X22" i="66"/>
  <c r="Z22" i="66" s="1"/>
  <c r="T22" i="66"/>
  <c r="P22" i="66"/>
  <c r="H22" i="66"/>
  <c r="D22" i="66"/>
  <c r="L22" i="66" s="1"/>
  <c r="B22" i="66"/>
  <c r="Z21" i="66"/>
  <c r="X21" i="66"/>
  <c r="T21" i="66"/>
  <c r="P21" i="66"/>
  <c r="L21" i="66"/>
  <c r="H21" i="66"/>
  <c r="N21" i="66" s="1"/>
  <c r="D21" i="66"/>
  <c r="B21" i="66"/>
  <c r="T20" i="66"/>
  <c r="P20" i="66"/>
  <c r="X20" i="66" s="1"/>
  <c r="Z20" i="66" s="1"/>
  <c r="H20" i="66"/>
  <c r="D20" i="66"/>
  <c r="L20" i="66" s="1"/>
  <c r="N20" i="66" s="1"/>
  <c r="B20" i="66"/>
  <c r="T19" i="66"/>
  <c r="P19" i="66"/>
  <c r="X19" i="66" s="1"/>
  <c r="H19" i="66"/>
  <c r="D19" i="66"/>
  <c r="B19" i="66"/>
  <c r="T18" i="66"/>
  <c r="Z18" i="66" s="1"/>
  <c r="P18" i="66"/>
  <c r="X18" i="66" s="1"/>
  <c r="L18" i="66"/>
  <c r="N18" i="66" s="1"/>
  <c r="H18" i="66"/>
  <c r="D18" i="66"/>
  <c r="B18" i="66"/>
  <c r="X17" i="66"/>
  <c r="T17" i="66"/>
  <c r="Z17" i="66" s="1"/>
  <c r="P17" i="66"/>
  <c r="N17" i="66"/>
  <c r="L17" i="66"/>
  <c r="H17" i="66"/>
  <c r="D17" i="66"/>
  <c r="B17" i="66"/>
  <c r="T16" i="66"/>
  <c r="P16" i="66"/>
  <c r="N16" i="66"/>
  <c r="H16" i="66"/>
  <c r="D16" i="66"/>
  <c r="L16" i="66" s="1"/>
  <c r="B16" i="66"/>
  <c r="T15" i="66"/>
  <c r="P15" i="66"/>
  <c r="H15" i="66"/>
  <c r="N15" i="66" s="1"/>
  <c r="D15" i="66"/>
  <c r="L15" i="66" s="1"/>
  <c r="B15" i="66"/>
  <c r="X14" i="66"/>
  <c r="Z14" i="66" s="1"/>
  <c r="T14" i="66"/>
  <c r="P14" i="66"/>
  <c r="H14" i="66"/>
  <c r="D14" i="66"/>
  <c r="L14" i="66" s="1"/>
  <c r="B14" i="66"/>
  <c r="Z13" i="66"/>
  <c r="X13" i="66"/>
  <c r="T13" i="66"/>
  <c r="P13" i="66"/>
  <c r="H13" i="66"/>
  <c r="D13" i="66"/>
  <c r="L13" i="66" s="1"/>
  <c r="B13" i="66"/>
  <c r="D12" i="66"/>
  <c r="D6" i="66"/>
  <c r="D4" i="66"/>
  <c r="Z40" i="65"/>
  <c r="X40" i="65"/>
  <c r="N40" i="65"/>
  <c r="L40" i="65"/>
  <c r="Z36" i="65"/>
  <c r="X36" i="65"/>
  <c r="T36" i="65"/>
  <c r="P36" i="65"/>
  <c r="H36" i="65"/>
  <c r="N36" i="65" s="1"/>
  <c r="D36" i="65"/>
  <c r="X34" i="65"/>
  <c r="Z34" i="65" s="1"/>
  <c r="L34" i="65"/>
  <c r="N34" i="65" s="1"/>
  <c r="B34" i="65"/>
  <c r="T33" i="65"/>
  <c r="P33" i="65"/>
  <c r="X33" i="65" s="1"/>
  <c r="Z33" i="65" s="1"/>
  <c r="N33" i="65"/>
  <c r="L33" i="65"/>
  <c r="H33" i="65"/>
  <c r="D33" i="65"/>
  <c r="B33" i="65"/>
  <c r="Z32" i="65"/>
  <c r="X32" i="65"/>
  <c r="V32" i="65"/>
  <c r="N32" i="65"/>
  <c r="L32" i="65"/>
  <c r="B32" i="65"/>
  <c r="Z31" i="65"/>
  <c r="X31" i="65"/>
  <c r="T31" i="65"/>
  <c r="P31" i="65"/>
  <c r="L31" i="65"/>
  <c r="H31" i="65"/>
  <c r="N31" i="65" s="1"/>
  <c r="D31" i="65"/>
  <c r="B31" i="65"/>
  <c r="X30" i="65"/>
  <c r="Z30" i="65" s="1"/>
  <c r="V30" i="65"/>
  <c r="N30" i="65"/>
  <c r="L30" i="65"/>
  <c r="B30" i="65"/>
  <c r="X29" i="65"/>
  <c r="Z29" i="65" s="1"/>
  <c r="V29" i="65"/>
  <c r="N29" i="65"/>
  <c r="L29" i="65"/>
  <c r="B29" i="65"/>
  <c r="Z28" i="65"/>
  <c r="X28" i="65"/>
  <c r="V28" i="65"/>
  <c r="T28" i="65"/>
  <c r="P28" i="65"/>
  <c r="H28" i="65"/>
  <c r="D28" i="65"/>
  <c r="B28" i="65"/>
  <c r="Z27" i="65"/>
  <c r="X27" i="65"/>
  <c r="V27" i="65"/>
  <c r="N27" i="65"/>
  <c r="L27" i="65"/>
  <c r="B27" i="65"/>
  <c r="X26" i="65"/>
  <c r="Z26" i="65" s="1"/>
  <c r="V26" i="65"/>
  <c r="N26" i="65"/>
  <c r="L26" i="65"/>
  <c r="B26" i="65"/>
  <c r="X25" i="65"/>
  <c r="V25" i="65"/>
  <c r="T25" i="65"/>
  <c r="Z25" i="65" s="1"/>
  <c r="P25" i="65"/>
  <c r="H25" i="65"/>
  <c r="N25" i="65" s="1"/>
  <c r="D25" i="65"/>
  <c r="L25" i="65" s="1"/>
  <c r="B25" i="65"/>
  <c r="X24" i="65"/>
  <c r="Z24" i="65" s="1"/>
  <c r="N24" i="65"/>
  <c r="L24" i="65"/>
  <c r="B24" i="65"/>
  <c r="V23" i="65"/>
  <c r="T23" i="65"/>
  <c r="Z23" i="65" s="1"/>
  <c r="P23" i="65"/>
  <c r="X23" i="65" s="1"/>
  <c r="H23" i="65"/>
  <c r="D23" i="65"/>
  <c r="L23" i="65" s="1"/>
  <c r="N23" i="65" s="1"/>
  <c r="B23" i="65"/>
  <c r="Z22" i="65"/>
  <c r="X22" i="65"/>
  <c r="L22" i="65"/>
  <c r="N22" i="65" s="1"/>
  <c r="B22" i="65"/>
  <c r="V21" i="65"/>
  <c r="T21" i="65"/>
  <c r="P21" i="65"/>
  <c r="X21" i="65" s="1"/>
  <c r="Z21" i="65" s="1"/>
  <c r="N21" i="65"/>
  <c r="L21" i="65"/>
  <c r="H21" i="65"/>
  <c r="D21" i="65"/>
  <c r="B21" i="65"/>
  <c r="Z20" i="65"/>
  <c r="X20" i="65"/>
  <c r="V20" i="65"/>
  <c r="L20" i="65"/>
  <c r="N20" i="65" s="1"/>
  <c r="B20" i="65"/>
  <c r="Z19" i="65"/>
  <c r="X19" i="65"/>
  <c r="V19" i="65"/>
  <c r="T19" i="65"/>
  <c r="P19" i="65"/>
  <c r="L19" i="65"/>
  <c r="H19" i="65"/>
  <c r="N19" i="65" s="1"/>
  <c r="D19" i="65"/>
  <c r="B19" i="65"/>
  <c r="V18" i="65"/>
  <c r="T18" i="65"/>
  <c r="R18" i="65"/>
  <c r="P18" i="65"/>
  <c r="X18" i="65" s="1"/>
  <c r="H18" i="65"/>
  <c r="D18" i="65"/>
  <c r="L18" i="65" s="1"/>
  <c r="P16" i="65"/>
  <c r="P38" i="65" s="1"/>
  <c r="V14" i="65"/>
  <c r="T14" i="65"/>
  <c r="T16" i="65" s="1"/>
  <c r="R14" i="65"/>
  <c r="P14" i="65"/>
  <c r="H14" i="65"/>
  <c r="N14" i="65" s="1"/>
  <c r="D14" i="65"/>
  <c r="L14" i="65" s="1"/>
  <c r="Z12" i="65"/>
  <c r="X12" i="65"/>
  <c r="T12" i="65"/>
  <c r="V33" i="65" s="1"/>
  <c r="P12" i="65"/>
  <c r="R16" i="65" s="1"/>
  <c r="H12" i="65"/>
  <c r="J31" i="65" s="1"/>
  <c r="D12" i="65"/>
  <c r="F28" i="65" s="1"/>
  <c r="D6" i="65"/>
  <c r="D4" i="65"/>
  <c r="X84" i="64"/>
  <c r="Z84" i="64" s="1"/>
  <c r="L84" i="64"/>
  <c r="N84" i="64" s="1"/>
  <c r="Z80" i="64"/>
  <c r="X80" i="64"/>
  <c r="T80" i="64"/>
  <c r="P80" i="64"/>
  <c r="H80" i="64"/>
  <c r="N80" i="64" s="1"/>
  <c r="D80" i="64"/>
  <c r="X78" i="64"/>
  <c r="Z78" i="64" s="1"/>
  <c r="N78" i="64"/>
  <c r="L78" i="64"/>
  <c r="B78" i="64"/>
  <c r="T77" i="64"/>
  <c r="Z77" i="64" s="1"/>
  <c r="P77" i="64"/>
  <c r="X77" i="64" s="1"/>
  <c r="N77" i="64"/>
  <c r="H77" i="64"/>
  <c r="D77" i="64"/>
  <c r="L77" i="64" s="1"/>
  <c r="B77" i="64"/>
  <c r="Z76" i="64"/>
  <c r="X76" i="64"/>
  <c r="L76" i="64"/>
  <c r="N76" i="64" s="1"/>
  <c r="B76" i="64"/>
  <c r="T75" i="64"/>
  <c r="P75" i="64"/>
  <c r="X75" i="64" s="1"/>
  <c r="Z75" i="64" s="1"/>
  <c r="N75" i="64"/>
  <c r="L75" i="64"/>
  <c r="H75" i="64"/>
  <c r="D75" i="64"/>
  <c r="B75" i="64"/>
  <c r="X74" i="64"/>
  <c r="Z74" i="64" s="1"/>
  <c r="N74" i="64"/>
  <c r="L74" i="64"/>
  <c r="B74" i="64"/>
  <c r="Z73" i="64"/>
  <c r="X73" i="64"/>
  <c r="N73" i="64"/>
  <c r="L73" i="64"/>
  <c r="B73" i="64"/>
  <c r="Z72" i="64"/>
  <c r="X72" i="64"/>
  <c r="N72" i="64"/>
  <c r="L72" i="64"/>
  <c r="B72" i="64"/>
  <c r="Z71" i="64"/>
  <c r="X71" i="64"/>
  <c r="N71" i="64"/>
  <c r="L71" i="64"/>
  <c r="B71" i="64"/>
  <c r="T70" i="64"/>
  <c r="Z70" i="64" s="1"/>
  <c r="P70" i="64"/>
  <c r="X70" i="64" s="1"/>
  <c r="N70" i="64"/>
  <c r="H70" i="64"/>
  <c r="D70" i="64"/>
  <c r="L70" i="64" s="1"/>
  <c r="B70" i="64"/>
  <c r="Z69" i="64"/>
  <c r="X69" i="64"/>
  <c r="N69" i="64"/>
  <c r="L69" i="64"/>
  <c r="B69" i="64"/>
  <c r="Z68" i="64"/>
  <c r="X68" i="64"/>
  <c r="N68" i="64"/>
  <c r="L68" i="64"/>
  <c r="B68" i="64"/>
  <c r="T67" i="64"/>
  <c r="P67" i="64"/>
  <c r="X67" i="64" s="1"/>
  <c r="Z67" i="64" s="1"/>
  <c r="N67" i="64"/>
  <c r="L67" i="64"/>
  <c r="H67" i="64"/>
  <c r="D67" i="64"/>
  <c r="B67" i="64"/>
  <c r="Z66" i="64"/>
  <c r="X66" i="64"/>
  <c r="N66" i="64"/>
  <c r="L66" i="64"/>
  <c r="B66" i="64"/>
  <c r="Z65" i="64"/>
  <c r="X65" i="64"/>
  <c r="N65" i="64"/>
  <c r="L65" i="64"/>
  <c r="B65" i="64"/>
  <c r="T64" i="64"/>
  <c r="P64" i="64"/>
  <c r="X64" i="64" s="1"/>
  <c r="Z64" i="64" s="1"/>
  <c r="L64" i="64"/>
  <c r="N64" i="64" s="1"/>
  <c r="H64" i="64"/>
  <c r="D64" i="64"/>
  <c r="B64" i="64"/>
  <c r="Z63" i="64"/>
  <c r="X63" i="64"/>
  <c r="N63" i="64"/>
  <c r="L63" i="64"/>
  <c r="B63" i="64"/>
  <c r="Z62" i="64"/>
  <c r="X62" i="64"/>
  <c r="T62" i="64"/>
  <c r="P62" i="64"/>
  <c r="H62" i="64"/>
  <c r="N62" i="64" s="1"/>
  <c r="D62" i="64"/>
  <c r="B62" i="64"/>
  <c r="Z61" i="64"/>
  <c r="X61" i="64"/>
  <c r="N61" i="64"/>
  <c r="L61" i="64"/>
  <c r="B61" i="64"/>
  <c r="T60" i="64"/>
  <c r="P60" i="64"/>
  <c r="H60" i="64"/>
  <c r="N60" i="64" s="1"/>
  <c r="D60" i="64"/>
  <c r="L60" i="64" s="1"/>
  <c r="B60" i="64"/>
  <c r="Z59" i="64"/>
  <c r="X59" i="64"/>
  <c r="N59" i="64"/>
  <c r="L59" i="64"/>
  <c r="B59" i="64"/>
  <c r="T58" i="64"/>
  <c r="Z58" i="64" s="1"/>
  <c r="P58" i="64"/>
  <c r="X58" i="64" s="1"/>
  <c r="N58" i="64"/>
  <c r="H58" i="64"/>
  <c r="D58" i="64"/>
  <c r="L58" i="64" s="1"/>
  <c r="B58" i="64"/>
  <c r="Z57" i="64"/>
  <c r="X57" i="64"/>
  <c r="N57" i="64"/>
  <c r="L57" i="64"/>
  <c r="B57" i="64"/>
  <c r="Z56" i="64"/>
  <c r="X56" i="64"/>
  <c r="N56" i="64"/>
  <c r="L56" i="64"/>
  <c r="B56" i="64"/>
  <c r="Z55" i="64"/>
  <c r="T55" i="64"/>
  <c r="P55" i="64"/>
  <c r="X55" i="64" s="1"/>
  <c r="N55" i="64"/>
  <c r="L55" i="64"/>
  <c r="H55" i="64"/>
  <c r="D55" i="64"/>
  <c r="B55" i="64"/>
  <c r="X54" i="64"/>
  <c r="Z54" i="64" s="1"/>
  <c r="N54" i="64"/>
  <c r="L54" i="64"/>
  <c r="B54" i="64"/>
  <c r="Z53" i="64"/>
  <c r="X53" i="64"/>
  <c r="T53" i="64"/>
  <c r="P53" i="64"/>
  <c r="N53" i="64"/>
  <c r="L53" i="64"/>
  <c r="H53" i="64"/>
  <c r="D53" i="64"/>
  <c r="B53" i="64"/>
  <c r="X52" i="64"/>
  <c r="Z52" i="64" s="1"/>
  <c r="N52" i="64"/>
  <c r="L52" i="64"/>
  <c r="B52" i="64"/>
  <c r="X51" i="64"/>
  <c r="Z51" i="64" s="1"/>
  <c r="T51" i="64"/>
  <c r="P51" i="64"/>
  <c r="H51" i="64"/>
  <c r="N51" i="64" s="1"/>
  <c r="D51" i="64"/>
  <c r="L51" i="64" s="1"/>
  <c r="B51" i="64"/>
  <c r="Z50" i="64"/>
  <c r="X50" i="64"/>
  <c r="N50" i="64"/>
  <c r="L50" i="64"/>
  <c r="B50" i="64"/>
  <c r="Z49" i="64"/>
  <c r="X49" i="64"/>
  <c r="N49" i="64"/>
  <c r="L49" i="64"/>
  <c r="B49" i="64"/>
  <c r="X48" i="64"/>
  <c r="Z48" i="64" s="1"/>
  <c r="N48" i="64"/>
  <c r="L48" i="64"/>
  <c r="B48" i="64"/>
  <c r="Z47" i="64"/>
  <c r="X47" i="64"/>
  <c r="N47" i="64"/>
  <c r="L47" i="64"/>
  <c r="B47" i="64"/>
  <c r="X46" i="64"/>
  <c r="Z46" i="64" s="1"/>
  <c r="T46" i="64"/>
  <c r="P46" i="64"/>
  <c r="H46" i="64"/>
  <c r="N46" i="64" s="1"/>
  <c r="D46" i="64"/>
  <c r="B46" i="64"/>
  <c r="Z45" i="64"/>
  <c r="X45" i="64"/>
  <c r="N45" i="64"/>
  <c r="L45" i="64"/>
  <c r="B45" i="64"/>
  <c r="X44" i="64"/>
  <c r="Z44" i="64" s="1"/>
  <c r="N44" i="64"/>
  <c r="L44" i="64"/>
  <c r="B44" i="64"/>
  <c r="Z43" i="64"/>
  <c r="X43" i="64"/>
  <c r="N43" i="64"/>
  <c r="L43" i="64"/>
  <c r="B43" i="64"/>
  <c r="X42" i="64"/>
  <c r="Z42" i="64" s="1"/>
  <c r="T42" i="64"/>
  <c r="P42" i="64"/>
  <c r="H42" i="64"/>
  <c r="N42" i="64" s="1"/>
  <c r="D42" i="64"/>
  <c r="B42" i="64"/>
  <c r="T41" i="64"/>
  <c r="Z41" i="64" s="1"/>
  <c r="P41" i="64"/>
  <c r="X41" i="64" s="1"/>
  <c r="H41" i="64"/>
  <c r="D41" i="64"/>
  <c r="L41" i="64" s="1"/>
  <c r="N41" i="64" s="1"/>
  <c r="Z37" i="64"/>
  <c r="X37" i="64"/>
  <c r="N37" i="64"/>
  <c r="L37" i="64"/>
  <c r="B37" i="64"/>
  <c r="Z36" i="64"/>
  <c r="X36" i="64"/>
  <c r="N36" i="64"/>
  <c r="L36" i="64"/>
  <c r="B36" i="64"/>
  <c r="X35" i="64"/>
  <c r="Z35" i="64" s="1"/>
  <c r="N35" i="64"/>
  <c r="L35" i="64"/>
  <c r="B35" i="64"/>
  <c r="Z34" i="64"/>
  <c r="X34" i="64"/>
  <c r="N34" i="64"/>
  <c r="L34" i="64"/>
  <c r="B34" i="64"/>
  <c r="Z33" i="64"/>
  <c r="X33" i="64"/>
  <c r="N33" i="64"/>
  <c r="L33" i="64"/>
  <c r="B33" i="64"/>
  <c r="Z32" i="64"/>
  <c r="X32" i="64"/>
  <c r="L32" i="64"/>
  <c r="N32" i="64" s="1"/>
  <c r="B32" i="64"/>
  <c r="Z31" i="64"/>
  <c r="X31" i="64"/>
  <c r="N31" i="64"/>
  <c r="L31" i="64"/>
  <c r="B31" i="64"/>
  <c r="X30" i="64"/>
  <c r="Z30" i="64" s="1"/>
  <c r="N30" i="64"/>
  <c r="L30" i="64"/>
  <c r="B30" i="64"/>
  <c r="Z29" i="64"/>
  <c r="X29" i="64"/>
  <c r="N29" i="64"/>
  <c r="L29" i="64"/>
  <c r="B29" i="64"/>
  <c r="Z28" i="64"/>
  <c r="X28" i="64"/>
  <c r="N28" i="64"/>
  <c r="L28" i="64"/>
  <c r="B28" i="64"/>
  <c r="X27" i="64"/>
  <c r="T27" i="64"/>
  <c r="Z27" i="64" s="1"/>
  <c r="P27" i="64"/>
  <c r="H27" i="64"/>
  <c r="N27" i="64" s="1"/>
  <c r="D27" i="64"/>
  <c r="L27" i="64" s="1"/>
  <c r="T25" i="64"/>
  <c r="Z25" i="64" s="1"/>
  <c r="P25" i="64"/>
  <c r="X25" i="64" s="1"/>
  <c r="L25" i="64"/>
  <c r="H25" i="64"/>
  <c r="N25" i="64" s="1"/>
  <c r="D25" i="64"/>
  <c r="B25" i="64"/>
  <c r="T24" i="64"/>
  <c r="Z24" i="64" s="1"/>
  <c r="P24" i="64"/>
  <c r="X24" i="64" s="1"/>
  <c r="N24" i="64"/>
  <c r="H24" i="64"/>
  <c r="L24" i="64" s="1"/>
  <c r="D24" i="64"/>
  <c r="B24" i="64"/>
  <c r="T23" i="64"/>
  <c r="Z23" i="64" s="1"/>
  <c r="P23" i="64"/>
  <c r="X23" i="64" s="1"/>
  <c r="N23" i="64"/>
  <c r="L23" i="64"/>
  <c r="H23" i="64"/>
  <c r="D23" i="64"/>
  <c r="B23" i="64"/>
  <c r="T22" i="64"/>
  <c r="Z22" i="64" s="1"/>
  <c r="P22" i="64"/>
  <c r="X22" i="64" s="1"/>
  <c r="N22" i="64"/>
  <c r="H22" i="64"/>
  <c r="D22" i="64"/>
  <c r="L22" i="64" s="1"/>
  <c r="B22" i="64"/>
  <c r="X21" i="64"/>
  <c r="T21" i="64"/>
  <c r="Z21" i="64" s="1"/>
  <c r="P21" i="64"/>
  <c r="N21" i="64"/>
  <c r="H21" i="64"/>
  <c r="D21" i="64"/>
  <c r="L21" i="64" s="1"/>
  <c r="B21" i="64"/>
  <c r="Z20" i="64"/>
  <c r="T20" i="64"/>
  <c r="X20" i="64" s="1"/>
  <c r="P20" i="64"/>
  <c r="H20" i="64"/>
  <c r="N20" i="64" s="1"/>
  <c r="D20" i="64"/>
  <c r="L20" i="64" s="1"/>
  <c r="B20" i="64"/>
  <c r="X19" i="64"/>
  <c r="Z19" i="64" s="1"/>
  <c r="T19" i="64"/>
  <c r="P19" i="64"/>
  <c r="H19" i="64"/>
  <c r="N19" i="64" s="1"/>
  <c r="D19" i="64"/>
  <c r="L19" i="64" s="1"/>
  <c r="B19" i="64"/>
  <c r="Z18" i="64"/>
  <c r="X18" i="64"/>
  <c r="T18" i="64"/>
  <c r="P18" i="64"/>
  <c r="H18" i="64"/>
  <c r="N18" i="64" s="1"/>
  <c r="D18" i="64"/>
  <c r="L18" i="64" s="1"/>
  <c r="B18" i="64"/>
  <c r="T17" i="64"/>
  <c r="P17" i="64"/>
  <c r="X17" i="64" s="1"/>
  <c r="Z17" i="64" s="1"/>
  <c r="L17" i="64"/>
  <c r="H17" i="64"/>
  <c r="N17" i="64" s="1"/>
  <c r="D17" i="64"/>
  <c r="B17" i="64"/>
  <c r="T16" i="64"/>
  <c r="P16" i="64"/>
  <c r="X16" i="64" s="1"/>
  <c r="N16" i="64"/>
  <c r="H16" i="64"/>
  <c r="L16" i="64" s="1"/>
  <c r="D16" i="64"/>
  <c r="B16" i="64"/>
  <c r="T15" i="64"/>
  <c r="P15" i="64"/>
  <c r="X15" i="64" s="1"/>
  <c r="N15" i="64"/>
  <c r="L15" i="64"/>
  <c r="H15" i="64"/>
  <c r="D15" i="64"/>
  <c r="B15" i="64"/>
  <c r="T14" i="64"/>
  <c r="Z14" i="64" s="1"/>
  <c r="P14" i="64"/>
  <c r="X14" i="64" s="1"/>
  <c r="N14" i="64"/>
  <c r="L14" i="64"/>
  <c r="H14" i="64"/>
  <c r="D14" i="64"/>
  <c r="B14" i="64"/>
  <c r="X13" i="64"/>
  <c r="T13" i="64"/>
  <c r="Z13" i="64" s="1"/>
  <c r="P13" i="64"/>
  <c r="P12" i="64" s="1"/>
  <c r="N13" i="64"/>
  <c r="H13" i="64"/>
  <c r="H12" i="64" s="1"/>
  <c r="D13" i="64"/>
  <c r="L13" i="64" s="1"/>
  <c r="B13" i="64"/>
  <c r="D6" i="64"/>
  <c r="D4" i="64"/>
  <c r="Z40" i="63"/>
  <c r="X40" i="63"/>
  <c r="N40" i="63"/>
  <c r="L40" i="63"/>
  <c r="J40" i="63"/>
  <c r="T36" i="63"/>
  <c r="Z36" i="63" s="1"/>
  <c r="P36" i="63"/>
  <c r="H36" i="63"/>
  <c r="N36" i="63" s="1"/>
  <c r="D36" i="63"/>
  <c r="L36" i="63" s="1"/>
  <c r="Z34" i="63"/>
  <c r="X34" i="63"/>
  <c r="N34" i="63"/>
  <c r="L34" i="63"/>
  <c r="J34" i="63"/>
  <c r="B34" i="63"/>
  <c r="Z33" i="63"/>
  <c r="T33" i="63"/>
  <c r="P33" i="63"/>
  <c r="X33" i="63" s="1"/>
  <c r="N33" i="63"/>
  <c r="L33" i="63"/>
  <c r="H33" i="63"/>
  <c r="D33" i="63"/>
  <c r="B33" i="63"/>
  <c r="Z32" i="63"/>
  <c r="X32" i="63"/>
  <c r="N32" i="63"/>
  <c r="L32" i="63"/>
  <c r="B32" i="63"/>
  <c r="Z31" i="63"/>
  <c r="X31" i="63"/>
  <c r="T31" i="63"/>
  <c r="P31" i="63"/>
  <c r="N31" i="63"/>
  <c r="L31" i="63"/>
  <c r="J31" i="63"/>
  <c r="H31" i="63"/>
  <c r="D31" i="63"/>
  <c r="B31" i="63"/>
  <c r="Z30" i="63"/>
  <c r="X30" i="63"/>
  <c r="N30" i="63"/>
  <c r="L30" i="63"/>
  <c r="B30" i="63"/>
  <c r="Z29" i="63"/>
  <c r="X29" i="63"/>
  <c r="T29" i="63"/>
  <c r="P29" i="63"/>
  <c r="J29" i="63"/>
  <c r="H29" i="63"/>
  <c r="N29" i="63" s="1"/>
  <c r="D29" i="63"/>
  <c r="L29" i="63" s="1"/>
  <c r="B29" i="63"/>
  <c r="Z28" i="63"/>
  <c r="X28" i="63"/>
  <c r="N28" i="63"/>
  <c r="L28" i="63"/>
  <c r="J28" i="63"/>
  <c r="B28" i="63"/>
  <c r="T27" i="63"/>
  <c r="Z27" i="63" s="1"/>
  <c r="P27" i="63"/>
  <c r="X27" i="63" s="1"/>
  <c r="N27" i="63"/>
  <c r="H27" i="63"/>
  <c r="D27" i="63"/>
  <c r="L27" i="63" s="1"/>
  <c r="B27" i="63"/>
  <c r="Z26" i="63"/>
  <c r="X26" i="63"/>
  <c r="N26" i="63"/>
  <c r="L26" i="63"/>
  <c r="J26" i="63"/>
  <c r="B26" i="63"/>
  <c r="Z25" i="63"/>
  <c r="X25" i="63"/>
  <c r="N25" i="63"/>
  <c r="L25" i="63"/>
  <c r="J25" i="63"/>
  <c r="B25" i="63"/>
  <c r="T24" i="63"/>
  <c r="P24" i="63"/>
  <c r="X24" i="63" s="1"/>
  <c r="N24" i="63"/>
  <c r="H24" i="63"/>
  <c r="D24" i="63"/>
  <c r="L24" i="63" s="1"/>
  <c r="B24" i="63"/>
  <c r="Z23" i="63"/>
  <c r="X23" i="63"/>
  <c r="N23" i="63"/>
  <c r="L23" i="63"/>
  <c r="J23" i="63"/>
  <c r="F23" i="63"/>
  <c r="B23" i="63"/>
  <c r="Z22" i="63"/>
  <c r="X22" i="63"/>
  <c r="N22" i="63"/>
  <c r="L22" i="63"/>
  <c r="J22" i="63"/>
  <c r="F22" i="63"/>
  <c r="B22" i="63"/>
  <c r="Z21" i="63"/>
  <c r="X21" i="63"/>
  <c r="N21" i="63"/>
  <c r="L21" i="63"/>
  <c r="J21" i="63"/>
  <c r="B21" i="63"/>
  <c r="X20" i="63"/>
  <c r="Z20" i="63" s="1"/>
  <c r="N20" i="63"/>
  <c r="L20" i="63"/>
  <c r="J20" i="63"/>
  <c r="B20" i="63"/>
  <c r="T19" i="63"/>
  <c r="Z19" i="63" s="1"/>
  <c r="P19" i="63"/>
  <c r="X19" i="63" s="1"/>
  <c r="N19" i="63"/>
  <c r="J19" i="63"/>
  <c r="H19" i="63"/>
  <c r="F19" i="63"/>
  <c r="D19" i="63"/>
  <c r="L19" i="63" s="1"/>
  <c r="B19" i="63"/>
  <c r="T18" i="63"/>
  <c r="P18" i="63"/>
  <c r="X18" i="63" s="1"/>
  <c r="Z18" i="63" s="1"/>
  <c r="N18" i="63"/>
  <c r="L18" i="63"/>
  <c r="J18" i="63"/>
  <c r="H18" i="63"/>
  <c r="D18" i="63"/>
  <c r="H16" i="63"/>
  <c r="N16" i="63" s="1"/>
  <c r="F16" i="63"/>
  <c r="D16" i="63"/>
  <c r="D38" i="63" s="1"/>
  <c r="Z14" i="63"/>
  <c r="T14" i="63"/>
  <c r="P14" i="63"/>
  <c r="X14" i="63" s="1"/>
  <c r="N14" i="63"/>
  <c r="L14" i="63"/>
  <c r="J14" i="63"/>
  <c r="H14" i="63"/>
  <c r="D14" i="63"/>
  <c r="T12" i="63"/>
  <c r="V45" i="63" s="1"/>
  <c r="P12" i="63"/>
  <c r="R23" i="63" s="1"/>
  <c r="N12" i="63"/>
  <c r="H12" i="63"/>
  <c r="J30" i="63" s="1"/>
  <c r="D12" i="63"/>
  <c r="F45" i="63" s="1"/>
  <c r="D6" i="63"/>
  <c r="D4" i="63"/>
  <c r="Z100" i="62"/>
  <c r="X100" i="62"/>
  <c r="N100" i="62"/>
  <c r="L100" i="62"/>
  <c r="T96" i="62"/>
  <c r="P96" i="62"/>
  <c r="X96" i="62" s="1"/>
  <c r="H96" i="62"/>
  <c r="D96" i="62"/>
  <c r="D95" i="62" s="1"/>
  <c r="L95" i="62" s="1"/>
  <c r="N95" i="62" s="1"/>
  <c r="B96" i="62"/>
  <c r="H95" i="62"/>
  <c r="Z93" i="62"/>
  <c r="X93" i="62"/>
  <c r="N93" i="62"/>
  <c r="L93" i="62"/>
  <c r="B93" i="62"/>
  <c r="X92" i="62"/>
  <c r="T92" i="62"/>
  <c r="Z92" i="62" s="1"/>
  <c r="P92" i="62"/>
  <c r="H92" i="62"/>
  <c r="D92" i="62"/>
  <c r="L92" i="62" s="1"/>
  <c r="B92" i="62"/>
  <c r="Z91" i="62"/>
  <c r="X91" i="62"/>
  <c r="N91" i="62"/>
  <c r="L91" i="62"/>
  <c r="B91" i="62"/>
  <c r="X90" i="62"/>
  <c r="Z90" i="62" s="1"/>
  <c r="N90" i="62"/>
  <c r="L90" i="62"/>
  <c r="B90" i="62"/>
  <c r="T89" i="62"/>
  <c r="P89" i="62"/>
  <c r="X89" i="62" s="1"/>
  <c r="N89" i="62"/>
  <c r="H89" i="62"/>
  <c r="D89" i="62"/>
  <c r="L89" i="62" s="1"/>
  <c r="B89" i="62"/>
  <c r="Z88" i="62"/>
  <c r="X88" i="62"/>
  <c r="N88" i="62"/>
  <c r="L88" i="62"/>
  <c r="B88" i="62"/>
  <c r="T87" i="62"/>
  <c r="P87" i="62"/>
  <c r="X87" i="62" s="1"/>
  <c r="Z87" i="62" s="1"/>
  <c r="N87" i="62"/>
  <c r="L87" i="62"/>
  <c r="H87" i="62"/>
  <c r="D87" i="62"/>
  <c r="B87" i="62"/>
  <c r="Z86" i="62"/>
  <c r="X86" i="62"/>
  <c r="L86" i="62"/>
  <c r="N86" i="62" s="1"/>
  <c r="B86" i="62"/>
  <c r="Z85" i="62"/>
  <c r="X85" i="62"/>
  <c r="T85" i="62"/>
  <c r="P85" i="62"/>
  <c r="L85" i="62"/>
  <c r="N85" i="62" s="1"/>
  <c r="H85" i="62"/>
  <c r="D85" i="62"/>
  <c r="B85" i="62"/>
  <c r="X84" i="62"/>
  <c r="Z84" i="62" s="1"/>
  <c r="N84" i="62"/>
  <c r="L84" i="62"/>
  <c r="B84" i="62"/>
  <c r="X83" i="62"/>
  <c r="Z83" i="62" s="1"/>
  <c r="N83" i="62"/>
  <c r="L83" i="62"/>
  <c r="B83" i="62"/>
  <c r="Z82" i="62"/>
  <c r="X82" i="62"/>
  <c r="L82" i="62"/>
  <c r="N82" i="62" s="1"/>
  <c r="B82" i="62"/>
  <c r="Z81" i="62"/>
  <c r="X81" i="62"/>
  <c r="N81" i="62"/>
  <c r="L81" i="62"/>
  <c r="B81" i="62"/>
  <c r="Z80" i="62"/>
  <c r="X80" i="62"/>
  <c r="L80" i="62"/>
  <c r="N80" i="62" s="1"/>
  <c r="B80" i="62"/>
  <c r="Z79" i="62"/>
  <c r="X79" i="62"/>
  <c r="N79" i="62"/>
  <c r="L79" i="62"/>
  <c r="B79" i="62"/>
  <c r="T78" i="62"/>
  <c r="P78" i="62"/>
  <c r="X78" i="62" s="1"/>
  <c r="H78" i="62"/>
  <c r="D78" i="62"/>
  <c r="L78" i="62" s="1"/>
  <c r="N78" i="62" s="1"/>
  <c r="B78" i="62"/>
  <c r="Z77" i="62"/>
  <c r="X77" i="62"/>
  <c r="N77" i="62"/>
  <c r="L77" i="62"/>
  <c r="B77" i="62"/>
  <c r="Z76" i="62"/>
  <c r="T76" i="62"/>
  <c r="P76" i="62"/>
  <c r="X76" i="62" s="1"/>
  <c r="N76" i="62"/>
  <c r="L76" i="62"/>
  <c r="H76" i="62"/>
  <c r="D76" i="62"/>
  <c r="B76" i="62"/>
  <c r="X75" i="62"/>
  <c r="Z75" i="62" s="1"/>
  <c r="N75" i="62"/>
  <c r="L75" i="62"/>
  <c r="B75" i="62"/>
  <c r="Z74" i="62"/>
  <c r="X74" i="62"/>
  <c r="N74" i="62"/>
  <c r="L74" i="62"/>
  <c r="B74" i="62"/>
  <c r="Z73" i="62"/>
  <c r="X73" i="62"/>
  <c r="N73" i="62"/>
  <c r="L73" i="62"/>
  <c r="B73" i="62"/>
  <c r="T72" i="62"/>
  <c r="P72" i="62"/>
  <c r="X72" i="62" s="1"/>
  <c r="N72" i="62"/>
  <c r="L72" i="62"/>
  <c r="H72" i="62"/>
  <c r="D72" i="62"/>
  <c r="B72" i="62"/>
  <c r="X71" i="62"/>
  <c r="Z71" i="62" s="1"/>
  <c r="N71" i="62"/>
  <c r="L71" i="62"/>
  <c r="B71" i="62"/>
  <c r="Z70" i="62"/>
  <c r="X70" i="62"/>
  <c r="L70" i="62"/>
  <c r="N70" i="62" s="1"/>
  <c r="B70" i="62"/>
  <c r="Z69" i="62"/>
  <c r="X69" i="62"/>
  <c r="N69" i="62"/>
  <c r="L69" i="62"/>
  <c r="B69" i="62"/>
  <c r="Z68" i="62"/>
  <c r="X68" i="62"/>
  <c r="N68" i="62"/>
  <c r="L68" i="62"/>
  <c r="B68" i="62"/>
  <c r="T67" i="62"/>
  <c r="P67" i="62"/>
  <c r="X67" i="62" s="1"/>
  <c r="Z67" i="62" s="1"/>
  <c r="N67" i="62"/>
  <c r="L67" i="62"/>
  <c r="H67" i="62"/>
  <c r="D67" i="62"/>
  <c r="B67" i="62"/>
  <c r="Z66" i="62"/>
  <c r="X66" i="62"/>
  <c r="L66" i="62"/>
  <c r="N66" i="62" s="1"/>
  <c r="B66" i="62"/>
  <c r="Z65" i="62"/>
  <c r="X65" i="62"/>
  <c r="T65" i="62"/>
  <c r="P65" i="62"/>
  <c r="L65" i="62"/>
  <c r="N65" i="62" s="1"/>
  <c r="H65" i="62"/>
  <c r="D65" i="62"/>
  <c r="B65" i="62"/>
  <c r="Z64" i="62"/>
  <c r="X64" i="62"/>
  <c r="N64" i="62"/>
  <c r="L64" i="62"/>
  <c r="B64" i="62"/>
  <c r="Z63" i="62"/>
  <c r="X63" i="62"/>
  <c r="T63" i="62"/>
  <c r="P63" i="62"/>
  <c r="H63" i="62"/>
  <c r="N63" i="62" s="1"/>
  <c r="D63" i="62"/>
  <c r="L63" i="62" s="1"/>
  <c r="B63" i="62"/>
  <c r="X62" i="62"/>
  <c r="Z62" i="62" s="1"/>
  <c r="N62" i="62"/>
  <c r="L62" i="62"/>
  <c r="B62" i="62"/>
  <c r="T61" i="62"/>
  <c r="P61" i="62"/>
  <c r="X61" i="62" s="1"/>
  <c r="H61" i="62"/>
  <c r="D61" i="62"/>
  <c r="L61" i="62" s="1"/>
  <c r="N61" i="62" s="1"/>
  <c r="B61" i="62"/>
  <c r="Z60" i="62"/>
  <c r="X60" i="62"/>
  <c r="L60" i="62"/>
  <c r="N60" i="62" s="1"/>
  <c r="B60" i="62"/>
  <c r="T59" i="62"/>
  <c r="P59" i="62"/>
  <c r="X59" i="62" s="1"/>
  <c r="Z59" i="62" s="1"/>
  <c r="N59" i="62"/>
  <c r="L59" i="62"/>
  <c r="H59" i="62"/>
  <c r="D59" i="62"/>
  <c r="B59" i="62"/>
  <c r="Z58" i="62"/>
  <c r="X58" i="62"/>
  <c r="L58" i="62"/>
  <c r="N58" i="62" s="1"/>
  <c r="B58" i="62"/>
  <c r="Z57" i="62"/>
  <c r="X57" i="62"/>
  <c r="T57" i="62"/>
  <c r="P57" i="62"/>
  <c r="L57" i="62"/>
  <c r="N57" i="62" s="1"/>
  <c r="H57" i="62"/>
  <c r="D57" i="62"/>
  <c r="B57" i="62"/>
  <c r="X56" i="62"/>
  <c r="Z56" i="62" s="1"/>
  <c r="N56" i="62"/>
  <c r="L56" i="62"/>
  <c r="B56" i="62"/>
  <c r="X55" i="62"/>
  <c r="Z55" i="62" s="1"/>
  <c r="T55" i="62"/>
  <c r="P55" i="62"/>
  <c r="H55" i="62"/>
  <c r="N55" i="62" s="1"/>
  <c r="D55" i="62"/>
  <c r="L55" i="62" s="1"/>
  <c r="B55" i="62"/>
  <c r="Z54" i="62"/>
  <c r="X54" i="62"/>
  <c r="N54" i="62"/>
  <c r="L54" i="62"/>
  <c r="B54" i="62"/>
  <c r="T53" i="62"/>
  <c r="Z53" i="62" s="1"/>
  <c r="P53" i="62"/>
  <c r="X53" i="62" s="1"/>
  <c r="N53" i="62"/>
  <c r="H53" i="62"/>
  <c r="D53" i="62"/>
  <c r="L53" i="62" s="1"/>
  <c r="B53" i="62"/>
  <c r="Z52" i="62"/>
  <c r="X52" i="62"/>
  <c r="N52" i="62"/>
  <c r="L52" i="62"/>
  <c r="B52" i="62"/>
  <c r="Z51" i="62"/>
  <c r="T51" i="62"/>
  <c r="P51" i="62"/>
  <c r="X51" i="62" s="1"/>
  <c r="N51" i="62"/>
  <c r="L51" i="62"/>
  <c r="H51" i="62"/>
  <c r="D51" i="62"/>
  <c r="B51" i="62"/>
  <c r="Z50" i="62"/>
  <c r="X50" i="62"/>
  <c r="N50" i="62"/>
  <c r="L50" i="62"/>
  <c r="B50" i="62"/>
  <c r="Z49" i="62"/>
  <c r="X49" i="62"/>
  <c r="N49" i="62"/>
  <c r="L49" i="62"/>
  <c r="B49" i="62"/>
  <c r="Z48" i="62"/>
  <c r="T48" i="62"/>
  <c r="P48" i="62"/>
  <c r="X48" i="62" s="1"/>
  <c r="N48" i="62"/>
  <c r="L48" i="62"/>
  <c r="H48" i="62"/>
  <c r="D48" i="62"/>
  <c r="B48" i="62"/>
  <c r="Z47" i="62"/>
  <c r="X47" i="62"/>
  <c r="N47" i="62"/>
  <c r="L47" i="62"/>
  <c r="B47" i="62"/>
  <c r="Z46" i="62"/>
  <c r="X46" i="62"/>
  <c r="L46" i="62"/>
  <c r="N46" i="62" s="1"/>
  <c r="B46" i="62"/>
  <c r="Z45" i="62"/>
  <c r="X45" i="62"/>
  <c r="T45" i="62"/>
  <c r="P45" i="62"/>
  <c r="N45" i="62"/>
  <c r="L45" i="62"/>
  <c r="H45" i="62"/>
  <c r="D45" i="62"/>
  <c r="B45" i="62"/>
  <c r="X44" i="62"/>
  <c r="Z44" i="62" s="1"/>
  <c r="N44" i="62"/>
  <c r="L44" i="62"/>
  <c r="B44" i="62"/>
  <c r="Z43" i="62"/>
  <c r="X43" i="62"/>
  <c r="T43" i="62"/>
  <c r="P43" i="62"/>
  <c r="H43" i="62"/>
  <c r="D43" i="62"/>
  <c r="L43" i="62" s="1"/>
  <c r="B43" i="62"/>
  <c r="X42" i="62"/>
  <c r="Z42" i="62" s="1"/>
  <c r="R42" i="62"/>
  <c r="N42" i="62"/>
  <c r="L42" i="62"/>
  <c r="B42" i="62"/>
  <c r="V41" i="62"/>
  <c r="T41" i="62"/>
  <c r="Z41" i="62" s="1"/>
  <c r="P41" i="62"/>
  <c r="X41" i="62" s="1"/>
  <c r="H41" i="62"/>
  <c r="D41" i="62"/>
  <c r="L41" i="62" s="1"/>
  <c r="N41" i="62" s="1"/>
  <c r="B41" i="62"/>
  <c r="Z40" i="62"/>
  <c r="X40" i="62"/>
  <c r="N40" i="62"/>
  <c r="L40" i="62"/>
  <c r="B40" i="62"/>
  <c r="T39" i="62"/>
  <c r="R39" i="62"/>
  <c r="P39" i="62"/>
  <c r="X39" i="62" s="1"/>
  <c r="Z39" i="62" s="1"/>
  <c r="N39" i="62"/>
  <c r="L39" i="62"/>
  <c r="H39" i="62"/>
  <c r="D39" i="62"/>
  <c r="B39" i="62"/>
  <c r="Z38" i="62"/>
  <c r="X38" i="62"/>
  <c r="N38" i="62"/>
  <c r="L38" i="62"/>
  <c r="B38" i="62"/>
  <c r="Z37" i="62"/>
  <c r="X37" i="62"/>
  <c r="N37" i="62"/>
  <c r="L37" i="62"/>
  <c r="B37" i="62"/>
  <c r="Z36" i="62"/>
  <c r="X36" i="62"/>
  <c r="L36" i="62"/>
  <c r="N36" i="62" s="1"/>
  <c r="B36" i="62"/>
  <c r="Z35" i="62"/>
  <c r="X35" i="62"/>
  <c r="N35" i="62"/>
  <c r="L35" i="62"/>
  <c r="B35" i="62"/>
  <c r="X34" i="62"/>
  <c r="Z34" i="62" s="1"/>
  <c r="R34" i="62"/>
  <c r="N34" i="62"/>
  <c r="L34" i="62"/>
  <c r="B34" i="62"/>
  <c r="Z33" i="62"/>
  <c r="X33" i="62"/>
  <c r="V33" i="62"/>
  <c r="R33" i="62"/>
  <c r="N33" i="62"/>
  <c r="L33" i="62"/>
  <c r="B33" i="62"/>
  <c r="X32" i="62"/>
  <c r="Z32" i="62" s="1"/>
  <c r="V32" i="62"/>
  <c r="N32" i="62"/>
  <c r="L32" i="62"/>
  <c r="B32" i="62"/>
  <c r="Z31" i="62"/>
  <c r="X31" i="62"/>
  <c r="T31" i="62"/>
  <c r="P31" i="62"/>
  <c r="H31" i="62"/>
  <c r="N31" i="62" s="1"/>
  <c r="D31" i="62"/>
  <c r="L31" i="62" s="1"/>
  <c r="B31" i="62"/>
  <c r="X30" i="62"/>
  <c r="Z30" i="62" s="1"/>
  <c r="R30" i="62"/>
  <c r="N30" i="62"/>
  <c r="L30" i="62"/>
  <c r="B30" i="62"/>
  <c r="Z29" i="62"/>
  <c r="X29" i="62"/>
  <c r="V29" i="62"/>
  <c r="R29" i="62"/>
  <c r="N29" i="62"/>
  <c r="L29" i="62"/>
  <c r="B29" i="62"/>
  <c r="X28" i="62"/>
  <c r="Z28" i="62" s="1"/>
  <c r="V28" i="62"/>
  <c r="N28" i="62"/>
  <c r="L28" i="62"/>
  <c r="B28" i="62"/>
  <c r="Z27" i="62"/>
  <c r="X27" i="62"/>
  <c r="N27" i="62"/>
  <c r="L27" i="62"/>
  <c r="B27" i="62"/>
  <c r="Z26" i="62"/>
  <c r="X26" i="62"/>
  <c r="N26" i="62"/>
  <c r="L26" i="62"/>
  <c r="B26" i="62"/>
  <c r="Z25" i="62"/>
  <c r="X25" i="62"/>
  <c r="N25" i="62"/>
  <c r="L25" i="62"/>
  <c r="B25" i="62"/>
  <c r="Z24" i="62"/>
  <c r="X24" i="62"/>
  <c r="R24" i="62"/>
  <c r="N24" i="62"/>
  <c r="L24" i="62"/>
  <c r="B24" i="62"/>
  <c r="Z23" i="62"/>
  <c r="X23" i="62"/>
  <c r="V23" i="62"/>
  <c r="N23" i="62"/>
  <c r="L23" i="62"/>
  <c r="B23" i="62"/>
  <c r="X22" i="62"/>
  <c r="Z22" i="62" s="1"/>
  <c r="R22" i="62"/>
  <c r="N22" i="62"/>
  <c r="L22" i="62"/>
  <c r="B22" i="62"/>
  <c r="Z21" i="62"/>
  <c r="X21" i="62"/>
  <c r="V21" i="62"/>
  <c r="R21" i="62"/>
  <c r="N21" i="62"/>
  <c r="L21" i="62"/>
  <c r="B21" i="62"/>
  <c r="X20" i="62"/>
  <c r="V20" i="62"/>
  <c r="T20" i="62"/>
  <c r="P20" i="62"/>
  <c r="H20" i="62"/>
  <c r="D20" i="62"/>
  <c r="B20" i="62"/>
  <c r="V19" i="62"/>
  <c r="T19" i="62"/>
  <c r="Z19" i="62" s="1"/>
  <c r="R19" i="62"/>
  <c r="P19" i="62"/>
  <c r="X19" i="62" s="1"/>
  <c r="H19" i="62"/>
  <c r="N19" i="62" s="1"/>
  <c r="D19" i="62"/>
  <c r="L19" i="62" s="1"/>
  <c r="V17" i="62"/>
  <c r="P17" i="62"/>
  <c r="H17" i="62"/>
  <c r="Z15" i="62"/>
  <c r="X15" i="62"/>
  <c r="V15" i="62"/>
  <c r="R15" i="62"/>
  <c r="N15" i="62"/>
  <c r="L15" i="62"/>
  <c r="B15" i="62"/>
  <c r="V14" i="62"/>
  <c r="T14" i="62"/>
  <c r="R14" i="62"/>
  <c r="P14" i="62"/>
  <c r="H14" i="62"/>
  <c r="N14" i="62" s="1"/>
  <c r="D14" i="62"/>
  <c r="L14" i="62" s="1"/>
  <c r="Z12" i="62"/>
  <c r="X12" i="62"/>
  <c r="T12" i="62"/>
  <c r="V88" i="62" s="1"/>
  <c r="P12" i="62"/>
  <c r="R105" i="62" s="1"/>
  <c r="H12" i="62"/>
  <c r="D12" i="62"/>
  <c r="F41" i="62" s="1"/>
  <c r="D6" i="62"/>
  <c r="D4" i="62"/>
  <c r="Z46" i="61"/>
  <c r="X46" i="61"/>
  <c r="N46" i="61"/>
  <c r="L46" i="61"/>
  <c r="Z42" i="61"/>
  <c r="X42" i="61"/>
  <c r="T42" i="61"/>
  <c r="P42" i="61"/>
  <c r="H42" i="61"/>
  <c r="D42" i="61"/>
  <c r="Z40" i="61"/>
  <c r="X40" i="61"/>
  <c r="L40" i="61"/>
  <c r="N40" i="61" s="1"/>
  <c r="B40" i="61"/>
  <c r="T39" i="61"/>
  <c r="R39" i="61"/>
  <c r="P39" i="61"/>
  <c r="X39" i="61" s="1"/>
  <c r="H39" i="61"/>
  <c r="N39" i="61" s="1"/>
  <c r="D39" i="61"/>
  <c r="L39" i="61" s="1"/>
  <c r="B39" i="61"/>
  <c r="Z38" i="61"/>
  <c r="X38" i="61"/>
  <c r="N38" i="61"/>
  <c r="L38" i="61"/>
  <c r="B38" i="61"/>
  <c r="T37" i="61"/>
  <c r="Z37" i="61" s="1"/>
  <c r="P37" i="61"/>
  <c r="X37" i="61" s="1"/>
  <c r="N37" i="61"/>
  <c r="L37" i="61"/>
  <c r="H37" i="61"/>
  <c r="D37" i="61"/>
  <c r="B37" i="61"/>
  <c r="Z36" i="61"/>
  <c r="X36" i="61"/>
  <c r="N36" i="61"/>
  <c r="L36" i="61"/>
  <c r="B36" i="61"/>
  <c r="Z35" i="61"/>
  <c r="X35" i="61"/>
  <c r="T35" i="61"/>
  <c r="P35" i="61"/>
  <c r="L35" i="61"/>
  <c r="H35" i="61"/>
  <c r="N35" i="61" s="1"/>
  <c r="D35" i="61"/>
  <c r="B35" i="61"/>
  <c r="X34" i="61"/>
  <c r="Z34" i="61" s="1"/>
  <c r="R34" i="61"/>
  <c r="N34" i="61"/>
  <c r="L34" i="61"/>
  <c r="B34" i="61"/>
  <c r="X33" i="61"/>
  <c r="T33" i="61"/>
  <c r="P33" i="61"/>
  <c r="H33" i="61"/>
  <c r="D33" i="61"/>
  <c r="B33" i="61"/>
  <c r="Z32" i="61"/>
  <c r="X32" i="61"/>
  <c r="N32" i="61"/>
  <c r="L32" i="61"/>
  <c r="B32" i="61"/>
  <c r="T31" i="61"/>
  <c r="P31" i="61"/>
  <c r="X31" i="61" s="1"/>
  <c r="H31" i="61"/>
  <c r="D31" i="61"/>
  <c r="L31" i="61" s="1"/>
  <c r="B31" i="61"/>
  <c r="Z30" i="61"/>
  <c r="X30" i="61"/>
  <c r="N30" i="61"/>
  <c r="L30" i="61"/>
  <c r="B30" i="61"/>
  <c r="Z29" i="61"/>
  <c r="X29" i="61"/>
  <c r="N29" i="61"/>
  <c r="L29" i="61"/>
  <c r="B29" i="61"/>
  <c r="Z28" i="61"/>
  <c r="X28" i="61"/>
  <c r="N28" i="61"/>
  <c r="L28" i="61"/>
  <c r="B28" i="61"/>
  <c r="T27" i="61"/>
  <c r="P27" i="61"/>
  <c r="X27" i="61" s="1"/>
  <c r="H27" i="61"/>
  <c r="F27" i="61"/>
  <c r="D27" i="61"/>
  <c r="L27" i="61" s="1"/>
  <c r="B27" i="61"/>
  <c r="Z26" i="61"/>
  <c r="X26" i="61"/>
  <c r="N26" i="61"/>
  <c r="L26" i="61"/>
  <c r="F26" i="61"/>
  <c r="B26" i="61"/>
  <c r="Z25" i="61"/>
  <c r="X25" i="61"/>
  <c r="R25" i="61"/>
  <c r="L25" i="61"/>
  <c r="N25" i="61" s="1"/>
  <c r="F25" i="61"/>
  <c r="B25" i="61"/>
  <c r="Z24" i="61"/>
  <c r="X24" i="61"/>
  <c r="N24" i="61"/>
  <c r="L24" i="61"/>
  <c r="B24" i="61"/>
  <c r="X23" i="61"/>
  <c r="Z23" i="61" s="1"/>
  <c r="N23" i="61"/>
  <c r="L23" i="61"/>
  <c r="B23" i="61"/>
  <c r="Z22" i="61"/>
  <c r="X22" i="61"/>
  <c r="N22" i="61"/>
  <c r="L22" i="61"/>
  <c r="B22" i="61"/>
  <c r="X21" i="61"/>
  <c r="Z21" i="61" s="1"/>
  <c r="R21" i="61"/>
  <c r="N21" i="61"/>
  <c r="L21" i="61"/>
  <c r="B21" i="61"/>
  <c r="X20" i="61"/>
  <c r="Z20" i="61" s="1"/>
  <c r="R20" i="61"/>
  <c r="N20" i="61"/>
  <c r="L20" i="61"/>
  <c r="F20" i="61"/>
  <c r="B20" i="61"/>
  <c r="T19" i="61"/>
  <c r="P19" i="61"/>
  <c r="X19" i="61" s="1"/>
  <c r="Z19" i="61" s="1"/>
  <c r="L19" i="61"/>
  <c r="H19" i="61"/>
  <c r="N19" i="61" s="1"/>
  <c r="D19" i="61"/>
  <c r="B19" i="61"/>
  <c r="T18" i="61"/>
  <c r="P18" i="61"/>
  <c r="X18" i="61" s="1"/>
  <c r="Z18" i="61" s="1"/>
  <c r="H18" i="61"/>
  <c r="F18" i="61"/>
  <c r="D18" i="61"/>
  <c r="L18" i="61" s="1"/>
  <c r="N18" i="61" s="1"/>
  <c r="R16" i="61"/>
  <c r="F16" i="61"/>
  <c r="Z14" i="61"/>
  <c r="T14" i="61"/>
  <c r="R14" i="61"/>
  <c r="P14" i="61"/>
  <c r="X14" i="61" s="1"/>
  <c r="N14" i="61"/>
  <c r="H14" i="61"/>
  <c r="F14" i="61"/>
  <c r="D14" i="61"/>
  <c r="L14" i="61" s="1"/>
  <c r="T12" i="61"/>
  <c r="V36" i="61" s="1"/>
  <c r="P12" i="61"/>
  <c r="H12" i="61"/>
  <c r="J38" i="61" s="1"/>
  <c r="D12" i="61"/>
  <c r="F38" i="61" s="1"/>
  <c r="D6" i="61"/>
  <c r="D4" i="61"/>
  <c r="R53" i="60"/>
  <c r="J53" i="60"/>
  <c r="F53" i="60"/>
  <c r="R50" i="60"/>
  <c r="J50" i="60"/>
  <c r="Z48" i="60"/>
  <c r="X48" i="60"/>
  <c r="N48" i="60"/>
  <c r="L48" i="60"/>
  <c r="R46" i="60"/>
  <c r="J46" i="60"/>
  <c r="F46" i="60"/>
  <c r="Z44" i="60"/>
  <c r="X44" i="60"/>
  <c r="T44" i="60"/>
  <c r="R44" i="60"/>
  <c r="P44" i="60"/>
  <c r="N44" i="60"/>
  <c r="J44" i="60"/>
  <c r="H44" i="60"/>
  <c r="D44" i="60"/>
  <c r="L44" i="60" s="1"/>
  <c r="Z42" i="60"/>
  <c r="X42" i="60"/>
  <c r="N42" i="60"/>
  <c r="L42" i="60"/>
  <c r="B42" i="60"/>
  <c r="T41" i="60"/>
  <c r="R41" i="60"/>
  <c r="P41" i="60"/>
  <c r="L41" i="60"/>
  <c r="H41" i="60"/>
  <c r="N41" i="60" s="1"/>
  <c r="D41" i="60"/>
  <c r="B41" i="60"/>
  <c r="Z40" i="60"/>
  <c r="X40" i="60"/>
  <c r="V40" i="60"/>
  <c r="R40" i="60"/>
  <c r="N40" i="60"/>
  <c r="L40" i="60"/>
  <c r="J40" i="60"/>
  <c r="F40" i="60"/>
  <c r="B40" i="60"/>
  <c r="X39" i="60"/>
  <c r="Z39" i="60" s="1"/>
  <c r="R39" i="60"/>
  <c r="N39" i="60"/>
  <c r="L39" i="60"/>
  <c r="B39" i="60"/>
  <c r="Z38" i="60"/>
  <c r="X38" i="60"/>
  <c r="N38" i="60"/>
  <c r="L38" i="60"/>
  <c r="B38" i="60"/>
  <c r="T37" i="60"/>
  <c r="R37" i="60"/>
  <c r="P37" i="60"/>
  <c r="L37" i="60"/>
  <c r="H37" i="60"/>
  <c r="N37" i="60" s="1"/>
  <c r="D37" i="60"/>
  <c r="B37" i="60"/>
  <c r="Z36" i="60"/>
  <c r="X36" i="60"/>
  <c r="V36" i="60"/>
  <c r="R36" i="60"/>
  <c r="N36" i="60"/>
  <c r="L36" i="60"/>
  <c r="J36" i="60"/>
  <c r="F36" i="60"/>
  <c r="B36" i="60"/>
  <c r="X35" i="60"/>
  <c r="Z35" i="60" s="1"/>
  <c r="R35" i="60"/>
  <c r="L35" i="60"/>
  <c r="N35" i="60" s="1"/>
  <c r="B35" i="60"/>
  <c r="T34" i="60"/>
  <c r="R34" i="60"/>
  <c r="P34" i="60"/>
  <c r="X34" i="60" s="1"/>
  <c r="Z34" i="60" s="1"/>
  <c r="J34" i="60"/>
  <c r="H34" i="60"/>
  <c r="L34" i="60" s="1"/>
  <c r="N34" i="60" s="1"/>
  <c r="F34" i="60"/>
  <c r="D34" i="60"/>
  <c r="B34" i="60"/>
  <c r="Z33" i="60"/>
  <c r="X33" i="60"/>
  <c r="R33" i="60"/>
  <c r="L33" i="60"/>
  <c r="N33" i="60" s="1"/>
  <c r="F33" i="60"/>
  <c r="B33" i="60"/>
  <c r="V32" i="60"/>
  <c r="T32" i="60"/>
  <c r="X32" i="60" s="1"/>
  <c r="Z32" i="60" s="1"/>
  <c r="R32" i="60"/>
  <c r="P32" i="60"/>
  <c r="N32" i="60"/>
  <c r="L32" i="60"/>
  <c r="H32" i="60"/>
  <c r="F32" i="60"/>
  <c r="D32" i="60"/>
  <c r="B32" i="60"/>
  <c r="Z31" i="60"/>
  <c r="X31" i="60"/>
  <c r="R31" i="60"/>
  <c r="N31" i="60"/>
  <c r="L31" i="60"/>
  <c r="F31" i="60"/>
  <c r="B31" i="60"/>
  <c r="Z30" i="60"/>
  <c r="X30" i="60"/>
  <c r="T30" i="60"/>
  <c r="R30" i="60"/>
  <c r="P30" i="60"/>
  <c r="N30" i="60"/>
  <c r="J30" i="60"/>
  <c r="H30" i="60"/>
  <c r="F30" i="60"/>
  <c r="D30" i="60"/>
  <c r="L30" i="60" s="1"/>
  <c r="B30" i="60"/>
  <c r="X29" i="60"/>
  <c r="Z29" i="60" s="1"/>
  <c r="R29" i="60"/>
  <c r="N29" i="60"/>
  <c r="L29" i="60"/>
  <c r="F29" i="60"/>
  <c r="B29" i="60"/>
  <c r="V28" i="60"/>
  <c r="T28" i="60"/>
  <c r="R28" i="60"/>
  <c r="P28" i="60"/>
  <c r="X28" i="60" s="1"/>
  <c r="Z28" i="60" s="1"/>
  <c r="J28" i="60"/>
  <c r="H28" i="60"/>
  <c r="F28" i="60"/>
  <c r="D28" i="60"/>
  <c r="L28" i="60" s="1"/>
  <c r="N28" i="60" s="1"/>
  <c r="B28" i="60"/>
  <c r="X27" i="60"/>
  <c r="Z27" i="60" s="1"/>
  <c r="R27" i="60"/>
  <c r="L27" i="60"/>
  <c r="N27" i="60" s="1"/>
  <c r="F27" i="60"/>
  <c r="B27" i="60"/>
  <c r="Z26" i="60"/>
  <c r="X26" i="60"/>
  <c r="N26" i="60"/>
  <c r="L26" i="60"/>
  <c r="B26" i="60"/>
  <c r="X25" i="60"/>
  <c r="Z25" i="60" s="1"/>
  <c r="R25" i="60"/>
  <c r="N25" i="60"/>
  <c r="L25" i="60"/>
  <c r="F25" i="60"/>
  <c r="B25" i="60"/>
  <c r="Z24" i="60"/>
  <c r="X24" i="60"/>
  <c r="V24" i="60"/>
  <c r="R24" i="60"/>
  <c r="N24" i="60"/>
  <c r="L24" i="60"/>
  <c r="J24" i="60"/>
  <c r="F24" i="60"/>
  <c r="B24" i="60"/>
  <c r="X23" i="60"/>
  <c r="Z23" i="60" s="1"/>
  <c r="R23" i="60"/>
  <c r="N23" i="60"/>
  <c r="L23" i="60"/>
  <c r="F23" i="60"/>
  <c r="B23" i="60"/>
  <c r="Z22" i="60"/>
  <c r="X22" i="60"/>
  <c r="N22" i="60"/>
  <c r="L22" i="60"/>
  <c r="J22" i="60"/>
  <c r="B22" i="60"/>
  <c r="Z21" i="60"/>
  <c r="X21" i="60"/>
  <c r="R21" i="60"/>
  <c r="L21" i="60"/>
  <c r="N21" i="60" s="1"/>
  <c r="F21" i="60"/>
  <c r="B21" i="60"/>
  <c r="Z20" i="60"/>
  <c r="X20" i="60"/>
  <c r="V20" i="60"/>
  <c r="R20" i="60"/>
  <c r="N20" i="60"/>
  <c r="L20" i="60"/>
  <c r="J20" i="60"/>
  <c r="F20" i="60"/>
  <c r="B20" i="60"/>
  <c r="T19" i="60"/>
  <c r="P19" i="60"/>
  <c r="X19" i="60" s="1"/>
  <c r="H19" i="60"/>
  <c r="F19" i="60"/>
  <c r="D19" i="60"/>
  <c r="L19" i="60" s="1"/>
  <c r="B19" i="60"/>
  <c r="Z18" i="60"/>
  <c r="X18" i="60"/>
  <c r="T18" i="60"/>
  <c r="R18" i="60"/>
  <c r="P18" i="60"/>
  <c r="J18" i="60"/>
  <c r="H18" i="60"/>
  <c r="F18" i="60"/>
  <c r="D18" i="60"/>
  <c r="L18" i="60" s="1"/>
  <c r="N18" i="60" s="1"/>
  <c r="R16" i="60"/>
  <c r="P16" i="60"/>
  <c r="P46" i="60" s="1"/>
  <c r="J16" i="60"/>
  <c r="F16" i="60"/>
  <c r="Z14" i="60"/>
  <c r="X14" i="60"/>
  <c r="T14" i="60"/>
  <c r="R14" i="60"/>
  <c r="P14" i="60"/>
  <c r="N14" i="60"/>
  <c r="J14" i="60"/>
  <c r="H14" i="60"/>
  <c r="H16" i="60" s="1"/>
  <c r="F14" i="60"/>
  <c r="D14" i="60"/>
  <c r="L14" i="60" s="1"/>
  <c r="Z12" i="60"/>
  <c r="T12" i="60"/>
  <c r="V41" i="60" s="1"/>
  <c r="P12" i="60"/>
  <c r="R48" i="60" s="1"/>
  <c r="N12" i="60"/>
  <c r="L12" i="60"/>
  <c r="H12" i="60"/>
  <c r="J33" i="60" s="1"/>
  <c r="D12" i="60"/>
  <c r="F41" i="60" s="1"/>
  <c r="D6" i="60"/>
  <c r="D4" i="60"/>
  <c r="F61" i="59"/>
  <c r="R58" i="59"/>
  <c r="F58" i="59"/>
  <c r="Z56" i="59"/>
  <c r="X56" i="59"/>
  <c r="N56" i="59"/>
  <c r="L56" i="59"/>
  <c r="F54" i="59"/>
  <c r="T52" i="59"/>
  <c r="Z52" i="59" s="1"/>
  <c r="R52" i="59"/>
  <c r="P52" i="59"/>
  <c r="N52" i="59"/>
  <c r="L52" i="59"/>
  <c r="H52" i="59"/>
  <c r="F52" i="59"/>
  <c r="D52" i="59"/>
  <c r="Z50" i="59"/>
  <c r="X50" i="59"/>
  <c r="N50" i="59"/>
  <c r="L50" i="59"/>
  <c r="B50" i="59"/>
  <c r="T49" i="59"/>
  <c r="P49" i="59"/>
  <c r="X49" i="59" s="1"/>
  <c r="H49" i="59"/>
  <c r="D49" i="59"/>
  <c r="B49" i="59"/>
  <c r="Z48" i="59"/>
  <c r="X48" i="59"/>
  <c r="N48" i="59"/>
  <c r="L48" i="59"/>
  <c r="B48" i="59"/>
  <c r="X47" i="59"/>
  <c r="Z47" i="59" s="1"/>
  <c r="R47" i="59"/>
  <c r="N47" i="59"/>
  <c r="L47" i="59"/>
  <c r="F47" i="59"/>
  <c r="B47" i="59"/>
  <c r="T46" i="59"/>
  <c r="P46" i="59"/>
  <c r="X46" i="59" s="1"/>
  <c r="Z46" i="59" s="1"/>
  <c r="H46" i="59"/>
  <c r="F46" i="59"/>
  <c r="D46" i="59"/>
  <c r="L46" i="59" s="1"/>
  <c r="N46" i="59" s="1"/>
  <c r="B46" i="59"/>
  <c r="X45" i="59"/>
  <c r="Z45" i="59" s="1"/>
  <c r="R45" i="59"/>
  <c r="N45" i="59"/>
  <c r="L45" i="59"/>
  <c r="B45" i="59"/>
  <c r="T44" i="59"/>
  <c r="R44" i="59"/>
  <c r="P44" i="59"/>
  <c r="X44" i="59" s="1"/>
  <c r="Z44" i="59" s="1"/>
  <c r="H44" i="59"/>
  <c r="N44" i="59" s="1"/>
  <c r="F44" i="59"/>
  <c r="D44" i="59"/>
  <c r="B44" i="59"/>
  <c r="Z43" i="59"/>
  <c r="X43" i="59"/>
  <c r="R43" i="59"/>
  <c r="N43" i="59"/>
  <c r="L43" i="59"/>
  <c r="F43" i="59"/>
  <c r="B43" i="59"/>
  <c r="Z42" i="59"/>
  <c r="X42" i="59"/>
  <c r="N42" i="59"/>
  <c r="L42" i="59"/>
  <c r="B42" i="59"/>
  <c r="Z41" i="59"/>
  <c r="X41" i="59"/>
  <c r="R41" i="59"/>
  <c r="N41" i="59"/>
  <c r="L41" i="59"/>
  <c r="B41" i="59"/>
  <c r="Z40" i="59"/>
  <c r="X40" i="59"/>
  <c r="N40" i="59"/>
  <c r="L40" i="59"/>
  <c r="B40" i="59"/>
  <c r="T39" i="59"/>
  <c r="P39" i="59"/>
  <c r="L39" i="59"/>
  <c r="H39" i="59"/>
  <c r="N39" i="59" s="1"/>
  <c r="D39" i="59"/>
  <c r="B39" i="59"/>
  <c r="Z38" i="59"/>
  <c r="X38" i="59"/>
  <c r="N38" i="59"/>
  <c r="L38" i="59"/>
  <c r="B38" i="59"/>
  <c r="X37" i="59"/>
  <c r="T37" i="59"/>
  <c r="Z37" i="59" s="1"/>
  <c r="P37" i="59"/>
  <c r="H37" i="59"/>
  <c r="N37" i="59" s="1"/>
  <c r="D37" i="59"/>
  <c r="L37" i="59" s="1"/>
  <c r="B37" i="59"/>
  <c r="Z36" i="59"/>
  <c r="X36" i="59"/>
  <c r="N36" i="59"/>
  <c r="L36" i="59"/>
  <c r="B36" i="59"/>
  <c r="T35" i="59"/>
  <c r="Z35" i="59" s="1"/>
  <c r="P35" i="59"/>
  <c r="X35" i="59" s="1"/>
  <c r="H35" i="59"/>
  <c r="N35" i="59" s="1"/>
  <c r="D35" i="59"/>
  <c r="L35" i="59" s="1"/>
  <c r="B35" i="59"/>
  <c r="Z34" i="59"/>
  <c r="X34" i="59"/>
  <c r="N34" i="59"/>
  <c r="L34" i="59"/>
  <c r="B34" i="59"/>
  <c r="T33" i="59"/>
  <c r="Z33" i="59" s="1"/>
  <c r="P33" i="59"/>
  <c r="X33" i="59" s="1"/>
  <c r="H33" i="59"/>
  <c r="D33" i="59"/>
  <c r="B33" i="59"/>
  <c r="Z32" i="59"/>
  <c r="X32" i="59"/>
  <c r="N32" i="59"/>
  <c r="L32" i="59"/>
  <c r="B32" i="59"/>
  <c r="X31" i="59"/>
  <c r="Z31" i="59" s="1"/>
  <c r="R31" i="59"/>
  <c r="N31" i="59"/>
  <c r="L31" i="59"/>
  <c r="F31" i="59"/>
  <c r="B31" i="59"/>
  <c r="Z30" i="59"/>
  <c r="X30" i="59"/>
  <c r="N30" i="59"/>
  <c r="L30" i="59"/>
  <c r="B30" i="59"/>
  <c r="T29" i="59"/>
  <c r="P29" i="59"/>
  <c r="X29" i="59" s="1"/>
  <c r="H29" i="59"/>
  <c r="D29" i="59"/>
  <c r="B29" i="59"/>
  <c r="Z28" i="59"/>
  <c r="X28" i="59"/>
  <c r="N28" i="59"/>
  <c r="L28" i="59"/>
  <c r="B28" i="59"/>
  <c r="X27" i="59"/>
  <c r="Z27" i="59" s="1"/>
  <c r="R27" i="59"/>
  <c r="N27" i="59"/>
  <c r="L27" i="59"/>
  <c r="F27" i="59"/>
  <c r="B27" i="59"/>
  <c r="Z26" i="59"/>
  <c r="X26" i="59"/>
  <c r="N26" i="59"/>
  <c r="L26" i="59"/>
  <c r="B26" i="59"/>
  <c r="X25" i="59"/>
  <c r="Z25" i="59" s="1"/>
  <c r="N25" i="59"/>
  <c r="L25" i="59"/>
  <c r="F25" i="59"/>
  <c r="B25" i="59"/>
  <c r="Z24" i="59"/>
  <c r="X24" i="59"/>
  <c r="N24" i="59"/>
  <c r="L24" i="59"/>
  <c r="B24" i="59"/>
  <c r="Z23" i="59"/>
  <c r="X23" i="59"/>
  <c r="R23" i="59"/>
  <c r="N23" i="59"/>
  <c r="L23" i="59"/>
  <c r="F23" i="59"/>
  <c r="B23" i="59"/>
  <c r="Z22" i="59"/>
  <c r="X22" i="59"/>
  <c r="N22" i="59"/>
  <c r="L22" i="59"/>
  <c r="B22" i="59"/>
  <c r="X21" i="59"/>
  <c r="Z21" i="59" s="1"/>
  <c r="R21" i="59"/>
  <c r="L21" i="59"/>
  <c r="N21" i="59" s="1"/>
  <c r="B21" i="59"/>
  <c r="Z20" i="59"/>
  <c r="X20" i="59"/>
  <c r="N20" i="59"/>
  <c r="L20" i="59"/>
  <c r="B20" i="59"/>
  <c r="T19" i="59"/>
  <c r="P19" i="59"/>
  <c r="L19" i="59"/>
  <c r="H19" i="59"/>
  <c r="N19" i="59" s="1"/>
  <c r="D19" i="59"/>
  <c r="B19" i="59"/>
  <c r="T18" i="59"/>
  <c r="R18" i="59"/>
  <c r="P18" i="59"/>
  <c r="X18" i="59" s="1"/>
  <c r="N18" i="59"/>
  <c r="H18" i="59"/>
  <c r="F18" i="59"/>
  <c r="D18" i="59"/>
  <c r="L18" i="59" s="1"/>
  <c r="F16" i="59"/>
  <c r="T14" i="59"/>
  <c r="Z14" i="59" s="1"/>
  <c r="R14" i="59"/>
  <c r="P14" i="59"/>
  <c r="X14" i="59" s="1"/>
  <c r="N14" i="59"/>
  <c r="H14" i="59"/>
  <c r="F14" i="59"/>
  <c r="D14" i="59"/>
  <c r="L14" i="59" s="1"/>
  <c r="T12" i="59"/>
  <c r="V30" i="59" s="1"/>
  <c r="P12" i="59"/>
  <c r="R48" i="59" s="1"/>
  <c r="H12" i="59"/>
  <c r="J30" i="59" s="1"/>
  <c r="D12" i="59"/>
  <c r="F39" i="59" s="1"/>
  <c r="D6" i="59"/>
  <c r="D4" i="59"/>
  <c r="R75" i="58"/>
  <c r="R72" i="58"/>
  <c r="F72" i="58"/>
  <c r="Z70" i="58"/>
  <c r="X70" i="58"/>
  <c r="N70" i="58"/>
  <c r="L70" i="58"/>
  <c r="R68" i="58"/>
  <c r="Z66" i="58"/>
  <c r="X66" i="58"/>
  <c r="T66" i="58"/>
  <c r="R66" i="58"/>
  <c r="P66" i="58"/>
  <c r="H66" i="58"/>
  <c r="N66" i="58" s="1"/>
  <c r="F66" i="58"/>
  <c r="D66" i="58"/>
  <c r="L66" i="58" s="1"/>
  <c r="Z64" i="58"/>
  <c r="X64" i="58"/>
  <c r="N64" i="58"/>
  <c r="L64" i="58"/>
  <c r="B64" i="58"/>
  <c r="T63" i="58"/>
  <c r="P63" i="58"/>
  <c r="H63" i="58"/>
  <c r="N63" i="58" s="1"/>
  <c r="D63" i="58"/>
  <c r="L63" i="58" s="1"/>
  <c r="B63" i="58"/>
  <c r="Z62" i="58"/>
  <c r="X62" i="58"/>
  <c r="V62" i="58"/>
  <c r="N62" i="58"/>
  <c r="L62" i="58"/>
  <c r="B62" i="58"/>
  <c r="X61" i="58"/>
  <c r="T61" i="58"/>
  <c r="P61" i="58"/>
  <c r="H61" i="58"/>
  <c r="D61" i="58"/>
  <c r="B61" i="58"/>
  <c r="Z60" i="58"/>
  <c r="X60" i="58"/>
  <c r="N60" i="58"/>
  <c r="L60" i="58"/>
  <c r="B60" i="58"/>
  <c r="T59" i="58"/>
  <c r="P59" i="58"/>
  <c r="H59" i="58"/>
  <c r="D59" i="58"/>
  <c r="L59" i="58" s="1"/>
  <c r="B59" i="58"/>
  <c r="Z58" i="58"/>
  <c r="X58" i="58"/>
  <c r="V58" i="58"/>
  <c r="N58" i="58"/>
  <c r="L58" i="58"/>
  <c r="B58" i="58"/>
  <c r="X57" i="58"/>
  <c r="Z57" i="58" s="1"/>
  <c r="R57" i="58"/>
  <c r="N57" i="58"/>
  <c r="L57" i="58"/>
  <c r="B57" i="58"/>
  <c r="Z56" i="58"/>
  <c r="X56" i="58"/>
  <c r="N56" i="58"/>
  <c r="L56" i="58"/>
  <c r="B56" i="58"/>
  <c r="X55" i="58"/>
  <c r="Z55" i="58" s="1"/>
  <c r="R55" i="58"/>
  <c r="N55" i="58"/>
  <c r="L55" i="58"/>
  <c r="F55" i="58"/>
  <c r="B55" i="58"/>
  <c r="V54" i="58"/>
  <c r="T54" i="58"/>
  <c r="P54" i="58"/>
  <c r="X54" i="58" s="1"/>
  <c r="Z54" i="58" s="1"/>
  <c r="N54" i="58"/>
  <c r="L54" i="58"/>
  <c r="H54" i="58"/>
  <c r="F54" i="58"/>
  <c r="D54" i="58"/>
  <c r="B54" i="58"/>
  <c r="X53" i="58"/>
  <c r="Z53" i="58" s="1"/>
  <c r="R53" i="58"/>
  <c r="N53" i="58"/>
  <c r="L53" i="58"/>
  <c r="B53" i="58"/>
  <c r="Z52" i="58"/>
  <c r="X52" i="58"/>
  <c r="T52" i="58"/>
  <c r="R52" i="58"/>
  <c r="P52" i="58"/>
  <c r="J52" i="58"/>
  <c r="H52" i="58"/>
  <c r="N52" i="58" s="1"/>
  <c r="F52" i="58"/>
  <c r="D52" i="58"/>
  <c r="B52" i="58"/>
  <c r="Z51" i="58"/>
  <c r="X51" i="58"/>
  <c r="R51" i="58"/>
  <c r="N51" i="58"/>
  <c r="L51" i="58"/>
  <c r="F51" i="58"/>
  <c r="B51" i="58"/>
  <c r="Z50" i="58"/>
  <c r="X50" i="58"/>
  <c r="N50" i="58"/>
  <c r="L50" i="58"/>
  <c r="B50" i="58"/>
  <c r="T49" i="58"/>
  <c r="P49" i="58"/>
  <c r="X49" i="58" s="1"/>
  <c r="H49" i="58"/>
  <c r="D49" i="58"/>
  <c r="B49" i="58"/>
  <c r="Z48" i="58"/>
  <c r="X48" i="58"/>
  <c r="N48" i="58"/>
  <c r="L48" i="58"/>
  <c r="B48" i="58"/>
  <c r="Z47" i="58"/>
  <c r="X47" i="58"/>
  <c r="R47" i="58"/>
  <c r="L47" i="58"/>
  <c r="N47" i="58" s="1"/>
  <c r="F47" i="58"/>
  <c r="B47" i="58"/>
  <c r="T46" i="58"/>
  <c r="Z46" i="58" s="1"/>
  <c r="R46" i="58"/>
  <c r="P46" i="58"/>
  <c r="X46" i="58" s="1"/>
  <c r="N46" i="58"/>
  <c r="H46" i="58"/>
  <c r="F46" i="58"/>
  <c r="D46" i="58"/>
  <c r="L46" i="58" s="1"/>
  <c r="B46" i="58"/>
  <c r="X45" i="58"/>
  <c r="Z45" i="58" s="1"/>
  <c r="L45" i="58"/>
  <c r="N45" i="58" s="1"/>
  <c r="F45" i="58"/>
  <c r="B45" i="58"/>
  <c r="T44" i="58"/>
  <c r="R44" i="58"/>
  <c r="P44" i="58"/>
  <c r="X44" i="58" s="1"/>
  <c r="Z44" i="58" s="1"/>
  <c r="J44" i="58"/>
  <c r="H44" i="58"/>
  <c r="L44" i="58" s="1"/>
  <c r="N44" i="58" s="1"/>
  <c r="D44" i="58"/>
  <c r="B44" i="58"/>
  <c r="X43" i="58"/>
  <c r="Z43" i="58" s="1"/>
  <c r="R43" i="58"/>
  <c r="N43" i="58"/>
  <c r="L43" i="58"/>
  <c r="F43" i="58"/>
  <c r="B43" i="58"/>
  <c r="T42" i="58"/>
  <c r="X42" i="58" s="1"/>
  <c r="Z42" i="58" s="1"/>
  <c r="P42" i="58"/>
  <c r="N42" i="58"/>
  <c r="L42" i="58"/>
  <c r="H42" i="58"/>
  <c r="F42" i="58"/>
  <c r="D42" i="58"/>
  <c r="B42" i="58"/>
  <c r="X41" i="58"/>
  <c r="Z41" i="58" s="1"/>
  <c r="R41" i="58"/>
  <c r="L41" i="58"/>
  <c r="N41" i="58" s="1"/>
  <c r="B41" i="58"/>
  <c r="Z40" i="58"/>
  <c r="X40" i="58"/>
  <c r="T40" i="58"/>
  <c r="R40" i="58"/>
  <c r="P40" i="58"/>
  <c r="H40" i="58"/>
  <c r="F40" i="58"/>
  <c r="D40" i="58"/>
  <c r="L40" i="58" s="1"/>
  <c r="B40" i="58"/>
  <c r="Z39" i="58"/>
  <c r="X39" i="58"/>
  <c r="R39" i="58"/>
  <c r="N39" i="58"/>
  <c r="L39" i="58"/>
  <c r="F39" i="58"/>
  <c r="B39" i="58"/>
  <c r="V38" i="58"/>
  <c r="T38" i="58"/>
  <c r="R38" i="58"/>
  <c r="P38" i="58"/>
  <c r="X38" i="58" s="1"/>
  <c r="N38" i="58"/>
  <c r="H38" i="58"/>
  <c r="F38" i="58"/>
  <c r="D38" i="58"/>
  <c r="L38" i="58" s="1"/>
  <c r="B38" i="58"/>
  <c r="Z37" i="58"/>
  <c r="X37" i="58"/>
  <c r="N37" i="58"/>
  <c r="L37" i="58"/>
  <c r="F37" i="58"/>
  <c r="B37" i="58"/>
  <c r="Z36" i="58"/>
  <c r="T36" i="58"/>
  <c r="R36" i="58"/>
  <c r="P36" i="58"/>
  <c r="X36" i="58" s="1"/>
  <c r="N36" i="58"/>
  <c r="H36" i="58"/>
  <c r="L36" i="58" s="1"/>
  <c r="D36" i="58"/>
  <c r="B36" i="58"/>
  <c r="Z35" i="58"/>
  <c r="X35" i="58"/>
  <c r="R35" i="58"/>
  <c r="N35" i="58"/>
  <c r="L35" i="58"/>
  <c r="F35" i="58"/>
  <c r="B35" i="58"/>
  <c r="Z34" i="58"/>
  <c r="X34" i="58"/>
  <c r="V34" i="58"/>
  <c r="N34" i="58"/>
  <c r="L34" i="58"/>
  <c r="B34" i="58"/>
  <c r="X33" i="58"/>
  <c r="Z33" i="58" s="1"/>
  <c r="L33" i="58"/>
  <c r="N33" i="58" s="1"/>
  <c r="F33" i="58"/>
  <c r="B33" i="58"/>
  <c r="Z32" i="58"/>
  <c r="X32" i="58"/>
  <c r="N32" i="58"/>
  <c r="L32" i="58"/>
  <c r="B32" i="58"/>
  <c r="Z31" i="58"/>
  <c r="X31" i="58"/>
  <c r="R31" i="58"/>
  <c r="L31" i="58"/>
  <c r="N31" i="58" s="1"/>
  <c r="F31" i="58"/>
  <c r="B31" i="58"/>
  <c r="T30" i="58"/>
  <c r="R30" i="58"/>
  <c r="P30" i="58"/>
  <c r="X30" i="58" s="1"/>
  <c r="N30" i="58"/>
  <c r="H30" i="58"/>
  <c r="F30" i="58"/>
  <c r="D30" i="58"/>
  <c r="L30" i="58" s="1"/>
  <c r="B30" i="58"/>
  <c r="X29" i="58"/>
  <c r="Z29" i="58" s="1"/>
  <c r="N29" i="58"/>
  <c r="L29" i="58"/>
  <c r="F29" i="58"/>
  <c r="B29" i="58"/>
  <c r="Z28" i="58"/>
  <c r="X28" i="58"/>
  <c r="N28" i="58"/>
  <c r="L28" i="58"/>
  <c r="B28" i="58"/>
  <c r="Z27" i="58"/>
  <c r="X27" i="58"/>
  <c r="R27" i="58"/>
  <c r="L27" i="58"/>
  <c r="N27" i="58" s="1"/>
  <c r="F27" i="58"/>
  <c r="B27" i="58"/>
  <c r="Z26" i="58"/>
  <c r="X26" i="58"/>
  <c r="V26" i="58"/>
  <c r="N26" i="58"/>
  <c r="L26" i="58"/>
  <c r="J26" i="58"/>
  <c r="B26" i="58"/>
  <c r="Z25" i="58"/>
  <c r="X25" i="58"/>
  <c r="R25" i="58"/>
  <c r="N25" i="58"/>
  <c r="L25" i="58"/>
  <c r="B25" i="58"/>
  <c r="Z24" i="58"/>
  <c r="X24" i="58"/>
  <c r="N24" i="58"/>
  <c r="L24" i="58"/>
  <c r="B24" i="58"/>
  <c r="X23" i="58"/>
  <c r="Z23" i="58" s="1"/>
  <c r="R23" i="58"/>
  <c r="N23" i="58"/>
  <c r="L23" i="58"/>
  <c r="F23" i="58"/>
  <c r="B23" i="58"/>
  <c r="Z22" i="58"/>
  <c r="X22" i="58"/>
  <c r="V22" i="58"/>
  <c r="N22" i="58"/>
  <c r="L22" i="58"/>
  <c r="J22" i="58"/>
  <c r="B22" i="58"/>
  <c r="X21" i="58"/>
  <c r="Z21" i="58" s="1"/>
  <c r="L21" i="58"/>
  <c r="N21" i="58" s="1"/>
  <c r="F21" i="58"/>
  <c r="B21" i="58"/>
  <c r="Z20" i="58"/>
  <c r="X20" i="58"/>
  <c r="N20" i="58"/>
  <c r="L20" i="58"/>
  <c r="B20" i="58"/>
  <c r="T19" i="58"/>
  <c r="P19" i="58"/>
  <c r="L19" i="58"/>
  <c r="H19" i="58"/>
  <c r="D19" i="58"/>
  <c r="B19" i="58"/>
  <c r="T18" i="58"/>
  <c r="P18" i="58"/>
  <c r="X18" i="58" s="1"/>
  <c r="Z18" i="58" s="1"/>
  <c r="N18" i="58"/>
  <c r="H18" i="58"/>
  <c r="F18" i="58"/>
  <c r="D18" i="58"/>
  <c r="L18" i="58" s="1"/>
  <c r="V16" i="58"/>
  <c r="R16" i="58"/>
  <c r="F16" i="58"/>
  <c r="Z14" i="58"/>
  <c r="V14" i="58"/>
  <c r="T14" i="58"/>
  <c r="P14" i="58"/>
  <c r="X14" i="58" s="1"/>
  <c r="N14" i="58"/>
  <c r="H14" i="58"/>
  <c r="F14" i="58"/>
  <c r="D14" i="58"/>
  <c r="L14" i="58" s="1"/>
  <c r="T12" i="58"/>
  <c r="V50" i="58" s="1"/>
  <c r="P12" i="58"/>
  <c r="R60" i="58" s="1"/>
  <c r="H12" i="58"/>
  <c r="J66" i="58" s="1"/>
  <c r="D12" i="58"/>
  <c r="F70" i="58" s="1"/>
  <c r="D6" i="58"/>
  <c r="D4" i="58"/>
  <c r="V68" i="57"/>
  <c r="R68" i="57"/>
  <c r="J68" i="57"/>
  <c r="F68" i="57"/>
  <c r="R65" i="57"/>
  <c r="J65" i="57"/>
  <c r="Z63" i="57"/>
  <c r="X63" i="57"/>
  <c r="V63" i="57"/>
  <c r="N63" i="57"/>
  <c r="L63" i="57"/>
  <c r="V61" i="57"/>
  <c r="R61" i="57"/>
  <c r="J61" i="57"/>
  <c r="F61" i="57"/>
  <c r="Z59" i="57"/>
  <c r="X59" i="57"/>
  <c r="T59" i="57"/>
  <c r="R59" i="57"/>
  <c r="P59" i="57"/>
  <c r="N59" i="57"/>
  <c r="J59" i="57"/>
  <c r="H59" i="57"/>
  <c r="D59" i="57"/>
  <c r="L59" i="57" s="1"/>
  <c r="Z57" i="57"/>
  <c r="X57" i="57"/>
  <c r="V57" i="57"/>
  <c r="N57" i="57"/>
  <c r="L57" i="57"/>
  <c r="B57" i="57"/>
  <c r="T56" i="57"/>
  <c r="P56" i="57"/>
  <c r="L56" i="57"/>
  <c r="H56" i="57"/>
  <c r="N56" i="57" s="1"/>
  <c r="D56" i="57"/>
  <c r="B56" i="57"/>
  <c r="X55" i="57"/>
  <c r="Z55" i="57" s="1"/>
  <c r="V55" i="57"/>
  <c r="N55" i="57"/>
  <c r="L55" i="57"/>
  <c r="J55" i="57"/>
  <c r="B55" i="57"/>
  <c r="X54" i="57"/>
  <c r="T54" i="57"/>
  <c r="Z54" i="57" s="1"/>
  <c r="P54" i="57"/>
  <c r="H54" i="57"/>
  <c r="D54" i="57"/>
  <c r="L54" i="57" s="1"/>
  <c r="B54" i="57"/>
  <c r="Z53" i="57"/>
  <c r="X53" i="57"/>
  <c r="N53" i="57"/>
  <c r="L53" i="57"/>
  <c r="J53" i="57"/>
  <c r="B53" i="57"/>
  <c r="T52" i="57"/>
  <c r="P52" i="57"/>
  <c r="L52" i="57"/>
  <c r="N52" i="57" s="1"/>
  <c r="H52" i="57"/>
  <c r="D52" i="57"/>
  <c r="B52" i="57"/>
  <c r="Z51" i="57"/>
  <c r="X51" i="57"/>
  <c r="V51" i="57"/>
  <c r="L51" i="57"/>
  <c r="N51" i="57" s="1"/>
  <c r="J51" i="57"/>
  <c r="B51" i="57"/>
  <c r="X50" i="57"/>
  <c r="Z50" i="57" s="1"/>
  <c r="N50" i="57"/>
  <c r="L50" i="57"/>
  <c r="F50" i="57"/>
  <c r="B50" i="57"/>
  <c r="Z49" i="57"/>
  <c r="X49" i="57"/>
  <c r="T49" i="57"/>
  <c r="R49" i="57"/>
  <c r="P49" i="57"/>
  <c r="J49" i="57"/>
  <c r="H49" i="57"/>
  <c r="L49" i="57" s="1"/>
  <c r="N49" i="57" s="1"/>
  <c r="D49" i="57"/>
  <c r="B49" i="57"/>
  <c r="X48" i="57"/>
  <c r="Z48" i="57" s="1"/>
  <c r="R48" i="57"/>
  <c r="N48" i="57"/>
  <c r="L48" i="57"/>
  <c r="F48" i="57"/>
  <c r="B48" i="57"/>
  <c r="V47" i="57"/>
  <c r="T47" i="57"/>
  <c r="X47" i="57" s="1"/>
  <c r="Z47" i="57" s="1"/>
  <c r="P47" i="57"/>
  <c r="N47" i="57"/>
  <c r="J47" i="57"/>
  <c r="H47" i="57"/>
  <c r="F47" i="57"/>
  <c r="D47" i="57"/>
  <c r="L47" i="57" s="1"/>
  <c r="B47" i="57"/>
  <c r="Z46" i="57"/>
  <c r="X46" i="57"/>
  <c r="N46" i="57"/>
  <c r="L46" i="57"/>
  <c r="B46" i="57"/>
  <c r="Z45" i="57"/>
  <c r="X45" i="57"/>
  <c r="V45" i="57"/>
  <c r="N45" i="57"/>
  <c r="L45" i="57"/>
  <c r="B45" i="57"/>
  <c r="X44" i="57"/>
  <c r="Z44" i="57" s="1"/>
  <c r="R44" i="57"/>
  <c r="N44" i="57"/>
  <c r="L44" i="57"/>
  <c r="F44" i="57"/>
  <c r="B44" i="57"/>
  <c r="V43" i="57"/>
  <c r="T43" i="57"/>
  <c r="P43" i="57"/>
  <c r="X43" i="57" s="1"/>
  <c r="Z43" i="57" s="1"/>
  <c r="N43" i="57"/>
  <c r="J43" i="57"/>
  <c r="H43" i="57"/>
  <c r="F43" i="57"/>
  <c r="D43" i="57"/>
  <c r="L43" i="57" s="1"/>
  <c r="B43" i="57"/>
  <c r="X42" i="57"/>
  <c r="Z42" i="57" s="1"/>
  <c r="L42" i="57"/>
  <c r="N42" i="57" s="1"/>
  <c r="B42" i="57"/>
  <c r="V41" i="57"/>
  <c r="T41" i="57"/>
  <c r="R41" i="57"/>
  <c r="P41" i="57"/>
  <c r="X41" i="57" s="1"/>
  <c r="Z41" i="57" s="1"/>
  <c r="J41" i="57"/>
  <c r="H41" i="57"/>
  <c r="F41" i="57"/>
  <c r="D41" i="57"/>
  <c r="B41" i="57"/>
  <c r="Z40" i="57"/>
  <c r="X40" i="57"/>
  <c r="R40" i="57"/>
  <c r="L40" i="57"/>
  <c r="N40" i="57" s="1"/>
  <c r="F40" i="57"/>
  <c r="B40" i="57"/>
  <c r="X39" i="57"/>
  <c r="Z39" i="57" s="1"/>
  <c r="V39" i="57"/>
  <c r="N39" i="57"/>
  <c r="L39" i="57"/>
  <c r="J39" i="57"/>
  <c r="B39" i="57"/>
  <c r="X38" i="57"/>
  <c r="T38" i="57"/>
  <c r="Z38" i="57" s="1"/>
  <c r="P38" i="57"/>
  <c r="H38" i="57"/>
  <c r="D38" i="57"/>
  <c r="L38" i="57" s="1"/>
  <c r="B38" i="57"/>
  <c r="Z37" i="57"/>
  <c r="X37" i="57"/>
  <c r="N37" i="57"/>
  <c r="L37" i="57"/>
  <c r="J37" i="57"/>
  <c r="B37" i="57"/>
  <c r="T36" i="57"/>
  <c r="P36" i="57"/>
  <c r="L36" i="57"/>
  <c r="N36" i="57" s="1"/>
  <c r="H36" i="57"/>
  <c r="D36" i="57"/>
  <c r="B36" i="57"/>
  <c r="Z35" i="57"/>
  <c r="X35" i="57"/>
  <c r="V35" i="57"/>
  <c r="N35" i="57"/>
  <c r="L35" i="57"/>
  <c r="J35" i="57"/>
  <c r="B35" i="57"/>
  <c r="Z34" i="57"/>
  <c r="T34" i="57"/>
  <c r="P34" i="57"/>
  <c r="X34" i="57" s="1"/>
  <c r="H34" i="57"/>
  <c r="D34" i="57"/>
  <c r="B34" i="57"/>
  <c r="Z33" i="57"/>
  <c r="X33" i="57"/>
  <c r="V33" i="57"/>
  <c r="N33" i="57"/>
  <c r="L33" i="57"/>
  <c r="B33" i="57"/>
  <c r="T32" i="57"/>
  <c r="P32" i="57"/>
  <c r="L32" i="57"/>
  <c r="H32" i="57"/>
  <c r="N32" i="57" s="1"/>
  <c r="D32" i="57"/>
  <c r="B32" i="57"/>
  <c r="X31" i="57"/>
  <c r="Z31" i="57" s="1"/>
  <c r="V31" i="57"/>
  <c r="N31" i="57"/>
  <c r="L31" i="57"/>
  <c r="J31" i="57"/>
  <c r="B31" i="57"/>
  <c r="X30" i="57"/>
  <c r="Z30" i="57" s="1"/>
  <c r="N30" i="57"/>
  <c r="L30" i="57"/>
  <c r="B30" i="57"/>
  <c r="Z29" i="57"/>
  <c r="X29" i="57"/>
  <c r="V29" i="57"/>
  <c r="N29" i="57"/>
  <c r="L29" i="57"/>
  <c r="B29" i="57"/>
  <c r="T28" i="57"/>
  <c r="P28" i="57"/>
  <c r="L28" i="57"/>
  <c r="H28" i="57"/>
  <c r="D28" i="57"/>
  <c r="B28" i="57"/>
  <c r="Z27" i="57"/>
  <c r="X27" i="57"/>
  <c r="V27" i="57"/>
  <c r="N27" i="57"/>
  <c r="L27" i="57"/>
  <c r="J27" i="57"/>
  <c r="B27" i="57"/>
  <c r="X26" i="57"/>
  <c r="Z26" i="57" s="1"/>
  <c r="L26" i="57"/>
  <c r="N26" i="57" s="1"/>
  <c r="B26" i="57"/>
  <c r="Z25" i="57"/>
  <c r="X25" i="57"/>
  <c r="V25" i="57"/>
  <c r="N25" i="57"/>
  <c r="L25" i="57"/>
  <c r="B25" i="57"/>
  <c r="X24" i="57"/>
  <c r="Z24" i="57" s="1"/>
  <c r="R24" i="57"/>
  <c r="N24" i="57"/>
  <c r="L24" i="57"/>
  <c r="F24" i="57"/>
  <c r="B24" i="57"/>
  <c r="Z23" i="57"/>
  <c r="X23" i="57"/>
  <c r="V23" i="57"/>
  <c r="N23" i="57"/>
  <c r="L23" i="57"/>
  <c r="J23" i="57"/>
  <c r="B23" i="57"/>
  <c r="X22" i="57"/>
  <c r="Z22" i="57" s="1"/>
  <c r="L22" i="57"/>
  <c r="N22" i="57" s="1"/>
  <c r="F22" i="57"/>
  <c r="B22" i="57"/>
  <c r="Z21" i="57"/>
  <c r="X21" i="57"/>
  <c r="N21" i="57"/>
  <c r="L21" i="57"/>
  <c r="J21" i="57"/>
  <c r="B21" i="57"/>
  <c r="Z20" i="57"/>
  <c r="X20" i="57"/>
  <c r="R20" i="57"/>
  <c r="L20" i="57"/>
  <c r="N20" i="57" s="1"/>
  <c r="F20" i="57"/>
  <c r="B20" i="57"/>
  <c r="V19" i="57"/>
  <c r="T19" i="57"/>
  <c r="P19" i="57"/>
  <c r="N19" i="57"/>
  <c r="L19" i="57"/>
  <c r="H19" i="57"/>
  <c r="F19" i="57"/>
  <c r="D19" i="57"/>
  <c r="B19" i="57"/>
  <c r="X18" i="57"/>
  <c r="V18" i="57"/>
  <c r="T18" i="57"/>
  <c r="P18" i="57"/>
  <c r="H18" i="57"/>
  <c r="D18" i="57"/>
  <c r="T16" i="57"/>
  <c r="T61" i="57" s="1"/>
  <c r="T65" i="57" s="1"/>
  <c r="T68" i="57" s="1"/>
  <c r="H16" i="57"/>
  <c r="D16" i="57"/>
  <c r="D61" i="57" s="1"/>
  <c r="V14" i="57"/>
  <c r="T14" i="57"/>
  <c r="Z14" i="57" s="1"/>
  <c r="P14" i="57"/>
  <c r="X14" i="57" s="1"/>
  <c r="H14" i="57"/>
  <c r="D14" i="57"/>
  <c r="X12" i="57"/>
  <c r="T12" i="57"/>
  <c r="V56" i="57" s="1"/>
  <c r="P12" i="57"/>
  <c r="R63" i="57" s="1"/>
  <c r="L12" i="57"/>
  <c r="H12" i="57"/>
  <c r="J40" i="57" s="1"/>
  <c r="D12" i="57"/>
  <c r="F56" i="57" s="1"/>
  <c r="D6" i="57"/>
  <c r="D4" i="57"/>
  <c r="Z65" i="56"/>
  <c r="X65" i="56"/>
  <c r="R65" i="56"/>
  <c r="N65" i="56"/>
  <c r="L65" i="56"/>
  <c r="F65" i="56"/>
  <c r="T61" i="56"/>
  <c r="Z61" i="56" s="1"/>
  <c r="P61" i="56"/>
  <c r="X61" i="56" s="1"/>
  <c r="H61" i="56"/>
  <c r="N61" i="56" s="1"/>
  <c r="D61" i="56"/>
  <c r="L61" i="56" s="1"/>
  <c r="X59" i="56"/>
  <c r="Z59" i="56" s="1"/>
  <c r="R59" i="56"/>
  <c r="N59" i="56"/>
  <c r="L59" i="56"/>
  <c r="F59" i="56"/>
  <c r="B59" i="56"/>
  <c r="T58" i="56"/>
  <c r="P58" i="56"/>
  <c r="X58" i="56" s="1"/>
  <c r="Z58" i="56" s="1"/>
  <c r="N58" i="56"/>
  <c r="H58" i="56"/>
  <c r="F58" i="56"/>
  <c r="D58" i="56"/>
  <c r="L58" i="56" s="1"/>
  <c r="B58" i="56"/>
  <c r="X57" i="56"/>
  <c r="Z57" i="56" s="1"/>
  <c r="R57" i="56"/>
  <c r="L57" i="56"/>
  <c r="N57" i="56" s="1"/>
  <c r="B57" i="56"/>
  <c r="Z56" i="56"/>
  <c r="T56" i="56"/>
  <c r="R56" i="56"/>
  <c r="P56" i="56"/>
  <c r="X56" i="56" s="1"/>
  <c r="H56" i="56"/>
  <c r="L56" i="56" s="1"/>
  <c r="N56" i="56" s="1"/>
  <c r="F56" i="56"/>
  <c r="D56" i="56"/>
  <c r="B56" i="56"/>
  <c r="X55" i="56"/>
  <c r="Z55" i="56" s="1"/>
  <c r="R55" i="56"/>
  <c r="L55" i="56"/>
  <c r="N55" i="56" s="1"/>
  <c r="F55" i="56"/>
  <c r="B55" i="56"/>
  <c r="Z54" i="56"/>
  <c r="X54" i="56"/>
  <c r="N54" i="56"/>
  <c r="L54" i="56"/>
  <c r="B54" i="56"/>
  <c r="T53" i="56"/>
  <c r="P53" i="56"/>
  <c r="X53" i="56" s="1"/>
  <c r="H53" i="56"/>
  <c r="D53" i="56"/>
  <c r="B53" i="56"/>
  <c r="Z52" i="56"/>
  <c r="X52" i="56"/>
  <c r="N52" i="56"/>
  <c r="L52" i="56"/>
  <c r="B52" i="56"/>
  <c r="T51" i="56"/>
  <c r="P51" i="56"/>
  <c r="L51" i="56"/>
  <c r="H51" i="56"/>
  <c r="N51" i="56" s="1"/>
  <c r="D51" i="56"/>
  <c r="B51" i="56"/>
  <c r="Z50" i="56"/>
  <c r="X50" i="56"/>
  <c r="N50" i="56"/>
  <c r="L50" i="56"/>
  <c r="B50" i="56"/>
  <c r="X49" i="56"/>
  <c r="Z49" i="56" s="1"/>
  <c r="L49" i="56"/>
  <c r="N49" i="56" s="1"/>
  <c r="F49" i="56"/>
  <c r="B49" i="56"/>
  <c r="Z48" i="56"/>
  <c r="X48" i="56"/>
  <c r="T48" i="56"/>
  <c r="R48" i="56"/>
  <c r="P48" i="56"/>
  <c r="H48" i="56"/>
  <c r="L48" i="56" s="1"/>
  <c r="N48" i="56" s="1"/>
  <c r="D48" i="56"/>
  <c r="B48" i="56"/>
  <c r="Z47" i="56"/>
  <c r="X47" i="56"/>
  <c r="R47" i="56"/>
  <c r="N47" i="56"/>
  <c r="L47" i="56"/>
  <c r="F47" i="56"/>
  <c r="B47" i="56"/>
  <c r="Z46" i="56"/>
  <c r="X46" i="56"/>
  <c r="N46" i="56"/>
  <c r="L46" i="56"/>
  <c r="B46" i="56"/>
  <c r="X45" i="56"/>
  <c r="Z45" i="56" s="1"/>
  <c r="L45" i="56"/>
  <c r="N45" i="56" s="1"/>
  <c r="F45" i="56"/>
  <c r="B45" i="56"/>
  <c r="T44" i="56"/>
  <c r="R44" i="56"/>
  <c r="P44" i="56"/>
  <c r="X44" i="56" s="1"/>
  <c r="Z44" i="56" s="1"/>
  <c r="H44" i="56"/>
  <c r="D44" i="56"/>
  <c r="L44" i="56" s="1"/>
  <c r="N44" i="56" s="1"/>
  <c r="B44" i="56"/>
  <c r="X43" i="56"/>
  <c r="Z43" i="56" s="1"/>
  <c r="R43" i="56"/>
  <c r="L43" i="56"/>
  <c r="N43" i="56" s="1"/>
  <c r="F43" i="56"/>
  <c r="B43" i="56"/>
  <c r="T42" i="56"/>
  <c r="P42" i="56"/>
  <c r="X42" i="56" s="1"/>
  <c r="Z42" i="56" s="1"/>
  <c r="N42" i="56"/>
  <c r="L42" i="56"/>
  <c r="H42" i="56"/>
  <c r="F42" i="56"/>
  <c r="D42" i="56"/>
  <c r="B42" i="56"/>
  <c r="X41" i="56"/>
  <c r="Z41" i="56" s="1"/>
  <c r="R41" i="56"/>
  <c r="L41" i="56"/>
  <c r="N41" i="56" s="1"/>
  <c r="B41" i="56"/>
  <c r="Z40" i="56"/>
  <c r="X40" i="56"/>
  <c r="T40" i="56"/>
  <c r="R40" i="56"/>
  <c r="P40" i="56"/>
  <c r="H40" i="56"/>
  <c r="F40" i="56"/>
  <c r="D40" i="56"/>
  <c r="L40" i="56" s="1"/>
  <c r="N40" i="56" s="1"/>
  <c r="B40" i="56"/>
  <c r="X39" i="56"/>
  <c r="Z39" i="56" s="1"/>
  <c r="R39" i="56"/>
  <c r="L39" i="56"/>
  <c r="N39" i="56" s="1"/>
  <c r="F39" i="56"/>
  <c r="B39" i="56"/>
  <c r="T38" i="56"/>
  <c r="R38" i="56"/>
  <c r="P38" i="56"/>
  <c r="X38" i="56" s="1"/>
  <c r="Z38" i="56" s="1"/>
  <c r="N38" i="56"/>
  <c r="H38" i="56"/>
  <c r="F38" i="56"/>
  <c r="D38" i="56"/>
  <c r="L38" i="56" s="1"/>
  <c r="B38" i="56"/>
  <c r="X37" i="56"/>
  <c r="Z37" i="56" s="1"/>
  <c r="N37" i="56"/>
  <c r="L37" i="56"/>
  <c r="F37" i="56"/>
  <c r="B37" i="56"/>
  <c r="T36" i="56"/>
  <c r="R36" i="56"/>
  <c r="P36" i="56"/>
  <c r="X36" i="56" s="1"/>
  <c r="Z36" i="56" s="1"/>
  <c r="N36" i="56"/>
  <c r="H36" i="56"/>
  <c r="L36" i="56" s="1"/>
  <c r="D36" i="56"/>
  <c r="B36" i="56"/>
  <c r="X35" i="56"/>
  <c r="Z35" i="56" s="1"/>
  <c r="R35" i="56"/>
  <c r="L35" i="56"/>
  <c r="N35" i="56" s="1"/>
  <c r="F35" i="56"/>
  <c r="B35" i="56"/>
  <c r="Z34" i="56"/>
  <c r="T34" i="56"/>
  <c r="P34" i="56"/>
  <c r="X34" i="56" s="1"/>
  <c r="N34" i="56"/>
  <c r="L34" i="56"/>
  <c r="H34" i="56"/>
  <c r="F34" i="56"/>
  <c r="D34" i="56"/>
  <c r="B34" i="56"/>
  <c r="X33" i="56"/>
  <c r="Z33" i="56" s="1"/>
  <c r="R33" i="56"/>
  <c r="N33" i="56"/>
  <c r="L33" i="56"/>
  <c r="B33" i="56"/>
  <c r="Z32" i="56"/>
  <c r="X32" i="56"/>
  <c r="T32" i="56"/>
  <c r="R32" i="56"/>
  <c r="P32" i="56"/>
  <c r="N32" i="56"/>
  <c r="H32" i="56"/>
  <c r="F32" i="56"/>
  <c r="D32" i="56"/>
  <c r="L32" i="56" s="1"/>
  <c r="B32" i="56"/>
  <c r="X31" i="56"/>
  <c r="Z31" i="56" s="1"/>
  <c r="R31" i="56"/>
  <c r="N31" i="56"/>
  <c r="L31" i="56"/>
  <c r="F31" i="56"/>
  <c r="B31" i="56"/>
  <c r="Z30" i="56"/>
  <c r="X30" i="56"/>
  <c r="N30" i="56"/>
  <c r="L30" i="56"/>
  <c r="B30" i="56"/>
  <c r="X29" i="56"/>
  <c r="Z29" i="56" s="1"/>
  <c r="R29" i="56"/>
  <c r="L29" i="56"/>
  <c r="N29" i="56" s="1"/>
  <c r="B29" i="56"/>
  <c r="Z28" i="56"/>
  <c r="T28" i="56"/>
  <c r="R28" i="56"/>
  <c r="P28" i="56"/>
  <c r="X28" i="56" s="1"/>
  <c r="H28" i="56"/>
  <c r="F28" i="56"/>
  <c r="D28" i="56"/>
  <c r="L28" i="56" s="1"/>
  <c r="N28" i="56" s="1"/>
  <c r="B28" i="56"/>
  <c r="X27" i="56"/>
  <c r="Z27" i="56" s="1"/>
  <c r="R27" i="56"/>
  <c r="L27" i="56"/>
  <c r="N27" i="56" s="1"/>
  <c r="F27" i="56"/>
  <c r="B27" i="56"/>
  <c r="Z26" i="56"/>
  <c r="X26" i="56"/>
  <c r="N26" i="56"/>
  <c r="L26" i="56"/>
  <c r="B26" i="56"/>
  <c r="X25" i="56"/>
  <c r="Z25" i="56" s="1"/>
  <c r="R25" i="56"/>
  <c r="L25" i="56"/>
  <c r="N25" i="56" s="1"/>
  <c r="B25" i="56"/>
  <c r="Z24" i="56"/>
  <c r="X24" i="56"/>
  <c r="N24" i="56"/>
  <c r="L24" i="56"/>
  <c r="B24" i="56"/>
  <c r="X23" i="56"/>
  <c r="Z23" i="56" s="1"/>
  <c r="R23" i="56"/>
  <c r="N23" i="56"/>
  <c r="L23" i="56"/>
  <c r="F23" i="56"/>
  <c r="B23" i="56"/>
  <c r="Z22" i="56"/>
  <c r="X22" i="56"/>
  <c r="V22" i="56"/>
  <c r="N22" i="56"/>
  <c r="L22" i="56"/>
  <c r="J22" i="56"/>
  <c r="B22" i="56"/>
  <c r="X21" i="56"/>
  <c r="Z21" i="56" s="1"/>
  <c r="R21" i="56"/>
  <c r="L21" i="56"/>
  <c r="N21" i="56" s="1"/>
  <c r="F21" i="56"/>
  <c r="B21" i="56"/>
  <c r="Z20" i="56"/>
  <c r="X20" i="56"/>
  <c r="N20" i="56"/>
  <c r="L20" i="56"/>
  <c r="B20" i="56"/>
  <c r="T19" i="56"/>
  <c r="P19" i="56"/>
  <c r="L19" i="56"/>
  <c r="H19" i="56"/>
  <c r="N19" i="56" s="1"/>
  <c r="D19" i="56"/>
  <c r="B19" i="56"/>
  <c r="Z18" i="56"/>
  <c r="T18" i="56"/>
  <c r="R18" i="56"/>
  <c r="P18" i="56"/>
  <c r="X18" i="56" s="1"/>
  <c r="N18" i="56"/>
  <c r="H18" i="56"/>
  <c r="F18" i="56"/>
  <c r="D18" i="56"/>
  <c r="L18" i="56" s="1"/>
  <c r="V16" i="56"/>
  <c r="R16" i="56"/>
  <c r="F16" i="56"/>
  <c r="Z14" i="56"/>
  <c r="T14" i="56"/>
  <c r="R14" i="56"/>
  <c r="P14" i="56"/>
  <c r="X14" i="56" s="1"/>
  <c r="N14" i="56"/>
  <c r="H14" i="56"/>
  <c r="F14" i="56"/>
  <c r="D14" i="56"/>
  <c r="L14" i="56" s="1"/>
  <c r="T12" i="56"/>
  <c r="V38" i="56" s="1"/>
  <c r="P12" i="56"/>
  <c r="R53" i="56" s="1"/>
  <c r="N12" i="56"/>
  <c r="H12" i="56"/>
  <c r="J36" i="56" s="1"/>
  <c r="D12" i="56"/>
  <c r="F70" i="56" s="1"/>
  <c r="D6" i="56"/>
  <c r="D4" i="56"/>
  <c r="V37" i="55"/>
  <c r="R37" i="55"/>
  <c r="J37" i="55"/>
  <c r="F37" i="55"/>
  <c r="R34" i="55"/>
  <c r="J34" i="55"/>
  <c r="Z32" i="55"/>
  <c r="X32" i="55"/>
  <c r="V32" i="55"/>
  <c r="N32" i="55"/>
  <c r="L32" i="55"/>
  <c r="V30" i="55"/>
  <c r="R30" i="55"/>
  <c r="J30" i="55"/>
  <c r="F30" i="55"/>
  <c r="Z28" i="55"/>
  <c r="X28" i="55"/>
  <c r="T28" i="55"/>
  <c r="R28" i="55"/>
  <c r="P28" i="55"/>
  <c r="N28" i="55"/>
  <c r="J28" i="55"/>
  <c r="H28" i="55"/>
  <c r="D28" i="55"/>
  <c r="L28" i="55" s="1"/>
  <c r="Z26" i="55"/>
  <c r="X26" i="55"/>
  <c r="V26" i="55"/>
  <c r="N26" i="55"/>
  <c r="L26" i="55"/>
  <c r="B26" i="55"/>
  <c r="T25" i="55"/>
  <c r="P25" i="55"/>
  <c r="H25" i="55"/>
  <c r="N25" i="55" s="1"/>
  <c r="D25" i="55"/>
  <c r="B25" i="55"/>
  <c r="Z24" i="55"/>
  <c r="X24" i="55"/>
  <c r="V24" i="55"/>
  <c r="N24" i="55"/>
  <c r="L24" i="55"/>
  <c r="J24" i="55"/>
  <c r="B24" i="55"/>
  <c r="T23" i="55"/>
  <c r="P23" i="55"/>
  <c r="X23" i="55" s="1"/>
  <c r="H23" i="55"/>
  <c r="D23" i="55"/>
  <c r="B23" i="55"/>
  <c r="Z22" i="55"/>
  <c r="X22" i="55"/>
  <c r="N22" i="55"/>
  <c r="L22" i="55"/>
  <c r="J22" i="55"/>
  <c r="B22" i="55"/>
  <c r="T21" i="55"/>
  <c r="P21" i="55"/>
  <c r="L21" i="55"/>
  <c r="H21" i="55"/>
  <c r="D21" i="55"/>
  <c r="B21" i="55"/>
  <c r="Z20" i="55"/>
  <c r="X20" i="55"/>
  <c r="V20" i="55"/>
  <c r="R20" i="55"/>
  <c r="N20" i="55"/>
  <c r="L20" i="55"/>
  <c r="J20" i="55"/>
  <c r="B20" i="55"/>
  <c r="T19" i="55"/>
  <c r="P19" i="55"/>
  <c r="X19" i="55" s="1"/>
  <c r="H19" i="55"/>
  <c r="L19" i="55" s="1"/>
  <c r="D19" i="55"/>
  <c r="B19" i="55"/>
  <c r="Z18" i="55"/>
  <c r="V18" i="55"/>
  <c r="T18" i="55"/>
  <c r="R18" i="55"/>
  <c r="P18" i="55"/>
  <c r="X18" i="55" s="1"/>
  <c r="J18" i="55"/>
  <c r="H18" i="55"/>
  <c r="F18" i="55"/>
  <c r="D18" i="55"/>
  <c r="L18" i="55" s="1"/>
  <c r="N18" i="55" s="1"/>
  <c r="R16" i="55"/>
  <c r="J16" i="55"/>
  <c r="H16" i="55"/>
  <c r="H30" i="55" s="1"/>
  <c r="F16" i="55"/>
  <c r="Z14" i="55"/>
  <c r="V14" i="55"/>
  <c r="T14" i="55"/>
  <c r="R14" i="55"/>
  <c r="P14" i="55"/>
  <c r="N14" i="55"/>
  <c r="J14" i="55"/>
  <c r="H14" i="55"/>
  <c r="F14" i="55"/>
  <c r="D14" i="55"/>
  <c r="L14" i="55" s="1"/>
  <c r="Z12" i="55"/>
  <c r="X12" i="55"/>
  <c r="T12" i="55"/>
  <c r="V25" i="55" s="1"/>
  <c r="P12" i="55"/>
  <c r="R32" i="55" s="1"/>
  <c r="N12" i="55"/>
  <c r="H12" i="55"/>
  <c r="D12" i="55"/>
  <c r="F25" i="55" s="1"/>
  <c r="D6" i="55"/>
  <c r="D4" i="55"/>
  <c r="R31" i="54"/>
  <c r="T29" i="54"/>
  <c r="X29" i="54" s="1"/>
  <c r="R29" i="54"/>
  <c r="P29" i="54"/>
  <c r="H29" i="54"/>
  <c r="D29" i="54"/>
  <c r="L29" i="54" s="1"/>
  <c r="N29" i="54" s="1"/>
  <c r="T28" i="54"/>
  <c r="P28" i="54"/>
  <c r="J28" i="54"/>
  <c r="H28" i="54"/>
  <c r="D28" i="54"/>
  <c r="L28" i="54" s="1"/>
  <c r="N28" i="54" s="1"/>
  <c r="R26" i="54"/>
  <c r="Z24" i="54"/>
  <c r="X24" i="54"/>
  <c r="R24" i="54"/>
  <c r="N24" i="54"/>
  <c r="L24" i="54"/>
  <c r="J24" i="54"/>
  <c r="R22" i="54"/>
  <c r="Z20" i="54"/>
  <c r="T20" i="54"/>
  <c r="R20" i="54"/>
  <c r="P20" i="54"/>
  <c r="X20" i="54" s="1"/>
  <c r="N20" i="54"/>
  <c r="L20" i="54"/>
  <c r="J20" i="54"/>
  <c r="H20" i="54"/>
  <c r="D20" i="54"/>
  <c r="T18" i="54"/>
  <c r="Z18" i="54" s="1"/>
  <c r="R18" i="54"/>
  <c r="P18" i="54"/>
  <c r="N18" i="54"/>
  <c r="H18" i="54"/>
  <c r="D18" i="54"/>
  <c r="L18" i="54" s="1"/>
  <c r="R16" i="54"/>
  <c r="P16" i="54"/>
  <c r="P22" i="54" s="1"/>
  <c r="J16" i="54"/>
  <c r="T14" i="54"/>
  <c r="Z14" i="54" s="1"/>
  <c r="R14" i="54"/>
  <c r="P14" i="54"/>
  <c r="N14" i="54"/>
  <c r="H14" i="54"/>
  <c r="D14" i="54"/>
  <c r="L14" i="54" s="1"/>
  <c r="T12" i="54"/>
  <c r="V20" i="54" s="1"/>
  <c r="P12" i="54"/>
  <c r="R28" i="54" s="1"/>
  <c r="H12" i="54"/>
  <c r="J31" i="54" s="1"/>
  <c r="D12" i="54"/>
  <c r="F26" i="54" s="1"/>
  <c r="D6" i="54"/>
  <c r="D4" i="54"/>
  <c r="B39" i="53"/>
  <c r="B38" i="53"/>
  <c r="T34" i="53"/>
  <c r="Z34" i="53" s="1"/>
  <c r="P34" i="53"/>
  <c r="H34" i="53"/>
  <c r="N34" i="53" s="1"/>
  <c r="D34" i="53"/>
  <c r="T33" i="53"/>
  <c r="Z33" i="53" s="1"/>
  <c r="P33" i="53"/>
  <c r="H33" i="53"/>
  <c r="N33" i="53" s="1"/>
  <c r="D33" i="53"/>
  <c r="T29" i="53"/>
  <c r="Z29" i="53" s="1"/>
  <c r="P29" i="53"/>
  <c r="H29" i="53"/>
  <c r="N29" i="53" s="1"/>
  <c r="D29" i="53"/>
  <c r="T25" i="53"/>
  <c r="Z25" i="53" s="1"/>
  <c r="P25" i="53"/>
  <c r="H25" i="53"/>
  <c r="N25" i="53" s="1"/>
  <c r="D25" i="53"/>
  <c r="B25" i="53"/>
  <c r="T24" i="53"/>
  <c r="Z24" i="53" s="1"/>
  <c r="P24" i="53"/>
  <c r="H24" i="53"/>
  <c r="N24" i="53" s="1"/>
  <c r="D24" i="53"/>
  <c r="T22" i="53"/>
  <c r="Z22" i="53" s="1"/>
  <c r="P22" i="53"/>
  <c r="H22" i="53"/>
  <c r="N22" i="53" s="1"/>
  <c r="D22" i="53"/>
  <c r="B22" i="53"/>
  <c r="T21" i="53"/>
  <c r="Z21" i="53" s="1"/>
  <c r="P21" i="53"/>
  <c r="H21" i="53"/>
  <c r="N21" i="53" s="1"/>
  <c r="D21" i="53"/>
  <c r="B21" i="53"/>
  <c r="T20" i="53"/>
  <c r="Z20" i="53" s="1"/>
  <c r="P20" i="53"/>
  <c r="H20" i="53"/>
  <c r="N20" i="53" s="1"/>
  <c r="D20" i="53"/>
  <c r="T16" i="53"/>
  <c r="Z16" i="53" s="1"/>
  <c r="P16" i="53"/>
  <c r="H16" i="53"/>
  <c r="N16" i="53" s="1"/>
  <c r="D16" i="53"/>
  <c r="B16" i="53"/>
  <c r="T15" i="53"/>
  <c r="Z15" i="53" s="1"/>
  <c r="P15" i="53"/>
  <c r="H15" i="53"/>
  <c r="N15" i="53" s="1"/>
  <c r="D15" i="53"/>
  <c r="T13" i="53"/>
  <c r="Z13" i="53" s="1"/>
  <c r="P13" i="53"/>
  <c r="H13" i="53"/>
  <c r="N13" i="53" s="1"/>
  <c r="D13" i="53"/>
  <c r="B13" i="53"/>
  <c r="T12" i="53"/>
  <c r="V24" i="53" s="1"/>
  <c r="P12" i="53"/>
  <c r="R20" i="53" s="1"/>
  <c r="H12" i="53"/>
  <c r="J21" i="53" s="1"/>
  <c r="D12" i="53"/>
  <c r="F24" i="53" s="1"/>
  <c r="D5" i="53"/>
  <c r="D4" i="53"/>
  <c r="B39" i="52"/>
  <c r="B38" i="52"/>
  <c r="T34" i="52"/>
  <c r="Z34" i="52" s="1"/>
  <c r="P34" i="52"/>
  <c r="H34" i="52"/>
  <c r="N34" i="52" s="1"/>
  <c r="D34" i="52"/>
  <c r="T33" i="52"/>
  <c r="Z33" i="52" s="1"/>
  <c r="P33" i="52"/>
  <c r="H33" i="52"/>
  <c r="N33" i="52" s="1"/>
  <c r="D33" i="52"/>
  <c r="T29" i="52"/>
  <c r="Z29" i="52" s="1"/>
  <c r="P29" i="52"/>
  <c r="H29" i="52"/>
  <c r="N29" i="52" s="1"/>
  <c r="D29" i="52"/>
  <c r="T25" i="52"/>
  <c r="Z25" i="52" s="1"/>
  <c r="P25" i="52"/>
  <c r="H25" i="52"/>
  <c r="N25" i="52" s="1"/>
  <c r="D25" i="52"/>
  <c r="B25" i="52"/>
  <c r="T24" i="52"/>
  <c r="Z24" i="52" s="1"/>
  <c r="P24" i="52"/>
  <c r="H24" i="52"/>
  <c r="N24" i="52" s="1"/>
  <c r="D24" i="52"/>
  <c r="T22" i="52"/>
  <c r="Z22" i="52" s="1"/>
  <c r="P22" i="52"/>
  <c r="H22" i="52"/>
  <c r="D22" i="52"/>
  <c r="B22" i="52"/>
  <c r="T21" i="52"/>
  <c r="Z21" i="52" s="1"/>
  <c r="P21" i="52"/>
  <c r="H21" i="52"/>
  <c r="N21" i="52" s="1"/>
  <c r="D21" i="52"/>
  <c r="B21" i="52"/>
  <c r="T20" i="52"/>
  <c r="Z20" i="52" s="1"/>
  <c r="P20" i="52"/>
  <c r="H20" i="52"/>
  <c r="N20" i="52" s="1"/>
  <c r="D20" i="52"/>
  <c r="T16" i="52"/>
  <c r="Z16" i="52" s="1"/>
  <c r="P16" i="52"/>
  <c r="H16" i="52"/>
  <c r="N16" i="52" s="1"/>
  <c r="D16" i="52"/>
  <c r="B16" i="52"/>
  <c r="T15" i="52"/>
  <c r="Z15" i="52" s="1"/>
  <c r="P15" i="52"/>
  <c r="H15" i="52"/>
  <c r="N15" i="52" s="1"/>
  <c r="D15" i="52"/>
  <c r="T13" i="52"/>
  <c r="Z13" i="52" s="1"/>
  <c r="P13" i="52"/>
  <c r="H13" i="52"/>
  <c r="N13" i="52" s="1"/>
  <c r="D13" i="52"/>
  <c r="B13" i="52"/>
  <c r="T12" i="52"/>
  <c r="V34" i="52" s="1"/>
  <c r="P12" i="52"/>
  <c r="H12" i="52"/>
  <c r="J21" i="52" s="1"/>
  <c r="D12" i="52"/>
  <c r="F34" i="52" s="1"/>
  <c r="D5" i="52"/>
  <c r="D4" i="52"/>
  <c r="X98" i="51"/>
  <c r="Z98" i="51" s="1"/>
  <c r="N98" i="51"/>
  <c r="L98" i="51"/>
  <c r="T94" i="51"/>
  <c r="P94" i="51"/>
  <c r="X94" i="51" s="1"/>
  <c r="Z94" i="51" s="1"/>
  <c r="L94" i="51"/>
  <c r="H94" i="51"/>
  <c r="N94" i="51" s="1"/>
  <c r="D94" i="51"/>
  <c r="B94" i="51"/>
  <c r="T93" i="51"/>
  <c r="Z93" i="51" s="1"/>
  <c r="P93" i="51"/>
  <c r="X93" i="51" s="1"/>
  <c r="H93" i="51"/>
  <c r="N93" i="51" s="1"/>
  <c r="D93" i="51"/>
  <c r="L93" i="51" s="1"/>
  <c r="B93" i="51"/>
  <c r="T92" i="51"/>
  <c r="P92" i="51"/>
  <c r="H92" i="51"/>
  <c r="D92" i="51"/>
  <c r="L92" i="51" s="1"/>
  <c r="N92" i="51" s="1"/>
  <c r="B92" i="51"/>
  <c r="T91" i="51"/>
  <c r="H91" i="51"/>
  <c r="D91" i="51"/>
  <c r="L91" i="51" s="1"/>
  <c r="X89" i="51"/>
  <c r="Z89" i="51" s="1"/>
  <c r="N89" i="51"/>
  <c r="L89" i="51"/>
  <c r="B89" i="51"/>
  <c r="T88" i="51"/>
  <c r="P88" i="51"/>
  <c r="N88" i="51"/>
  <c r="H88" i="51"/>
  <c r="D88" i="51"/>
  <c r="L88" i="51" s="1"/>
  <c r="B88" i="51"/>
  <c r="X87" i="51"/>
  <c r="Z87" i="51" s="1"/>
  <c r="N87" i="51"/>
  <c r="L87" i="51"/>
  <c r="B87" i="51"/>
  <c r="T86" i="51"/>
  <c r="P86" i="51"/>
  <c r="X86" i="51" s="1"/>
  <c r="Z86" i="51" s="1"/>
  <c r="H86" i="51"/>
  <c r="D86" i="51"/>
  <c r="L86" i="51" s="1"/>
  <c r="N86" i="51" s="1"/>
  <c r="B86" i="51"/>
  <c r="Z85" i="51"/>
  <c r="X85" i="51"/>
  <c r="N85" i="51"/>
  <c r="L85" i="51"/>
  <c r="B85" i="51"/>
  <c r="Z84" i="51"/>
  <c r="X84" i="51"/>
  <c r="L84" i="51"/>
  <c r="N84" i="51" s="1"/>
  <c r="B84" i="51"/>
  <c r="X83" i="51"/>
  <c r="Z83" i="51" s="1"/>
  <c r="N83" i="51"/>
  <c r="L83" i="51"/>
  <c r="B83" i="51"/>
  <c r="T82" i="51"/>
  <c r="P82" i="51"/>
  <c r="X82" i="51" s="1"/>
  <c r="Z82" i="51" s="1"/>
  <c r="H82" i="51"/>
  <c r="D82" i="51"/>
  <c r="L82" i="51" s="1"/>
  <c r="N82" i="51" s="1"/>
  <c r="B82" i="51"/>
  <c r="Z81" i="51"/>
  <c r="X81" i="51"/>
  <c r="N81" i="51"/>
  <c r="L81" i="51"/>
  <c r="B81" i="51"/>
  <c r="T80" i="51"/>
  <c r="P80" i="51"/>
  <c r="X80" i="51" s="1"/>
  <c r="Z80" i="51" s="1"/>
  <c r="L80" i="51"/>
  <c r="H80" i="51"/>
  <c r="N80" i="51" s="1"/>
  <c r="D80" i="51"/>
  <c r="B80" i="51"/>
  <c r="Z79" i="51"/>
  <c r="X79" i="51"/>
  <c r="N79" i="51"/>
  <c r="L79" i="51"/>
  <c r="B79" i="51"/>
  <c r="X78" i="51"/>
  <c r="T78" i="51"/>
  <c r="P78" i="51"/>
  <c r="H78" i="51"/>
  <c r="D78" i="51"/>
  <c r="B78" i="51"/>
  <c r="X77" i="51"/>
  <c r="Z77" i="51" s="1"/>
  <c r="N77" i="51"/>
  <c r="L77" i="51"/>
  <c r="B77" i="51"/>
  <c r="X76" i="51"/>
  <c r="Z76" i="51" s="1"/>
  <c r="N76" i="51"/>
  <c r="L76" i="51"/>
  <c r="B76" i="51"/>
  <c r="T75" i="51"/>
  <c r="P75" i="51"/>
  <c r="X75" i="51" s="1"/>
  <c r="H75" i="51"/>
  <c r="D75" i="51"/>
  <c r="L75" i="51" s="1"/>
  <c r="B75" i="51"/>
  <c r="Z74" i="51"/>
  <c r="X74" i="51"/>
  <c r="N74" i="51"/>
  <c r="L74" i="51"/>
  <c r="B74" i="51"/>
  <c r="T73" i="51"/>
  <c r="Z73" i="51" s="1"/>
  <c r="P73" i="51"/>
  <c r="X73" i="51" s="1"/>
  <c r="N73" i="51"/>
  <c r="L73" i="51"/>
  <c r="H73" i="51"/>
  <c r="D73" i="51"/>
  <c r="B73" i="51"/>
  <c r="Z72" i="51"/>
  <c r="X72" i="51"/>
  <c r="L72" i="51"/>
  <c r="N72" i="51" s="1"/>
  <c r="B72" i="51"/>
  <c r="X71" i="51"/>
  <c r="Z71" i="51" s="1"/>
  <c r="T71" i="51"/>
  <c r="P71" i="51"/>
  <c r="N71" i="51"/>
  <c r="H71" i="51"/>
  <c r="L71" i="51" s="1"/>
  <c r="D71" i="51"/>
  <c r="B71" i="51"/>
  <c r="X70" i="51"/>
  <c r="Z70" i="51" s="1"/>
  <c r="N70" i="51"/>
  <c r="L70" i="51"/>
  <c r="B70" i="51"/>
  <c r="Z69" i="51"/>
  <c r="T69" i="51"/>
  <c r="X69" i="51" s="1"/>
  <c r="P69" i="51"/>
  <c r="H69" i="51"/>
  <c r="N69" i="51" s="1"/>
  <c r="D69" i="51"/>
  <c r="L69" i="51" s="1"/>
  <c r="B69" i="51"/>
  <c r="Z68" i="51"/>
  <c r="X68" i="51"/>
  <c r="N68" i="51"/>
  <c r="L68" i="51"/>
  <c r="B68" i="51"/>
  <c r="Z67" i="51"/>
  <c r="X67" i="51"/>
  <c r="L67" i="51"/>
  <c r="N67" i="51" s="1"/>
  <c r="B67" i="51"/>
  <c r="Z66" i="51"/>
  <c r="X66" i="51"/>
  <c r="N66" i="51"/>
  <c r="L66" i="51"/>
  <c r="B66" i="51"/>
  <c r="Z65" i="51"/>
  <c r="X65" i="51"/>
  <c r="L65" i="51"/>
  <c r="N65" i="51" s="1"/>
  <c r="B65" i="51"/>
  <c r="Z64" i="51"/>
  <c r="X64" i="51"/>
  <c r="L64" i="51"/>
  <c r="N64" i="51" s="1"/>
  <c r="B64" i="51"/>
  <c r="X63" i="51"/>
  <c r="Z63" i="51" s="1"/>
  <c r="T63" i="51"/>
  <c r="P63" i="51"/>
  <c r="H63" i="51"/>
  <c r="L63" i="51" s="1"/>
  <c r="D63" i="51"/>
  <c r="B63" i="51"/>
  <c r="X62" i="51"/>
  <c r="Z62" i="51" s="1"/>
  <c r="N62" i="51"/>
  <c r="L62" i="51"/>
  <c r="B62" i="51"/>
  <c r="Z61" i="51"/>
  <c r="X61" i="51"/>
  <c r="L61" i="51"/>
  <c r="N61" i="51" s="1"/>
  <c r="B61" i="51"/>
  <c r="Z60" i="51"/>
  <c r="X60" i="51"/>
  <c r="L60" i="51"/>
  <c r="N60" i="51" s="1"/>
  <c r="B60" i="51"/>
  <c r="X59" i="51"/>
  <c r="Z59" i="51" s="1"/>
  <c r="N59" i="51"/>
  <c r="L59" i="51"/>
  <c r="B59" i="51"/>
  <c r="Z58" i="51"/>
  <c r="X58" i="51"/>
  <c r="L58" i="51"/>
  <c r="N58" i="51" s="1"/>
  <c r="B58" i="51"/>
  <c r="X57" i="51"/>
  <c r="Z57" i="51" s="1"/>
  <c r="N57" i="51"/>
  <c r="L57" i="51"/>
  <c r="B57" i="51"/>
  <c r="X56" i="51"/>
  <c r="Z56" i="51" s="1"/>
  <c r="N56" i="51"/>
  <c r="L56" i="51"/>
  <c r="B56" i="51"/>
  <c r="Z55" i="51"/>
  <c r="X55" i="51"/>
  <c r="L55" i="51"/>
  <c r="N55" i="51" s="1"/>
  <c r="B55" i="51"/>
  <c r="X54" i="51"/>
  <c r="Z54" i="51" s="1"/>
  <c r="N54" i="51"/>
  <c r="L54" i="51"/>
  <c r="B54" i="51"/>
  <c r="T53" i="51"/>
  <c r="X53" i="51" s="1"/>
  <c r="P53" i="51"/>
  <c r="H53" i="51"/>
  <c r="D53" i="51"/>
  <c r="L53" i="51" s="1"/>
  <c r="B53" i="51"/>
  <c r="T52" i="51"/>
  <c r="P52" i="51"/>
  <c r="H52" i="51"/>
  <c r="D52" i="51"/>
  <c r="L52" i="51" s="1"/>
  <c r="N52" i="51" s="1"/>
  <c r="X48" i="51"/>
  <c r="Z48" i="51" s="1"/>
  <c r="N48" i="51"/>
  <c r="L48" i="51"/>
  <c r="B48" i="51"/>
  <c r="Z47" i="51"/>
  <c r="X47" i="51"/>
  <c r="L47" i="51"/>
  <c r="N47" i="51" s="1"/>
  <c r="B47" i="51"/>
  <c r="X46" i="51"/>
  <c r="Z46" i="51" s="1"/>
  <c r="N46" i="51"/>
  <c r="L46" i="51"/>
  <c r="B46" i="51"/>
  <c r="Z45" i="51"/>
  <c r="X45" i="51"/>
  <c r="L45" i="51"/>
  <c r="N45" i="51" s="1"/>
  <c r="B45" i="51"/>
  <c r="Z44" i="51"/>
  <c r="X44" i="51"/>
  <c r="N44" i="51"/>
  <c r="L44" i="51"/>
  <c r="B44" i="51"/>
  <c r="X43" i="51"/>
  <c r="Z43" i="51" s="1"/>
  <c r="N43" i="51"/>
  <c r="L43" i="51"/>
  <c r="B43" i="51"/>
  <c r="Z42" i="51"/>
  <c r="X42" i="51"/>
  <c r="L42" i="51"/>
  <c r="N42" i="51" s="1"/>
  <c r="B42" i="51"/>
  <c r="X41" i="51"/>
  <c r="Z41" i="51" s="1"/>
  <c r="N41" i="51"/>
  <c r="L41" i="51"/>
  <c r="B41" i="51"/>
  <c r="X40" i="51"/>
  <c r="Z40" i="51" s="1"/>
  <c r="N40" i="51"/>
  <c r="L40" i="51"/>
  <c r="B40" i="51"/>
  <c r="Z39" i="51"/>
  <c r="X39" i="51"/>
  <c r="L39" i="51"/>
  <c r="N39" i="51" s="1"/>
  <c r="B39" i="51"/>
  <c r="X38" i="51"/>
  <c r="Z38" i="51" s="1"/>
  <c r="N38" i="51"/>
  <c r="L38" i="51"/>
  <c r="B38" i="51"/>
  <c r="Z37" i="51"/>
  <c r="X37" i="51"/>
  <c r="L37" i="51"/>
  <c r="N37" i="51" s="1"/>
  <c r="B37" i="51"/>
  <c r="Z36" i="51"/>
  <c r="X36" i="51"/>
  <c r="N36" i="51"/>
  <c r="L36" i="51"/>
  <c r="B36" i="51"/>
  <c r="X35" i="51"/>
  <c r="Z35" i="51" s="1"/>
  <c r="T35" i="51"/>
  <c r="P35" i="51"/>
  <c r="H35" i="51"/>
  <c r="L35" i="51" s="1"/>
  <c r="D35" i="51"/>
  <c r="T33" i="51"/>
  <c r="Z33" i="51" s="1"/>
  <c r="P33" i="51"/>
  <c r="X33" i="51" s="1"/>
  <c r="N33" i="51"/>
  <c r="L33" i="51"/>
  <c r="H33" i="51"/>
  <c r="D33" i="51"/>
  <c r="B33" i="51"/>
  <c r="X32" i="51"/>
  <c r="T32" i="51"/>
  <c r="Z32" i="51" s="1"/>
  <c r="P32" i="51"/>
  <c r="N32" i="51"/>
  <c r="H32" i="51"/>
  <c r="D32" i="51"/>
  <c r="L32" i="51" s="1"/>
  <c r="B32" i="51"/>
  <c r="Z31" i="51"/>
  <c r="T31" i="51"/>
  <c r="P31" i="51"/>
  <c r="X31" i="51" s="1"/>
  <c r="H31" i="51"/>
  <c r="N31" i="51" s="1"/>
  <c r="D31" i="51"/>
  <c r="L31" i="51" s="1"/>
  <c r="B31" i="51"/>
  <c r="T30" i="51"/>
  <c r="P30" i="51"/>
  <c r="H30" i="51"/>
  <c r="N30" i="51" s="1"/>
  <c r="D30" i="51"/>
  <c r="L30" i="51" s="1"/>
  <c r="B30" i="51"/>
  <c r="X29" i="51"/>
  <c r="Z29" i="51" s="1"/>
  <c r="T29" i="51"/>
  <c r="P29" i="51"/>
  <c r="H29" i="51"/>
  <c r="N29" i="51" s="1"/>
  <c r="D29" i="51"/>
  <c r="B29" i="51"/>
  <c r="T28" i="51"/>
  <c r="P28" i="51"/>
  <c r="X28" i="51" s="1"/>
  <c r="Z28" i="51" s="1"/>
  <c r="L28" i="51"/>
  <c r="H28" i="51"/>
  <c r="D28" i="51"/>
  <c r="B28" i="51"/>
  <c r="T27" i="51"/>
  <c r="Z27" i="51" s="1"/>
  <c r="P27" i="51"/>
  <c r="X27" i="51" s="1"/>
  <c r="H27" i="51"/>
  <c r="D27" i="51"/>
  <c r="L27" i="51" s="1"/>
  <c r="N27" i="51" s="1"/>
  <c r="B27" i="51"/>
  <c r="T26" i="51"/>
  <c r="P26" i="51"/>
  <c r="X26" i="51" s="1"/>
  <c r="H26" i="51"/>
  <c r="D26" i="51"/>
  <c r="B26" i="51"/>
  <c r="T25" i="51"/>
  <c r="Z25" i="51" s="1"/>
  <c r="P25" i="51"/>
  <c r="X25" i="51" s="1"/>
  <c r="N25" i="51"/>
  <c r="L25" i="51"/>
  <c r="H25" i="51"/>
  <c r="D25" i="51"/>
  <c r="B25" i="51"/>
  <c r="X24" i="51"/>
  <c r="T24" i="51"/>
  <c r="Z24" i="51" s="1"/>
  <c r="P24" i="51"/>
  <c r="H24" i="51"/>
  <c r="D24" i="51"/>
  <c r="L24" i="51" s="1"/>
  <c r="N24" i="51" s="1"/>
  <c r="B24" i="51"/>
  <c r="T23" i="51"/>
  <c r="P23" i="51"/>
  <c r="X23" i="51" s="1"/>
  <c r="Z23" i="51" s="1"/>
  <c r="H23" i="51"/>
  <c r="N23" i="51" s="1"/>
  <c r="D23" i="51"/>
  <c r="L23" i="51" s="1"/>
  <c r="B23" i="51"/>
  <c r="T22" i="51"/>
  <c r="P22" i="51"/>
  <c r="H22" i="51"/>
  <c r="D22" i="51"/>
  <c r="L22" i="51" s="1"/>
  <c r="B22" i="51"/>
  <c r="X21" i="51"/>
  <c r="Z21" i="51" s="1"/>
  <c r="T21" i="51"/>
  <c r="P21" i="51"/>
  <c r="H21" i="51"/>
  <c r="D21" i="51"/>
  <c r="L21" i="51" s="1"/>
  <c r="B21" i="51"/>
  <c r="T20" i="51"/>
  <c r="P20" i="51"/>
  <c r="X20" i="51" s="1"/>
  <c r="Z20" i="51" s="1"/>
  <c r="L20" i="51"/>
  <c r="H20" i="51"/>
  <c r="N20" i="51" s="1"/>
  <c r="D20" i="51"/>
  <c r="B20" i="51"/>
  <c r="T19" i="51"/>
  <c r="Z19" i="51" s="1"/>
  <c r="P19" i="51"/>
  <c r="X19" i="51" s="1"/>
  <c r="N19" i="51"/>
  <c r="H19" i="51"/>
  <c r="D19" i="51"/>
  <c r="L19" i="51" s="1"/>
  <c r="B19" i="51"/>
  <c r="T18" i="51"/>
  <c r="P18" i="51"/>
  <c r="X18" i="51" s="1"/>
  <c r="H18" i="51"/>
  <c r="D18" i="51"/>
  <c r="B18" i="51"/>
  <c r="T17" i="51"/>
  <c r="P17" i="51"/>
  <c r="L17" i="51"/>
  <c r="N17" i="51" s="1"/>
  <c r="H17" i="51"/>
  <c r="D17" i="51"/>
  <c r="B17" i="51"/>
  <c r="X16" i="51"/>
  <c r="T16" i="51"/>
  <c r="Z16" i="51" s="1"/>
  <c r="P16" i="51"/>
  <c r="H16" i="51"/>
  <c r="D16" i="51"/>
  <c r="L16" i="51" s="1"/>
  <c r="N16" i="51" s="1"/>
  <c r="B16" i="51"/>
  <c r="T15" i="51"/>
  <c r="P15" i="51"/>
  <c r="H15" i="51"/>
  <c r="N15" i="51" s="1"/>
  <c r="D15" i="51"/>
  <c r="L15" i="51" s="1"/>
  <c r="B15" i="51"/>
  <c r="T14" i="51"/>
  <c r="P14" i="51"/>
  <c r="H14" i="51"/>
  <c r="D14" i="51"/>
  <c r="L14" i="51" s="1"/>
  <c r="B14" i="51"/>
  <c r="X13" i="51"/>
  <c r="Z13" i="51" s="1"/>
  <c r="T13" i="51"/>
  <c r="P13" i="51"/>
  <c r="H13" i="51"/>
  <c r="D13" i="51"/>
  <c r="L13" i="51" s="1"/>
  <c r="B13" i="51"/>
  <c r="D4" i="51"/>
  <c r="B39" i="50"/>
  <c r="B38" i="50"/>
  <c r="T34" i="50"/>
  <c r="Z34" i="50" s="1"/>
  <c r="P34" i="50"/>
  <c r="H34" i="50"/>
  <c r="D34" i="50"/>
  <c r="T33" i="50"/>
  <c r="Z33" i="50" s="1"/>
  <c r="P33" i="50"/>
  <c r="X33" i="50" s="1"/>
  <c r="H33" i="50"/>
  <c r="N33" i="50" s="1"/>
  <c r="D33" i="50"/>
  <c r="T29" i="50"/>
  <c r="Z29" i="50" s="1"/>
  <c r="P29" i="50"/>
  <c r="H29" i="50"/>
  <c r="N29" i="50" s="1"/>
  <c r="D29" i="50"/>
  <c r="T25" i="50"/>
  <c r="Z25" i="50" s="1"/>
  <c r="P25" i="50"/>
  <c r="X25" i="50" s="1"/>
  <c r="H25" i="50"/>
  <c r="N25" i="50" s="1"/>
  <c r="D25" i="50"/>
  <c r="B25" i="50"/>
  <c r="T24" i="50"/>
  <c r="Z24" i="50" s="1"/>
  <c r="P24" i="50"/>
  <c r="H24" i="50"/>
  <c r="N24" i="50" s="1"/>
  <c r="D24" i="50"/>
  <c r="T22" i="50"/>
  <c r="Z22" i="50" s="1"/>
  <c r="P22" i="50"/>
  <c r="H22" i="50"/>
  <c r="D22" i="50"/>
  <c r="B22" i="50"/>
  <c r="T21" i="50"/>
  <c r="Z21" i="50" s="1"/>
  <c r="P21" i="50"/>
  <c r="H21" i="50"/>
  <c r="N21" i="50" s="1"/>
  <c r="D21" i="50"/>
  <c r="L21" i="50" s="1"/>
  <c r="B21" i="50"/>
  <c r="T20" i="50"/>
  <c r="Z20" i="50" s="1"/>
  <c r="P20" i="50"/>
  <c r="H20" i="50"/>
  <c r="N20" i="50" s="1"/>
  <c r="D20" i="50"/>
  <c r="T16" i="50"/>
  <c r="Z16" i="50" s="1"/>
  <c r="P16" i="50"/>
  <c r="H16" i="50"/>
  <c r="N16" i="50" s="1"/>
  <c r="D16" i="50"/>
  <c r="B16" i="50"/>
  <c r="T15" i="50"/>
  <c r="Z15" i="50" s="1"/>
  <c r="P15" i="50"/>
  <c r="H15" i="50"/>
  <c r="N15" i="50" s="1"/>
  <c r="D15" i="50"/>
  <c r="T13" i="50"/>
  <c r="Z13" i="50" s="1"/>
  <c r="P13" i="50"/>
  <c r="X13" i="50" s="1"/>
  <c r="H13" i="50"/>
  <c r="N13" i="50" s="1"/>
  <c r="D13" i="50"/>
  <c r="B13" i="50"/>
  <c r="T12" i="50"/>
  <c r="V34" i="50" s="1"/>
  <c r="P12" i="50"/>
  <c r="H12" i="50"/>
  <c r="J21" i="50" s="1"/>
  <c r="D12" i="50"/>
  <c r="F34" i="50" s="1"/>
  <c r="D5" i="50"/>
  <c r="D4" i="50"/>
  <c r="B39" i="49"/>
  <c r="B38" i="49"/>
  <c r="T34" i="49"/>
  <c r="Z34" i="49" s="1"/>
  <c r="P34" i="49"/>
  <c r="H34" i="49"/>
  <c r="N34" i="49" s="1"/>
  <c r="D34" i="49"/>
  <c r="T33" i="49"/>
  <c r="Z33" i="49" s="1"/>
  <c r="P33" i="49"/>
  <c r="H33" i="49"/>
  <c r="D33" i="49"/>
  <c r="T29" i="49"/>
  <c r="Z29" i="49" s="1"/>
  <c r="P29" i="49"/>
  <c r="H29" i="49"/>
  <c r="D29" i="49"/>
  <c r="T25" i="49"/>
  <c r="Z25" i="49" s="1"/>
  <c r="P25" i="49"/>
  <c r="H25" i="49"/>
  <c r="D25" i="49"/>
  <c r="B25" i="49"/>
  <c r="T24" i="49"/>
  <c r="Z24" i="49" s="1"/>
  <c r="P24" i="49"/>
  <c r="H24" i="49"/>
  <c r="N24" i="49" s="1"/>
  <c r="D24" i="49"/>
  <c r="T22" i="49"/>
  <c r="P22" i="49"/>
  <c r="H22" i="49"/>
  <c r="N22" i="49" s="1"/>
  <c r="D22" i="49"/>
  <c r="B22" i="49"/>
  <c r="T21" i="49"/>
  <c r="Z21" i="49" s="1"/>
  <c r="P21" i="49"/>
  <c r="H21" i="49"/>
  <c r="N21" i="49" s="1"/>
  <c r="D21" i="49"/>
  <c r="B21" i="49"/>
  <c r="T20" i="49"/>
  <c r="Z20" i="49" s="1"/>
  <c r="P20" i="49"/>
  <c r="H20" i="49"/>
  <c r="D20" i="49"/>
  <c r="T16" i="49"/>
  <c r="P16" i="49"/>
  <c r="H16" i="49"/>
  <c r="D16" i="49"/>
  <c r="B16" i="49"/>
  <c r="T15" i="49"/>
  <c r="Z15" i="49" s="1"/>
  <c r="P15" i="49"/>
  <c r="H15" i="49"/>
  <c r="D15" i="49"/>
  <c r="T13" i="49"/>
  <c r="Z13" i="49" s="1"/>
  <c r="P13" i="49"/>
  <c r="H13" i="49"/>
  <c r="N13" i="49" s="1"/>
  <c r="D13" i="49"/>
  <c r="B13" i="49"/>
  <c r="T12" i="49"/>
  <c r="V20" i="49" s="1"/>
  <c r="P12" i="49"/>
  <c r="R25" i="49" s="1"/>
  <c r="H12" i="49"/>
  <c r="J24" i="49" s="1"/>
  <c r="D12" i="49"/>
  <c r="D5" i="49"/>
  <c r="D4" i="49"/>
  <c r="Z64" i="48"/>
  <c r="X64" i="48"/>
  <c r="L64" i="48"/>
  <c r="N64" i="48" s="1"/>
  <c r="X60" i="48"/>
  <c r="Z60" i="48" s="1"/>
  <c r="T60" i="48"/>
  <c r="P60" i="48"/>
  <c r="P59" i="48" s="1"/>
  <c r="H60" i="48"/>
  <c r="L60" i="48" s="1"/>
  <c r="D60" i="48"/>
  <c r="B60" i="48"/>
  <c r="X59" i="48"/>
  <c r="T59" i="48"/>
  <c r="Z59" i="48" s="1"/>
  <c r="D59" i="48"/>
  <c r="Z57" i="48"/>
  <c r="X57" i="48"/>
  <c r="N57" i="48"/>
  <c r="L57" i="48"/>
  <c r="B57" i="48"/>
  <c r="T56" i="48"/>
  <c r="Z56" i="48" s="1"/>
  <c r="P56" i="48"/>
  <c r="X56" i="48" s="1"/>
  <c r="N56" i="48"/>
  <c r="L56" i="48"/>
  <c r="H56" i="48"/>
  <c r="D56" i="48"/>
  <c r="B56" i="48"/>
  <c r="Z55" i="48"/>
  <c r="X55" i="48"/>
  <c r="L55" i="48"/>
  <c r="N55" i="48" s="1"/>
  <c r="B55" i="48"/>
  <c r="X54" i="48"/>
  <c r="Z54" i="48" s="1"/>
  <c r="T54" i="48"/>
  <c r="P54" i="48"/>
  <c r="H54" i="48"/>
  <c r="L54" i="48" s="1"/>
  <c r="D54" i="48"/>
  <c r="B54" i="48"/>
  <c r="Z53" i="48"/>
  <c r="X53" i="48"/>
  <c r="N53" i="48"/>
  <c r="L53" i="48"/>
  <c r="B53" i="48"/>
  <c r="Z52" i="48"/>
  <c r="X52" i="48"/>
  <c r="N52" i="48"/>
  <c r="L52" i="48"/>
  <c r="B52" i="48"/>
  <c r="T51" i="48"/>
  <c r="P51" i="48"/>
  <c r="X51" i="48" s="1"/>
  <c r="Z51" i="48" s="1"/>
  <c r="L51" i="48"/>
  <c r="H51" i="48"/>
  <c r="N51" i="48" s="1"/>
  <c r="D51" i="48"/>
  <c r="B51" i="48"/>
  <c r="Z50" i="48"/>
  <c r="X50" i="48"/>
  <c r="N50" i="48"/>
  <c r="L50" i="48"/>
  <c r="B50" i="48"/>
  <c r="X49" i="48"/>
  <c r="Z49" i="48" s="1"/>
  <c r="N49" i="48"/>
  <c r="L49" i="48"/>
  <c r="B49" i="48"/>
  <c r="T48" i="48"/>
  <c r="X48" i="48" s="1"/>
  <c r="P48" i="48"/>
  <c r="H48" i="48"/>
  <c r="D48" i="48"/>
  <c r="L48" i="48" s="1"/>
  <c r="B48" i="48"/>
  <c r="X47" i="48"/>
  <c r="Z47" i="48" s="1"/>
  <c r="N47" i="48"/>
  <c r="L47" i="48"/>
  <c r="B47" i="48"/>
  <c r="T46" i="48"/>
  <c r="P46" i="48"/>
  <c r="X46" i="48" s="1"/>
  <c r="H46" i="48"/>
  <c r="N46" i="48" s="1"/>
  <c r="D46" i="48"/>
  <c r="L46" i="48" s="1"/>
  <c r="B46" i="48"/>
  <c r="Z45" i="48"/>
  <c r="X45" i="48"/>
  <c r="L45" i="48"/>
  <c r="N45" i="48" s="1"/>
  <c r="B45" i="48"/>
  <c r="T44" i="48"/>
  <c r="Z44" i="48" s="1"/>
  <c r="P44" i="48"/>
  <c r="X44" i="48" s="1"/>
  <c r="L44" i="48"/>
  <c r="N44" i="48" s="1"/>
  <c r="H44" i="48"/>
  <c r="D44" i="48"/>
  <c r="B44" i="48"/>
  <c r="Z43" i="48"/>
  <c r="X43" i="48"/>
  <c r="N43" i="48"/>
  <c r="L43" i="48"/>
  <c r="B43" i="48"/>
  <c r="X42" i="48"/>
  <c r="Z42" i="48" s="1"/>
  <c r="N42" i="48"/>
  <c r="L42" i="48"/>
  <c r="B42" i="48"/>
  <c r="T41" i="48"/>
  <c r="P41" i="48"/>
  <c r="X41" i="48" s="1"/>
  <c r="Z41" i="48" s="1"/>
  <c r="N41" i="48"/>
  <c r="H41" i="48"/>
  <c r="D41" i="48"/>
  <c r="L41" i="48" s="1"/>
  <c r="B41" i="48"/>
  <c r="Z40" i="48"/>
  <c r="X40" i="48"/>
  <c r="R40" i="48"/>
  <c r="N40" i="48"/>
  <c r="L40" i="48"/>
  <c r="B40" i="48"/>
  <c r="T39" i="48"/>
  <c r="P39" i="48"/>
  <c r="X39" i="48" s="1"/>
  <c r="Z39" i="48" s="1"/>
  <c r="L39" i="48"/>
  <c r="H39" i="48"/>
  <c r="N39" i="48" s="1"/>
  <c r="D39" i="48"/>
  <c r="B39" i="48"/>
  <c r="Z38" i="48"/>
  <c r="X38" i="48"/>
  <c r="N38" i="48"/>
  <c r="L38" i="48"/>
  <c r="B38" i="48"/>
  <c r="X37" i="48"/>
  <c r="T37" i="48"/>
  <c r="Z37" i="48" s="1"/>
  <c r="R37" i="48"/>
  <c r="P37" i="48"/>
  <c r="H37" i="48"/>
  <c r="D37" i="48"/>
  <c r="B37" i="48"/>
  <c r="Z36" i="48"/>
  <c r="X36" i="48"/>
  <c r="N36" i="48"/>
  <c r="L36" i="48"/>
  <c r="B36" i="48"/>
  <c r="X35" i="48"/>
  <c r="Z35" i="48" s="1"/>
  <c r="R35" i="48"/>
  <c r="N35" i="48"/>
  <c r="L35" i="48"/>
  <c r="B35" i="48"/>
  <c r="Z34" i="48"/>
  <c r="X34" i="48"/>
  <c r="L34" i="48"/>
  <c r="N34" i="48" s="1"/>
  <c r="B34" i="48"/>
  <c r="Z33" i="48"/>
  <c r="X33" i="48"/>
  <c r="N33" i="48"/>
  <c r="L33" i="48"/>
  <c r="B33" i="48"/>
  <c r="Z32" i="48"/>
  <c r="X32" i="48"/>
  <c r="L32" i="48"/>
  <c r="N32" i="48" s="1"/>
  <c r="B32" i="48"/>
  <c r="Z31" i="48"/>
  <c r="X31" i="48"/>
  <c r="L31" i="48"/>
  <c r="N31" i="48" s="1"/>
  <c r="B31" i="48"/>
  <c r="X30" i="48"/>
  <c r="Z30" i="48" s="1"/>
  <c r="T30" i="48"/>
  <c r="P30" i="48"/>
  <c r="H30" i="48"/>
  <c r="L30" i="48" s="1"/>
  <c r="D30" i="48"/>
  <c r="B30" i="48"/>
  <c r="Z29" i="48"/>
  <c r="X29" i="48"/>
  <c r="N29" i="48"/>
  <c r="L29" i="48"/>
  <c r="B29" i="48"/>
  <c r="Z28" i="48"/>
  <c r="X28" i="48"/>
  <c r="R28" i="48"/>
  <c r="L28" i="48"/>
  <c r="N28" i="48" s="1"/>
  <c r="B28" i="48"/>
  <c r="Z27" i="48"/>
  <c r="X27" i="48"/>
  <c r="L27" i="48"/>
  <c r="N27" i="48" s="1"/>
  <c r="B27" i="48"/>
  <c r="X26" i="48"/>
  <c r="Z26" i="48" s="1"/>
  <c r="N26" i="48"/>
  <c r="L26" i="48"/>
  <c r="B26" i="48"/>
  <c r="Z25" i="48"/>
  <c r="X25" i="48"/>
  <c r="L25" i="48"/>
  <c r="N25" i="48" s="1"/>
  <c r="B25" i="48"/>
  <c r="X24" i="48"/>
  <c r="Z24" i="48" s="1"/>
  <c r="N24" i="48"/>
  <c r="L24" i="48"/>
  <c r="B24" i="48"/>
  <c r="X23" i="48"/>
  <c r="Z23" i="48" s="1"/>
  <c r="R23" i="48"/>
  <c r="N23" i="48"/>
  <c r="L23" i="48"/>
  <c r="B23" i="48"/>
  <c r="Z22" i="48"/>
  <c r="X22" i="48"/>
  <c r="L22" i="48"/>
  <c r="N22" i="48" s="1"/>
  <c r="B22" i="48"/>
  <c r="X21" i="48"/>
  <c r="Z21" i="48" s="1"/>
  <c r="N21" i="48"/>
  <c r="L21" i="48"/>
  <c r="B21" i="48"/>
  <c r="T20" i="48"/>
  <c r="X20" i="48" s="1"/>
  <c r="P20" i="48"/>
  <c r="H20" i="48"/>
  <c r="D20" i="48"/>
  <c r="L20" i="48" s="1"/>
  <c r="B20" i="48"/>
  <c r="T19" i="48"/>
  <c r="P19" i="48"/>
  <c r="X19" i="48" s="1"/>
  <c r="N19" i="48"/>
  <c r="H19" i="48"/>
  <c r="D19" i="48"/>
  <c r="L19" i="48" s="1"/>
  <c r="T15" i="48"/>
  <c r="P15" i="48"/>
  <c r="N15" i="48"/>
  <c r="H15" i="48"/>
  <c r="D15" i="48"/>
  <c r="L15" i="48" s="1"/>
  <c r="T13" i="48"/>
  <c r="P13" i="48"/>
  <c r="P12" i="48" s="1"/>
  <c r="R44" i="48" s="1"/>
  <c r="H13" i="48"/>
  <c r="D13" i="48"/>
  <c r="B13" i="48"/>
  <c r="H12" i="48"/>
  <c r="D4" i="48"/>
  <c r="B39" i="47"/>
  <c r="B38" i="47"/>
  <c r="T34" i="47"/>
  <c r="Z34" i="47" s="1"/>
  <c r="P34" i="47"/>
  <c r="H34" i="47"/>
  <c r="N34" i="47" s="1"/>
  <c r="D34" i="47"/>
  <c r="T33" i="47"/>
  <c r="Z33" i="47" s="1"/>
  <c r="P33" i="47"/>
  <c r="H33" i="47"/>
  <c r="N33" i="47" s="1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D24" i="47"/>
  <c r="T22" i="47"/>
  <c r="Z22" i="47" s="1"/>
  <c r="P22" i="47"/>
  <c r="H22" i="47"/>
  <c r="N22" i="47" s="1"/>
  <c r="D22" i="47"/>
  <c r="B22" i="47"/>
  <c r="T21" i="47"/>
  <c r="Z21" i="47" s="1"/>
  <c r="P21" i="47"/>
  <c r="H21" i="47"/>
  <c r="N21" i="47" s="1"/>
  <c r="D21" i="47"/>
  <c r="B21" i="47"/>
  <c r="T20" i="47"/>
  <c r="Z20" i="47" s="1"/>
  <c r="P20" i="47"/>
  <c r="H20" i="47"/>
  <c r="N20" i="47" s="1"/>
  <c r="D20" i="47"/>
  <c r="T16" i="47"/>
  <c r="P16" i="47"/>
  <c r="H16" i="47"/>
  <c r="N16" i="47" s="1"/>
  <c r="D16" i="47"/>
  <c r="L16" i="47" s="1"/>
  <c r="B16" i="47"/>
  <c r="T15" i="47"/>
  <c r="P15" i="47"/>
  <c r="H15" i="47"/>
  <c r="N15" i="47" s="1"/>
  <c r="D15" i="47"/>
  <c r="T13" i="47"/>
  <c r="P13" i="47"/>
  <c r="H13" i="47"/>
  <c r="N13" i="47" s="1"/>
  <c r="D13" i="47"/>
  <c r="B13" i="47"/>
  <c r="T12" i="47"/>
  <c r="V24" i="47" s="1"/>
  <c r="P12" i="47"/>
  <c r="R20" i="47" s="1"/>
  <c r="H12" i="47"/>
  <c r="J16" i="47" s="1"/>
  <c r="D12" i="47"/>
  <c r="F24" i="47" s="1"/>
  <c r="D5" i="47"/>
  <c r="D4" i="47"/>
  <c r="B39" i="46"/>
  <c r="B38" i="46"/>
  <c r="T34" i="46"/>
  <c r="Z34" i="46" s="1"/>
  <c r="P34" i="46"/>
  <c r="H34" i="46"/>
  <c r="D34" i="46"/>
  <c r="T33" i="46"/>
  <c r="Z33" i="46" s="1"/>
  <c r="P33" i="46"/>
  <c r="X33" i="46" s="1"/>
  <c r="H33" i="46"/>
  <c r="N33" i="46" s="1"/>
  <c r="D33" i="46"/>
  <c r="T29" i="46"/>
  <c r="Z29" i="46" s="1"/>
  <c r="P29" i="46"/>
  <c r="H29" i="46"/>
  <c r="N29" i="46" s="1"/>
  <c r="D29" i="46"/>
  <c r="T25" i="46"/>
  <c r="Z25" i="46" s="1"/>
  <c r="P25" i="46"/>
  <c r="H25" i="46"/>
  <c r="N25" i="46" s="1"/>
  <c r="D25" i="46"/>
  <c r="B25" i="46"/>
  <c r="T24" i="46"/>
  <c r="Z24" i="46" s="1"/>
  <c r="P24" i="46"/>
  <c r="H24" i="46"/>
  <c r="N24" i="46" s="1"/>
  <c r="D24" i="46"/>
  <c r="T22" i="46"/>
  <c r="Z22" i="46" s="1"/>
  <c r="P22" i="46"/>
  <c r="H22" i="46"/>
  <c r="N22" i="46" s="1"/>
  <c r="D22" i="46"/>
  <c r="B22" i="46"/>
  <c r="T21" i="46"/>
  <c r="Z21" i="46" s="1"/>
  <c r="P21" i="46"/>
  <c r="H21" i="46"/>
  <c r="N21" i="46" s="1"/>
  <c r="D21" i="46"/>
  <c r="L21" i="46" s="1"/>
  <c r="B21" i="46"/>
  <c r="T20" i="46"/>
  <c r="P20" i="46"/>
  <c r="H20" i="46"/>
  <c r="N20" i="46" s="1"/>
  <c r="D20" i="46"/>
  <c r="T16" i="46"/>
  <c r="Z16" i="46" s="1"/>
  <c r="P16" i="46"/>
  <c r="H16" i="46"/>
  <c r="N16" i="46" s="1"/>
  <c r="D16" i="46"/>
  <c r="B16" i="46"/>
  <c r="T15" i="46"/>
  <c r="Z15" i="46" s="1"/>
  <c r="P15" i="46"/>
  <c r="H15" i="46"/>
  <c r="N15" i="46" s="1"/>
  <c r="D15" i="46"/>
  <c r="T13" i="46"/>
  <c r="Z13" i="46" s="1"/>
  <c r="P13" i="46"/>
  <c r="H13" i="46"/>
  <c r="N13" i="46" s="1"/>
  <c r="D13" i="46"/>
  <c r="B13" i="46"/>
  <c r="T12" i="46"/>
  <c r="V34" i="46" s="1"/>
  <c r="P12" i="46"/>
  <c r="R21" i="46" s="1"/>
  <c r="H12" i="46"/>
  <c r="D12" i="46"/>
  <c r="F34" i="46" s="1"/>
  <c r="D5" i="46"/>
  <c r="D4" i="46"/>
  <c r="X93" i="45"/>
  <c r="Z93" i="45" s="1"/>
  <c r="L93" i="45"/>
  <c r="N93" i="45" s="1"/>
  <c r="Z89" i="45"/>
  <c r="X89" i="45"/>
  <c r="T89" i="45"/>
  <c r="P89" i="45"/>
  <c r="L89" i="45"/>
  <c r="H89" i="45"/>
  <c r="N89" i="45" s="1"/>
  <c r="D89" i="45"/>
  <c r="Z87" i="45"/>
  <c r="X87" i="45"/>
  <c r="N87" i="45"/>
  <c r="L87" i="45"/>
  <c r="B87" i="45"/>
  <c r="Z86" i="45"/>
  <c r="X86" i="45"/>
  <c r="N86" i="45"/>
  <c r="L86" i="45"/>
  <c r="B86" i="45"/>
  <c r="X85" i="45"/>
  <c r="T85" i="45"/>
  <c r="Z85" i="45" s="1"/>
  <c r="P85" i="45"/>
  <c r="H85" i="45"/>
  <c r="N85" i="45" s="1"/>
  <c r="D85" i="45"/>
  <c r="L85" i="45" s="1"/>
  <c r="B85" i="45"/>
  <c r="X84" i="45"/>
  <c r="Z84" i="45" s="1"/>
  <c r="N84" i="45"/>
  <c r="L84" i="45"/>
  <c r="B84" i="45"/>
  <c r="T83" i="45"/>
  <c r="P83" i="45"/>
  <c r="X83" i="45" s="1"/>
  <c r="N83" i="45"/>
  <c r="H83" i="45"/>
  <c r="D83" i="45"/>
  <c r="L83" i="45" s="1"/>
  <c r="B83" i="45"/>
  <c r="X82" i="45"/>
  <c r="Z82" i="45" s="1"/>
  <c r="N82" i="45"/>
  <c r="L82" i="45"/>
  <c r="B82" i="45"/>
  <c r="Z81" i="45"/>
  <c r="T81" i="45"/>
  <c r="P81" i="45"/>
  <c r="X81" i="45" s="1"/>
  <c r="L81" i="45"/>
  <c r="N81" i="45" s="1"/>
  <c r="H81" i="45"/>
  <c r="D81" i="45"/>
  <c r="B81" i="45"/>
  <c r="Z80" i="45"/>
  <c r="X80" i="45"/>
  <c r="N80" i="45"/>
  <c r="L80" i="45"/>
  <c r="B80" i="45"/>
  <c r="Z79" i="45"/>
  <c r="X79" i="45"/>
  <c r="N79" i="45"/>
  <c r="L79" i="45"/>
  <c r="B79" i="45"/>
  <c r="X78" i="45"/>
  <c r="Z78" i="45" s="1"/>
  <c r="N78" i="45"/>
  <c r="L78" i="45"/>
  <c r="B78" i="45"/>
  <c r="Z77" i="45"/>
  <c r="X77" i="45"/>
  <c r="L77" i="45"/>
  <c r="N77" i="45" s="1"/>
  <c r="B77" i="45"/>
  <c r="Z76" i="45"/>
  <c r="X76" i="45"/>
  <c r="N76" i="45"/>
  <c r="L76" i="45"/>
  <c r="B76" i="45"/>
  <c r="X75" i="45"/>
  <c r="Z75" i="45" s="1"/>
  <c r="L75" i="45"/>
  <c r="N75" i="45" s="1"/>
  <c r="B75" i="45"/>
  <c r="Z74" i="45"/>
  <c r="X74" i="45"/>
  <c r="L74" i="45"/>
  <c r="N74" i="45" s="1"/>
  <c r="B74" i="45"/>
  <c r="Z73" i="45"/>
  <c r="X73" i="45"/>
  <c r="N73" i="45"/>
  <c r="L73" i="45"/>
  <c r="B73" i="45"/>
  <c r="T72" i="45"/>
  <c r="X72" i="45" s="1"/>
  <c r="P72" i="45"/>
  <c r="H72" i="45"/>
  <c r="D72" i="45"/>
  <c r="L72" i="45" s="1"/>
  <c r="B72" i="45"/>
  <c r="X71" i="45"/>
  <c r="Z71" i="45" s="1"/>
  <c r="N71" i="45"/>
  <c r="L71" i="45"/>
  <c r="B71" i="45"/>
  <c r="T70" i="45"/>
  <c r="P70" i="45"/>
  <c r="X70" i="45" s="1"/>
  <c r="H70" i="45"/>
  <c r="N70" i="45" s="1"/>
  <c r="D70" i="45"/>
  <c r="L70" i="45" s="1"/>
  <c r="B70" i="45"/>
  <c r="Z69" i="45"/>
  <c r="X69" i="45"/>
  <c r="L69" i="45"/>
  <c r="N69" i="45" s="1"/>
  <c r="B69" i="45"/>
  <c r="X68" i="45"/>
  <c r="Z68" i="45" s="1"/>
  <c r="N68" i="45"/>
  <c r="L68" i="45"/>
  <c r="B68" i="45"/>
  <c r="X67" i="45"/>
  <c r="Z67" i="45" s="1"/>
  <c r="L67" i="45"/>
  <c r="N67" i="45" s="1"/>
  <c r="B67" i="45"/>
  <c r="Z66" i="45"/>
  <c r="X66" i="45"/>
  <c r="L66" i="45"/>
  <c r="N66" i="45" s="1"/>
  <c r="B66" i="45"/>
  <c r="X65" i="45"/>
  <c r="T65" i="45"/>
  <c r="Z65" i="45" s="1"/>
  <c r="P65" i="45"/>
  <c r="H65" i="45"/>
  <c r="D65" i="45"/>
  <c r="L65" i="45" s="1"/>
  <c r="B65" i="45"/>
  <c r="X64" i="45"/>
  <c r="Z64" i="45" s="1"/>
  <c r="N64" i="45"/>
  <c r="L64" i="45"/>
  <c r="B64" i="45"/>
  <c r="X63" i="45"/>
  <c r="Z63" i="45" s="1"/>
  <c r="L63" i="45"/>
  <c r="N63" i="45" s="1"/>
  <c r="B63" i="45"/>
  <c r="Z62" i="45"/>
  <c r="X62" i="45"/>
  <c r="L62" i="45"/>
  <c r="N62" i="45" s="1"/>
  <c r="B62" i="45"/>
  <c r="X61" i="45"/>
  <c r="T61" i="45"/>
  <c r="P61" i="45"/>
  <c r="H61" i="45"/>
  <c r="D61" i="45"/>
  <c r="B61" i="45"/>
  <c r="X60" i="45"/>
  <c r="Z60" i="45" s="1"/>
  <c r="N60" i="45"/>
  <c r="L60" i="45"/>
  <c r="B60" i="45"/>
  <c r="T59" i="45"/>
  <c r="P59" i="45"/>
  <c r="H59" i="45"/>
  <c r="D59" i="45"/>
  <c r="L59" i="45" s="1"/>
  <c r="N59" i="45" s="1"/>
  <c r="B59" i="45"/>
  <c r="X58" i="45"/>
  <c r="Z58" i="45" s="1"/>
  <c r="N58" i="45"/>
  <c r="L58" i="45"/>
  <c r="B58" i="45"/>
  <c r="Z57" i="45"/>
  <c r="T57" i="45"/>
  <c r="P57" i="45"/>
  <c r="X57" i="45" s="1"/>
  <c r="L57" i="45"/>
  <c r="N57" i="45" s="1"/>
  <c r="H57" i="45"/>
  <c r="D57" i="45"/>
  <c r="B57" i="45"/>
  <c r="Z56" i="45"/>
  <c r="X56" i="45"/>
  <c r="N56" i="45"/>
  <c r="L56" i="45"/>
  <c r="B56" i="45"/>
  <c r="X55" i="45"/>
  <c r="Z55" i="45" s="1"/>
  <c r="T55" i="45"/>
  <c r="P55" i="45"/>
  <c r="L55" i="45"/>
  <c r="H55" i="45"/>
  <c r="N55" i="45" s="1"/>
  <c r="D55" i="45"/>
  <c r="B55" i="45"/>
  <c r="Z54" i="45"/>
  <c r="X54" i="45"/>
  <c r="L54" i="45"/>
  <c r="N54" i="45" s="1"/>
  <c r="B54" i="45"/>
  <c r="X53" i="45"/>
  <c r="T53" i="45"/>
  <c r="Z53" i="45" s="1"/>
  <c r="P53" i="45"/>
  <c r="H53" i="45"/>
  <c r="D53" i="45"/>
  <c r="L53" i="45" s="1"/>
  <c r="B53" i="45"/>
  <c r="Z52" i="45"/>
  <c r="X52" i="45"/>
  <c r="N52" i="45"/>
  <c r="L52" i="45"/>
  <c r="B52" i="45"/>
  <c r="T51" i="45"/>
  <c r="Z51" i="45" s="1"/>
  <c r="P51" i="45"/>
  <c r="N51" i="45"/>
  <c r="H51" i="45"/>
  <c r="D51" i="45"/>
  <c r="L51" i="45" s="1"/>
  <c r="B51" i="45"/>
  <c r="X50" i="45"/>
  <c r="Z50" i="45" s="1"/>
  <c r="N50" i="45"/>
  <c r="L50" i="45"/>
  <c r="B50" i="45"/>
  <c r="Z49" i="45"/>
  <c r="T49" i="45"/>
  <c r="P49" i="45"/>
  <c r="X49" i="45" s="1"/>
  <c r="L49" i="45"/>
  <c r="N49" i="45" s="1"/>
  <c r="H49" i="45"/>
  <c r="D49" i="45"/>
  <c r="B49" i="45"/>
  <c r="Z48" i="45"/>
  <c r="X48" i="45"/>
  <c r="N48" i="45"/>
  <c r="L48" i="45"/>
  <c r="B48" i="45"/>
  <c r="X47" i="45"/>
  <c r="Z47" i="45" s="1"/>
  <c r="T47" i="45"/>
  <c r="P47" i="45"/>
  <c r="L47" i="45"/>
  <c r="H47" i="45"/>
  <c r="N47" i="45" s="1"/>
  <c r="D47" i="45"/>
  <c r="B47" i="45"/>
  <c r="Z46" i="45"/>
  <c r="X46" i="45"/>
  <c r="L46" i="45"/>
  <c r="N46" i="45" s="1"/>
  <c r="B46" i="45"/>
  <c r="X45" i="45"/>
  <c r="T45" i="45"/>
  <c r="Z45" i="45" s="1"/>
  <c r="P45" i="45"/>
  <c r="H45" i="45"/>
  <c r="D45" i="45"/>
  <c r="L45" i="45" s="1"/>
  <c r="B45" i="45"/>
  <c r="Z44" i="45"/>
  <c r="X44" i="45"/>
  <c r="N44" i="45"/>
  <c r="L44" i="45"/>
  <c r="B44" i="45"/>
  <c r="T43" i="45"/>
  <c r="P43" i="45"/>
  <c r="N43" i="45"/>
  <c r="H43" i="45"/>
  <c r="D43" i="45"/>
  <c r="L43" i="45" s="1"/>
  <c r="B43" i="45"/>
  <c r="X42" i="45"/>
  <c r="Z42" i="45" s="1"/>
  <c r="N42" i="45"/>
  <c r="L42" i="45"/>
  <c r="B42" i="45"/>
  <c r="Z41" i="45"/>
  <c r="T41" i="45"/>
  <c r="P41" i="45"/>
  <c r="X41" i="45" s="1"/>
  <c r="N41" i="45"/>
  <c r="L41" i="45"/>
  <c r="J41" i="45"/>
  <c r="H41" i="45"/>
  <c r="D41" i="45"/>
  <c r="B41" i="45"/>
  <c r="Z40" i="45"/>
  <c r="X40" i="45"/>
  <c r="N40" i="45"/>
  <c r="L40" i="45"/>
  <c r="B40" i="45"/>
  <c r="X39" i="45"/>
  <c r="Z39" i="45" s="1"/>
  <c r="L39" i="45"/>
  <c r="N39" i="45" s="1"/>
  <c r="B39" i="45"/>
  <c r="X38" i="45"/>
  <c r="Z38" i="45" s="1"/>
  <c r="N38" i="45"/>
  <c r="L38" i="45"/>
  <c r="B38" i="45"/>
  <c r="Z37" i="45"/>
  <c r="X37" i="45"/>
  <c r="L37" i="45"/>
  <c r="N37" i="45" s="1"/>
  <c r="B37" i="45"/>
  <c r="Z36" i="45"/>
  <c r="X36" i="45"/>
  <c r="N36" i="45"/>
  <c r="L36" i="45"/>
  <c r="B36" i="45"/>
  <c r="X35" i="45"/>
  <c r="Z35" i="45" s="1"/>
  <c r="L35" i="45"/>
  <c r="N35" i="45" s="1"/>
  <c r="B35" i="45"/>
  <c r="T34" i="45"/>
  <c r="Z34" i="45" s="1"/>
  <c r="P34" i="45"/>
  <c r="X34" i="45" s="1"/>
  <c r="H34" i="45"/>
  <c r="D34" i="45"/>
  <c r="L34" i="45" s="1"/>
  <c r="B34" i="45"/>
  <c r="Z33" i="45"/>
  <c r="X33" i="45"/>
  <c r="L33" i="45"/>
  <c r="N33" i="45" s="1"/>
  <c r="B33" i="45"/>
  <c r="Z32" i="45"/>
  <c r="X32" i="45"/>
  <c r="N32" i="45"/>
  <c r="L32" i="45"/>
  <c r="B32" i="45"/>
  <c r="X31" i="45"/>
  <c r="Z31" i="45" s="1"/>
  <c r="L31" i="45"/>
  <c r="N31" i="45" s="1"/>
  <c r="B31" i="45"/>
  <c r="Z30" i="45"/>
  <c r="X30" i="45"/>
  <c r="N30" i="45"/>
  <c r="L30" i="45"/>
  <c r="B30" i="45"/>
  <c r="X29" i="45"/>
  <c r="Z29" i="45" s="1"/>
  <c r="N29" i="45"/>
  <c r="L29" i="45"/>
  <c r="B29" i="45"/>
  <c r="Z28" i="45"/>
  <c r="X28" i="45"/>
  <c r="V28" i="45"/>
  <c r="N28" i="45"/>
  <c r="L28" i="45"/>
  <c r="B28" i="45"/>
  <c r="X27" i="45"/>
  <c r="Z27" i="45" s="1"/>
  <c r="L27" i="45"/>
  <c r="N27" i="45" s="1"/>
  <c r="B27" i="45"/>
  <c r="Z26" i="45"/>
  <c r="X26" i="45"/>
  <c r="N26" i="45"/>
  <c r="L26" i="45"/>
  <c r="B26" i="45"/>
  <c r="Z25" i="45"/>
  <c r="X25" i="45"/>
  <c r="L25" i="45"/>
  <c r="N25" i="45" s="1"/>
  <c r="B25" i="45"/>
  <c r="T24" i="45"/>
  <c r="P24" i="45"/>
  <c r="X24" i="45" s="1"/>
  <c r="N24" i="45"/>
  <c r="L24" i="45"/>
  <c r="H24" i="45"/>
  <c r="D24" i="45"/>
  <c r="B24" i="45"/>
  <c r="X23" i="45"/>
  <c r="Z23" i="45" s="1"/>
  <c r="T23" i="45"/>
  <c r="P23" i="45"/>
  <c r="H23" i="45"/>
  <c r="D23" i="45"/>
  <c r="X19" i="45"/>
  <c r="Z19" i="45" s="1"/>
  <c r="V19" i="45"/>
  <c r="L19" i="45"/>
  <c r="N19" i="45" s="1"/>
  <c r="B19" i="45"/>
  <c r="Z18" i="45"/>
  <c r="X18" i="45"/>
  <c r="N18" i="45"/>
  <c r="L18" i="45"/>
  <c r="J18" i="45"/>
  <c r="B18" i="45"/>
  <c r="T17" i="45"/>
  <c r="P17" i="45"/>
  <c r="X17" i="45" s="1"/>
  <c r="Z17" i="45" s="1"/>
  <c r="L17" i="45"/>
  <c r="N17" i="45" s="1"/>
  <c r="H17" i="45"/>
  <c r="D17" i="45"/>
  <c r="T15" i="45"/>
  <c r="P15" i="45"/>
  <c r="X15" i="45" s="1"/>
  <c r="H15" i="45"/>
  <c r="D15" i="45"/>
  <c r="L15" i="45" s="1"/>
  <c r="N15" i="45" s="1"/>
  <c r="B15" i="45"/>
  <c r="T14" i="45"/>
  <c r="P14" i="45"/>
  <c r="X14" i="45" s="1"/>
  <c r="H14" i="45"/>
  <c r="D14" i="45"/>
  <c r="L14" i="45" s="1"/>
  <c r="B14" i="45"/>
  <c r="T13" i="45"/>
  <c r="T12" i="45" s="1"/>
  <c r="V74" i="45" s="1"/>
  <c r="P13" i="45"/>
  <c r="L13" i="45"/>
  <c r="H13" i="45"/>
  <c r="D13" i="45"/>
  <c r="B13" i="45"/>
  <c r="H12" i="45"/>
  <c r="J81" i="45" s="1"/>
  <c r="D12" i="45"/>
  <c r="D4" i="45"/>
  <c r="B39" i="44"/>
  <c r="B38" i="44"/>
  <c r="T34" i="44"/>
  <c r="Z34" i="44" s="1"/>
  <c r="P34" i="44"/>
  <c r="H34" i="44"/>
  <c r="N34" i="44" s="1"/>
  <c r="D34" i="44"/>
  <c r="T33" i="44"/>
  <c r="Z33" i="44" s="1"/>
  <c r="P33" i="44"/>
  <c r="H33" i="44"/>
  <c r="N33" i="44" s="1"/>
  <c r="D33" i="44"/>
  <c r="T29" i="44"/>
  <c r="Z29" i="44" s="1"/>
  <c r="P29" i="44"/>
  <c r="H29" i="44"/>
  <c r="N29" i="44" s="1"/>
  <c r="D29" i="44"/>
  <c r="T25" i="44"/>
  <c r="Z25" i="44" s="1"/>
  <c r="P25" i="44"/>
  <c r="H25" i="44"/>
  <c r="N25" i="44" s="1"/>
  <c r="D25" i="44"/>
  <c r="B25" i="44"/>
  <c r="T24" i="44"/>
  <c r="Z24" i="44" s="1"/>
  <c r="P24" i="44"/>
  <c r="H24" i="44"/>
  <c r="D24" i="44"/>
  <c r="T22" i="44"/>
  <c r="Z22" i="44" s="1"/>
  <c r="P22" i="44"/>
  <c r="H22" i="44"/>
  <c r="N22" i="44" s="1"/>
  <c r="D22" i="44"/>
  <c r="B22" i="44"/>
  <c r="T21" i="44"/>
  <c r="Z21" i="44" s="1"/>
  <c r="P21" i="44"/>
  <c r="H21" i="44"/>
  <c r="N21" i="44" s="1"/>
  <c r="D21" i="44"/>
  <c r="B21" i="44"/>
  <c r="T20" i="44"/>
  <c r="Z20" i="44" s="1"/>
  <c r="P20" i="44"/>
  <c r="H20" i="44"/>
  <c r="N20" i="44" s="1"/>
  <c r="D20" i="44"/>
  <c r="T16" i="44"/>
  <c r="Z16" i="44" s="1"/>
  <c r="P16" i="44"/>
  <c r="H16" i="44"/>
  <c r="N16" i="44" s="1"/>
  <c r="D16" i="44"/>
  <c r="B16" i="44"/>
  <c r="T15" i="44"/>
  <c r="Z15" i="44" s="1"/>
  <c r="P15" i="44"/>
  <c r="H15" i="44"/>
  <c r="N15" i="44" s="1"/>
  <c r="D15" i="44"/>
  <c r="T13" i="44"/>
  <c r="Z13" i="44" s="1"/>
  <c r="P13" i="44"/>
  <c r="H13" i="44"/>
  <c r="N13" i="44" s="1"/>
  <c r="D13" i="44"/>
  <c r="B13" i="44"/>
  <c r="T12" i="44"/>
  <c r="V24" i="44" s="1"/>
  <c r="P12" i="44"/>
  <c r="R34" i="44" s="1"/>
  <c r="H12" i="44"/>
  <c r="J21" i="44" s="1"/>
  <c r="D12" i="44"/>
  <c r="F34" i="44" s="1"/>
  <c r="D5" i="44"/>
  <c r="D4" i="44"/>
  <c r="B39" i="43"/>
  <c r="B38" i="43"/>
  <c r="T34" i="43"/>
  <c r="Z34" i="43" s="1"/>
  <c r="P34" i="43"/>
  <c r="H34" i="43"/>
  <c r="N34" i="43" s="1"/>
  <c r="D34" i="43"/>
  <c r="T33" i="43"/>
  <c r="Z33" i="43" s="1"/>
  <c r="P33" i="43"/>
  <c r="H33" i="43"/>
  <c r="N33" i="43" s="1"/>
  <c r="D33" i="43"/>
  <c r="T29" i="43"/>
  <c r="Z29" i="43" s="1"/>
  <c r="P29" i="43"/>
  <c r="H29" i="43"/>
  <c r="N29" i="43" s="1"/>
  <c r="D29" i="43"/>
  <c r="T25" i="43"/>
  <c r="P25" i="43"/>
  <c r="H25" i="43"/>
  <c r="N25" i="43" s="1"/>
  <c r="D25" i="43"/>
  <c r="B25" i="43"/>
  <c r="T24" i="43"/>
  <c r="Z24" i="43" s="1"/>
  <c r="P24" i="43"/>
  <c r="H24" i="43"/>
  <c r="N24" i="43" s="1"/>
  <c r="D24" i="43"/>
  <c r="T22" i="43"/>
  <c r="Z22" i="43" s="1"/>
  <c r="P22" i="43"/>
  <c r="H22" i="43"/>
  <c r="N22" i="43" s="1"/>
  <c r="D22" i="43"/>
  <c r="B22" i="43"/>
  <c r="T21" i="43"/>
  <c r="Z21" i="43" s="1"/>
  <c r="P21" i="43"/>
  <c r="H21" i="43"/>
  <c r="D21" i="43"/>
  <c r="B21" i="43"/>
  <c r="T20" i="43"/>
  <c r="Z20" i="43" s="1"/>
  <c r="P20" i="43"/>
  <c r="H20" i="43"/>
  <c r="N20" i="43" s="1"/>
  <c r="D20" i="43"/>
  <c r="T16" i="43"/>
  <c r="Z16" i="43" s="1"/>
  <c r="P16" i="43"/>
  <c r="H16" i="43"/>
  <c r="N16" i="43" s="1"/>
  <c r="D16" i="43"/>
  <c r="B16" i="43"/>
  <c r="T15" i="43"/>
  <c r="Z15" i="43" s="1"/>
  <c r="P15" i="43"/>
  <c r="H15" i="43"/>
  <c r="N15" i="43" s="1"/>
  <c r="D15" i="43"/>
  <c r="T13" i="43"/>
  <c r="Z13" i="43" s="1"/>
  <c r="P13" i="43"/>
  <c r="H13" i="43"/>
  <c r="N13" i="43" s="1"/>
  <c r="D13" i="43"/>
  <c r="B13" i="43"/>
  <c r="T12" i="43"/>
  <c r="V24" i="43" s="1"/>
  <c r="P12" i="43"/>
  <c r="R27" i="43" s="1"/>
  <c r="H12" i="43"/>
  <c r="J20" i="43" s="1"/>
  <c r="D12" i="43"/>
  <c r="F25" i="43" s="1"/>
  <c r="D5" i="43"/>
  <c r="D4" i="43"/>
  <c r="X104" i="42"/>
  <c r="Z104" i="42" s="1"/>
  <c r="L104" i="42"/>
  <c r="N104" i="42" s="1"/>
  <c r="T100" i="42"/>
  <c r="P100" i="42"/>
  <c r="L100" i="42"/>
  <c r="H100" i="42"/>
  <c r="N100" i="42" s="1"/>
  <c r="D100" i="42"/>
  <c r="B100" i="42"/>
  <c r="T99" i="42"/>
  <c r="P99" i="42"/>
  <c r="X99" i="42" s="1"/>
  <c r="Z99" i="42" s="1"/>
  <c r="H99" i="42"/>
  <c r="D99" i="42"/>
  <c r="L99" i="42" s="1"/>
  <c r="N99" i="42" s="1"/>
  <c r="B99" i="42"/>
  <c r="T98" i="42"/>
  <c r="P98" i="42"/>
  <c r="X98" i="42" s="1"/>
  <c r="H98" i="42"/>
  <c r="D98" i="42"/>
  <c r="D97" i="42" s="1"/>
  <c r="B98" i="42"/>
  <c r="Z95" i="42"/>
  <c r="X95" i="42"/>
  <c r="N95" i="42"/>
  <c r="L95" i="42"/>
  <c r="B95" i="42"/>
  <c r="T94" i="42"/>
  <c r="Z94" i="42" s="1"/>
  <c r="P94" i="42"/>
  <c r="X94" i="42" s="1"/>
  <c r="H94" i="42"/>
  <c r="D94" i="42"/>
  <c r="L94" i="42" s="1"/>
  <c r="B94" i="42"/>
  <c r="Z93" i="42"/>
  <c r="X93" i="42"/>
  <c r="N93" i="42"/>
  <c r="L93" i="42"/>
  <c r="B93" i="42"/>
  <c r="Z92" i="42"/>
  <c r="X92" i="42"/>
  <c r="N92" i="42"/>
  <c r="L92" i="42"/>
  <c r="B92" i="42"/>
  <c r="T91" i="42"/>
  <c r="P91" i="42"/>
  <c r="X91" i="42" s="1"/>
  <c r="Z91" i="42" s="1"/>
  <c r="N91" i="42"/>
  <c r="L91" i="42"/>
  <c r="H91" i="42"/>
  <c r="D91" i="42"/>
  <c r="B91" i="42"/>
  <c r="X90" i="42"/>
  <c r="Z90" i="42" s="1"/>
  <c r="N90" i="42"/>
  <c r="L90" i="42"/>
  <c r="B90" i="42"/>
  <c r="Z89" i="42"/>
  <c r="X89" i="42"/>
  <c r="T89" i="42"/>
  <c r="P89" i="42"/>
  <c r="N89" i="42"/>
  <c r="H89" i="42"/>
  <c r="L89" i="42" s="1"/>
  <c r="D89" i="42"/>
  <c r="B89" i="42"/>
  <c r="X88" i="42"/>
  <c r="Z88" i="42" s="1"/>
  <c r="L88" i="42"/>
  <c r="N88" i="42" s="1"/>
  <c r="B88" i="42"/>
  <c r="T87" i="42"/>
  <c r="X87" i="42" s="1"/>
  <c r="Z87" i="42" s="1"/>
  <c r="P87" i="42"/>
  <c r="H87" i="42"/>
  <c r="D87" i="42"/>
  <c r="L87" i="42" s="1"/>
  <c r="N87" i="42" s="1"/>
  <c r="B87" i="42"/>
  <c r="Z86" i="42"/>
  <c r="X86" i="42"/>
  <c r="N86" i="42"/>
  <c r="L86" i="42"/>
  <c r="B86" i="42"/>
  <c r="Z85" i="42"/>
  <c r="X85" i="42"/>
  <c r="N85" i="42"/>
  <c r="L85" i="42"/>
  <c r="B85" i="42"/>
  <c r="Z84" i="42"/>
  <c r="X84" i="42"/>
  <c r="N84" i="42"/>
  <c r="L84" i="42"/>
  <c r="B84" i="42"/>
  <c r="Z83" i="42"/>
  <c r="X83" i="42"/>
  <c r="N83" i="42"/>
  <c r="L83" i="42"/>
  <c r="B83" i="42"/>
  <c r="X82" i="42"/>
  <c r="Z82" i="42" s="1"/>
  <c r="L82" i="42"/>
  <c r="N82" i="42" s="1"/>
  <c r="B82" i="42"/>
  <c r="Z81" i="42"/>
  <c r="X81" i="42"/>
  <c r="N81" i="42"/>
  <c r="L81" i="42"/>
  <c r="B81" i="42"/>
  <c r="X80" i="42"/>
  <c r="Z80" i="42" s="1"/>
  <c r="L80" i="42"/>
  <c r="N80" i="42" s="1"/>
  <c r="B80" i="42"/>
  <c r="Z79" i="42"/>
  <c r="X79" i="42"/>
  <c r="N79" i="42"/>
  <c r="L79" i="42"/>
  <c r="B79" i="42"/>
  <c r="X78" i="42"/>
  <c r="Z78" i="42" s="1"/>
  <c r="N78" i="42"/>
  <c r="L78" i="42"/>
  <c r="B78" i="42"/>
  <c r="T77" i="42"/>
  <c r="P77" i="42"/>
  <c r="X77" i="42" s="1"/>
  <c r="Z77" i="42" s="1"/>
  <c r="H77" i="42"/>
  <c r="D77" i="42"/>
  <c r="L77" i="42" s="1"/>
  <c r="N77" i="42" s="1"/>
  <c r="B77" i="42"/>
  <c r="X76" i="42"/>
  <c r="Z76" i="42" s="1"/>
  <c r="L76" i="42"/>
  <c r="N76" i="42" s="1"/>
  <c r="B76" i="42"/>
  <c r="T75" i="42"/>
  <c r="P75" i="42"/>
  <c r="X75" i="42" s="1"/>
  <c r="Z75" i="42" s="1"/>
  <c r="N75" i="42"/>
  <c r="L75" i="42"/>
  <c r="H75" i="42"/>
  <c r="D75" i="42"/>
  <c r="B75" i="42"/>
  <c r="X74" i="42"/>
  <c r="Z74" i="42" s="1"/>
  <c r="L74" i="42"/>
  <c r="N74" i="42" s="1"/>
  <c r="B74" i="42"/>
  <c r="Z73" i="42"/>
  <c r="X73" i="42"/>
  <c r="N73" i="42"/>
  <c r="L73" i="42"/>
  <c r="B73" i="42"/>
  <c r="X72" i="42"/>
  <c r="Z72" i="42" s="1"/>
  <c r="L72" i="42"/>
  <c r="N72" i="42" s="1"/>
  <c r="B72" i="42"/>
  <c r="Z71" i="42"/>
  <c r="X71" i="42"/>
  <c r="N71" i="42"/>
  <c r="L71" i="42"/>
  <c r="B71" i="42"/>
  <c r="T70" i="42"/>
  <c r="Z70" i="42" s="1"/>
  <c r="P70" i="42"/>
  <c r="X70" i="42" s="1"/>
  <c r="H70" i="42"/>
  <c r="D70" i="42"/>
  <c r="L70" i="42" s="1"/>
  <c r="N70" i="42" s="1"/>
  <c r="B70" i="42"/>
  <c r="Z69" i="42"/>
  <c r="X69" i="42"/>
  <c r="N69" i="42"/>
  <c r="L69" i="42"/>
  <c r="B69" i="42"/>
  <c r="Z68" i="42"/>
  <c r="T68" i="42"/>
  <c r="P68" i="42"/>
  <c r="X68" i="42" s="1"/>
  <c r="H68" i="42"/>
  <c r="N68" i="42" s="1"/>
  <c r="D68" i="42"/>
  <c r="B68" i="42"/>
  <c r="Z67" i="42"/>
  <c r="X67" i="42"/>
  <c r="N67" i="42"/>
  <c r="L67" i="42"/>
  <c r="B67" i="42"/>
  <c r="X66" i="42"/>
  <c r="Z66" i="42" s="1"/>
  <c r="L66" i="42"/>
  <c r="N66" i="42" s="1"/>
  <c r="B66" i="42"/>
  <c r="Z65" i="42"/>
  <c r="X65" i="42"/>
  <c r="N65" i="42"/>
  <c r="L65" i="42"/>
  <c r="B65" i="42"/>
  <c r="T64" i="42"/>
  <c r="P64" i="42"/>
  <c r="X64" i="42" s="1"/>
  <c r="Z64" i="42" s="1"/>
  <c r="H64" i="42"/>
  <c r="D64" i="42"/>
  <c r="B64" i="42"/>
  <c r="Z63" i="42"/>
  <c r="X63" i="42"/>
  <c r="N63" i="42"/>
  <c r="L63" i="42"/>
  <c r="B63" i="42"/>
  <c r="T62" i="42"/>
  <c r="P62" i="42"/>
  <c r="L62" i="42"/>
  <c r="H62" i="42"/>
  <c r="N62" i="42" s="1"/>
  <c r="D62" i="42"/>
  <c r="B62" i="42"/>
  <c r="Z61" i="42"/>
  <c r="X61" i="42"/>
  <c r="N61" i="42"/>
  <c r="L61" i="42"/>
  <c r="B61" i="42"/>
  <c r="X60" i="42"/>
  <c r="T60" i="42"/>
  <c r="Z60" i="42" s="1"/>
  <c r="P60" i="42"/>
  <c r="H60" i="42"/>
  <c r="D60" i="42"/>
  <c r="L60" i="42" s="1"/>
  <c r="B60" i="42"/>
  <c r="Z59" i="42"/>
  <c r="X59" i="42"/>
  <c r="N59" i="42"/>
  <c r="L59" i="42"/>
  <c r="B59" i="42"/>
  <c r="T58" i="42"/>
  <c r="P58" i="42"/>
  <c r="X58" i="42" s="1"/>
  <c r="H58" i="42"/>
  <c r="N58" i="42" s="1"/>
  <c r="D58" i="42"/>
  <c r="L58" i="42" s="1"/>
  <c r="B58" i="42"/>
  <c r="Z57" i="42"/>
  <c r="X57" i="42"/>
  <c r="N57" i="42"/>
  <c r="L57" i="42"/>
  <c r="B57" i="42"/>
  <c r="T56" i="42"/>
  <c r="Z56" i="42" s="1"/>
  <c r="P56" i="42"/>
  <c r="X56" i="42" s="1"/>
  <c r="H56" i="42"/>
  <c r="D56" i="42"/>
  <c r="B56" i="42"/>
  <c r="Z55" i="42"/>
  <c r="X55" i="42"/>
  <c r="N55" i="42"/>
  <c r="L55" i="42"/>
  <c r="B55" i="42"/>
  <c r="T54" i="42"/>
  <c r="P54" i="42"/>
  <c r="L54" i="42"/>
  <c r="H54" i="42"/>
  <c r="N54" i="42" s="1"/>
  <c r="D54" i="42"/>
  <c r="B54" i="42"/>
  <c r="Z53" i="42"/>
  <c r="X53" i="42"/>
  <c r="N53" i="42"/>
  <c r="L53" i="42"/>
  <c r="B53" i="42"/>
  <c r="X52" i="42"/>
  <c r="T52" i="42"/>
  <c r="Z52" i="42" s="1"/>
  <c r="P52" i="42"/>
  <c r="H52" i="42"/>
  <c r="N52" i="42" s="1"/>
  <c r="D52" i="42"/>
  <c r="L52" i="42" s="1"/>
  <c r="B52" i="42"/>
  <c r="Z51" i="42"/>
  <c r="X51" i="42"/>
  <c r="N51" i="42"/>
  <c r="L51" i="42"/>
  <c r="B51" i="42"/>
  <c r="T50" i="42"/>
  <c r="Z50" i="42" s="1"/>
  <c r="P50" i="42"/>
  <c r="X50" i="42" s="1"/>
  <c r="H50" i="42"/>
  <c r="D50" i="42"/>
  <c r="L50" i="42" s="1"/>
  <c r="B50" i="42"/>
  <c r="Z49" i="42"/>
  <c r="X49" i="42"/>
  <c r="N49" i="42"/>
  <c r="L49" i="42"/>
  <c r="B49" i="42"/>
  <c r="X48" i="42"/>
  <c r="Z48" i="42" s="1"/>
  <c r="L48" i="42"/>
  <c r="N48" i="42" s="1"/>
  <c r="B48" i="42"/>
  <c r="T47" i="42"/>
  <c r="P47" i="42"/>
  <c r="X47" i="42" s="1"/>
  <c r="Z47" i="42" s="1"/>
  <c r="N47" i="42"/>
  <c r="L47" i="42"/>
  <c r="H47" i="42"/>
  <c r="D47" i="42"/>
  <c r="B47" i="42"/>
  <c r="X46" i="42"/>
  <c r="Z46" i="42" s="1"/>
  <c r="L46" i="42"/>
  <c r="N46" i="42" s="1"/>
  <c r="B46" i="42"/>
  <c r="Z45" i="42"/>
  <c r="X45" i="42"/>
  <c r="T45" i="42"/>
  <c r="P45" i="42"/>
  <c r="H45" i="42"/>
  <c r="L45" i="42" s="1"/>
  <c r="N45" i="42" s="1"/>
  <c r="D45" i="42"/>
  <c r="B45" i="42"/>
  <c r="X44" i="42"/>
  <c r="Z44" i="42" s="1"/>
  <c r="L44" i="42"/>
  <c r="N44" i="42" s="1"/>
  <c r="B44" i="42"/>
  <c r="T43" i="42"/>
  <c r="X43" i="42" s="1"/>
  <c r="Z43" i="42" s="1"/>
  <c r="P43" i="42"/>
  <c r="H43" i="42"/>
  <c r="D43" i="42"/>
  <c r="L43" i="42" s="1"/>
  <c r="N43" i="42" s="1"/>
  <c r="B43" i="42"/>
  <c r="X42" i="42"/>
  <c r="Z42" i="42" s="1"/>
  <c r="L42" i="42"/>
  <c r="N42" i="42" s="1"/>
  <c r="B42" i="42"/>
  <c r="T41" i="42"/>
  <c r="P41" i="42"/>
  <c r="X41" i="42" s="1"/>
  <c r="Z41" i="42" s="1"/>
  <c r="H41" i="42"/>
  <c r="D41" i="42"/>
  <c r="L41" i="42" s="1"/>
  <c r="N41" i="42" s="1"/>
  <c r="B41" i="42"/>
  <c r="X40" i="42"/>
  <c r="Z40" i="42" s="1"/>
  <c r="N40" i="42"/>
  <c r="L40" i="42"/>
  <c r="B40" i="42"/>
  <c r="Z39" i="42"/>
  <c r="X39" i="42"/>
  <c r="N39" i="42"/>
  <c r="L39" i="42"/>
  <c r="B39" i="42"/>
  <c r="X38" i="42"/>
  <c r="Z38" i="42" s="1"/>
  <c r="L38" i="42"/>
  <c r="N38" i="42" s="1"/>
  <c r="B38" i="42"/>
  <c r="Z37" i="42"/>
  <c r="X37" i="42"/>
  <c r="N37" i="42"/>
  <c r="L37" i="42"/>
  <c r="B37" i="42"/>
  <c r="X36" i="42"/>
  <c r="Z36" i="42" s="1"/>
  <c r="L36" i="42"/>
  <c r="N36" i="42" s="1"/>
  <c r="B36" i="42"/>
  <c r="T35" i="42"/>
  <c r="P35" i="42"/>
  <c r="X35" i="42" s="1"/>
  <c r="Z35" i="42" s="1"/>
  <c r="H35" i="42"/>
  <c r="D35" i="42"/>
  <c r="L35" i="42" s="1"/>
  <c r="N35" i="42" s="1"/>
  <c r="B35" i="42"/>
  <c r="X34" i="42"/>
  <c r="Z34" i="42" s="1"/>
  <c r="L34" i="42"/>
  <c r="N34" i="42" s="1"/>
  <c r="B34" i="42"/>
  <c r="Z33" i="42"/>
  <c r="X33" i="42"/>
  <c r="N33" i="42"/>
  <c r="L33" i="42"/>
  <c r="B33" i="42"/>
  <c r="X32" i="42"/>
  <c r="Z32" i="42" s="1"/>
  <c r="L32" i="42"/>
  <c r="N32" i="42" s="1"/>
  <c r="B32" i="42"/>
  <c r="Z31" i="42"/>
  <c r="X31" i="42"/>
  <c r="N31" i="42"/>
  <c r="L31" i="42"/>
  <c r="B31" i="42"/>
  <c r="X30" i="42"/>
  <c r="Z30" i="42" s="1"/>
  <c r="N30" i="42"/>
  <c r="L30" i="42"/>
  <c r="B30" i="42"/>
  <c r="Z29" i="42"/>
  <c r="X29" i="42"/>
  <c r="N29" i="42"/>
  <c r="L29" i="42"/>
  <c r="B29" i="42"/>
  <c r="X28" i="42"/>
  <c r="Z28" i="42" s="1"/>
  <c r="L28" i="42"/>
  <c r="N28" i="42" s="1"/>
  <c r="B28" i="42"/>
  <c r="Z27" i="42"/>
  <c r="X27" i="42"/>
  <c r="N27" i="42"/>
  <c r="L27" i="42"/>
  <c r="B27" i="42"/>
  <c r="T26" i="42"/>
  <c r="Z26" i="42" s="1"/>
  <c r="P26" i="42"/>
  <c r="X26" i="42" s="1"/>
  <c r="H26" i="42"/>
  <c r="D26" i="42"/>
  <c r="L26" i="42" s="1"/>
  <c r="B26" i="42"/>
  <c r="T25" i="42"/>
  <c r="P25" i="42"/>
  <c r="X25" i="42" s="1"/>
  <c r="Z25" i="42" s="1"/>
  <c r="H25" i="42"/>
  <c r="D25" i="42"/>
  <c r="L25" i="42" s="1"/>
  <c r="N25" i="42" s="1"/>
  <c r="X21" i="42"/>
  <c r="Z21" i="42" s="1"/>
  <c r="L21" i="42"/>
  <c r="N21" i="42" s="1"/>
  <c r="B21" i="42"/>
  <c r="X20" i="42"/>
  <c r="Z20" i="42" s="1"/>
  <c r="L20" i="42"/>
  <c r="N20" i="42" s="1"/>
  <c r="B20" i="42"/>
  <c r="T19" i="42"/>
  <c r="P19" i="42"/>
  <c r="L19" i="42"/>
  <c r="N19" i="42" s="1"/>
  <c r="H19" i="42"/>
  <c r="D19" i="42"/>
  <c r="T17" i="42"/>
  <c r="P17" i="42"/>
  <c r="X17" i="42" s="1"/>
  <c r="Z17" i="42" s="1"/>
  <c r="H17" i="42"/>
  <c r="D17" i="42"/>
  <c r="L17" i="42" s="1"/>
  <c r="N17" i="42" s="1"/>
  <c r="B17" i="42"/>
  <c r="T16" i="42"/>
  <c r="Z16" i="42" s="1"/>
  <c r="P16" i="42"/>
  <c r="X16" i="42" s="1"/>
  <c r="H16" i="42"/>
  <c r="N16" i="42" s="1"/>
  <c r="D16" i="42"/>
  <c r="L16" i="42" s="1"/>
  <c r="B16" i="42"/>
  <c r="X15" i="42"/>
  <c r="T15" i="42"/>
  <c r="Z15" i="42" s="1"/>
  <c r="P15" i="42"/>
  <c r="H15" i="42"/>
  <c r="N15" i="42" s="1"/>
  <c r="D15" i="42"/>
  <c r="B15" i="42"/>
  <c r="Z14" i="42"/>
  <c r="X14" i="42"/>
  <c r="T14" i="42"/>
  <c r="P14" i="42"/>
  <c r="L14" i="42"/>
  <c r="N14" i="42" s="1"/>
  <c r="H14" i="42"/>
  <c r="D14" i="42"/>
  <c r="B14" i="42"/>
  <c r="T13" i="42"/>
  <c r="P13" i="42"/>
  <c r="X13" i="42" s="1"/>
  <c r="Z13" i="42" s="1"/>
  <c r="H13" i="42"/>
  <c r="D13" i="42"/>
  <c r="L13" i="42" s="1"/>
  <c r="N13" i="42" s="1"/>
  <c r="B13" i="42"/>
  <c r="T12" i="42"/>
  <c r="V88" i="42" s="1"/>
  <c r="P12" i="42"/>
  <c r="H12" i="42"/>
  <c r="D4" i="42"/>
  <c r="B39" i="41"/>
  <c r="B38" i="41"/>
  <c r="T34" i="41"/>
  <c r="Z34" i="41" s="1"/>
  <c r="P34" i="41"/>
  <c r="H34" i="41"/>
  <c r="N34" i="41" s="1"/>
  <c r="D34" i="41"/>
  <c r="T33" i="41"/>
  <c r="Z33" i="41" s="1"/>
  <c r="P33" i="41"/>
  <c r="H33" i="41"/>
  <c r="N33" i="41" s="1"/>
  <c r="D33" i="41"/>
  <c r="T29" i="41"/>
  <c r="Z29" i="41" s="1"/>
  <c r="P29" i="41"/>
  <c r="H29" i="41"/>
  <c r="N29" i="41" s="1"/>
  <c r="D29" i="41"/>
  <c r="T25" i="41"/>
  <c r="Z25" i="41" s="1"/>
  <c r="P25" i="41"/>
  <c r="H25" i="41"/>
  <c r="N25" i="41" s="1"/>
  <c r="D25" i="41"/>
  <c r="B25" i="41"/>
  <c r="T24" i="41"/>
  <c r="Z24" i="41" s="1"/>
  <c r="P24" i="41"/>
  <c r="H24" i="41"/>
  <c r="N24" i="41" s="1"/>
  <c r="D24" i="41"/>
  <c r="T22" i="41"/>
  <c r="Z22" i="41" s="1"/>
  <c r="P22" i="41"/>
  <c r="H22" i="41"/>
  <c r="N22" i="41" s="1"/>
  <c r="D22" i="41"/>
  <c r="L22" i="41" s="1"/>
  <c r="B22" i="41"/>
  <c r="T21" i="41"/>
  <c r="Z21" i="41" s="1"/>
  <c r="P21" i="41"/>
  <c r="H21" i="41"/>
  <c r="N21" i="41" s="1"/>
  <c r="D21" i="41"/>
  <c r="B21" i="41"/>
  <c r="T20" i="41"/>
  <c r="Z20" i="41" s="1"/>
  <c r="P20" i="41"/>
  <c r="H20" i="41"/>
  <c r="N20" i="41" s="1"/>
  <c r="D20" i="41"/>
  <c r="T16" i="41"/>
  <c r="Z16" i="41" s="1"/>
  <c r="P16" i="41"/>
  <c r="H16" i="41"/>
  <c r="N16" i="41" s="1"/>
  <c r="D16" i="41"/>
  <c r="B16" i="41"/>
  <c r="T15" i="41"/>
  <c r="Z15" i="41" s="1"/>
  <c r="P15" i="41"/>
  <c r="H15" i="41"/>
  <c r="N15" i="41" s="1"/>
  <c r="D15" i="41"/>
  <c r="T13" i="41"/>
  <c r="Z13" i="41" s="1"/>
  <c r="P13" i="41"/>
  <c r="H13" i="41"/>
  <c r="N13" i="41" s="1"/>
  <c r="D13" i="41"/>
  <c r="B13" i="41"/>
  <c r="T12" i="41"/>
  <c r="V18" i="41" s="1"/>
  <c r="P12" i="41"/>
  <c r="R24" i="41" s="1"/>
  <c r="H12" i="41"/>
  <c r="J22" i="41" s="1"/>
  <c r="D12" i="41"/>
  <c r="F18" i="41" s="1"/>
  <c r="D5" i="41"/>
  <c r="D4" i="41"/>
  <c r="B39" i="40"/>
  <c r="B38" i="40"/>
  <c r="T34" i="40"/>
  <c r="Z34" i="40" s="1"/>
  <c r="P34" i="40"/>
  <c r="H34" i="40"/>
  <c r="N34" i="40" s="1"/>
  <c r="D34" i="40"/>
  <c r="T33" i="40"/>
  <c r="Z33" i="40" s="1"/>
  <c r="P33" i="40"/>
  <c r="H33" i="40"/>
  <c r="N33" i="40" s="1"/>
  <c r="D33" i="40"/>
  <c r="T29" i="40"/>
  <c r="Z29" i="40" s="1"/>
  <c r="P29" i="40"/>
  <c r="H29" i="40"/>
  <c r="N29" i="40" s="1"/>
  <c r="D29" i="40"/>
  <c r="T25" i="40"/>
  <c r="Z25" i="40" s="1"/>
  <c r="P25" i="40"/>
  <c r="H25" i="40"/>
  <c r="N25" i="40" s="1"/>
  <c r="D25" i="40"/>
  <c r="B25" i="40"/>
  <c r="T24" i="40"/>
  <c r="Z24" i="40" s="1"/>
  <c r="P24" i="40"/>
  <c r="H24" i="40"/>
  <c r="D24" i="40"/>
  <c r="T22" i="40"/>
  <c r="Z22" i="40" s="1"/>
  <c r="P22" i="40"/>
  <c r="H22" i="40"/>
  <c r="N22" i="40" s="1"/>
  <c r="D22" i="40"/>
  <c r="B22" i="40"/>
  <c r="T21" i="40"/>
  <c r="Z21" i="40" s="1"/>
  <c r="P21" i="40"/>
  <c r="H21" i="40"/>
  <c r="N21" i="40" s="1"/>
  <c r="D21" i="40"/>
  <c r="B21" i="40"/>
  <c r="T20" i="40"/>
  <c r="P20" i="40"/>
  <c r="H20" i="40"/>
  <c r="N20" i="40" s="1"/>
  <c r="D20" i="40"/>
  <c r="T16" i="40"/>
  <c r="Z16" i="40" s="1"/>
  <c r="P16" i="40"/>
  <c r="H16" i="40"/>
  <c r="N16" i="40" s="1"/>
  <c r="D16" i="40"/>
  <c r="B16" i="40"/>
  <c r="T15" i="40"/>
  <c r="Z15" i="40" s="1"/>
  <c r="P15" i="40"/>
  <c r="H15" i="40"/>
  <c r="N15" i="40" s="1"/>
  <c r="D15" i="40"/>
  <c r="T13" i="40"/>
  <c r="Z13" i="40" s="1"/>
  <c r="P13" i="40"/>
  <c r="H13" i="40"/>
  <c r="N13" i="40" s="1"/>
  <c r="D13" i="40"/>
  <c r="B13" i="40"/>
  <c r="T12" i="40"/>
  <c r="V21" i="40" s="1"/>
  <c r="P12" i="40"/>
  <c r="H12" i="40"/>
  <c r="J36" i="40" s="1"/>
  <c r="D12" i="40"/>
  <c r="F21" i="40" s="1"/>
  <c r="D5" i="40"/>
  <c r="D4" i="40"/>
  <c r="Z113" i="39"/>
  <c r="X113" i="39"/>
  <c r="N113" i="39"/>
  <c r="L113" i="39"/>
  <c r="Z109" i="39"/>
  <c r="T109" i="39"/>
  <c r="X109" i="39" s="1"/>
  <c r="P109" i="39"/>
  <c r="L109" i="39"/>
  <c r="N109" i="39" s="1"/>
  <c r="H109" i="39"/>
  <c r="D109" i="39"/>
  <c r="B109" i="39"/>
  <c r="T108" i="39"/>
  <c r="P108" i="39"/>
  <c r="H108" i="39"/>
  <c r="D108" i="39"/>
  <c r="B108" i="39"/>
  <c r="X107" i="39"/>
  <c r="Z107" i="39" s="1"/>
  <c r="T107" i="39"/>
  <c r="P107" i="39"/>
  <c r="P106" i="39" s="1"/>
  <c r="H107" i="39"/>
  <c r="L107" i="39" s="1"/>
  <c r="D107" i="39"/>
  <c r="B107" i="39"/>
  <c r="Z104" i="39"/>
  <c r="X104" i="39"/>
  <c r="L104" i="39"/>
  <c r="N104" i="39" s="1"/>
  <c r="B104" i="39"/>
  <c r="T103" i="39"/>
  <c r="P103" i="39"/>
  <c r="L103" i="39"/>
  <c r="N103" i="39" s="1"/>
  <c r="H103" i="39"/>
  <c r="D103" i="39"/>
  <c r="B103" i="39"/>
  <c r="X102" i="39"/>
  <c r="Z102" i="39" s="1"/>
  <c r="N102" i="39"/>
  <c r="L102" i="39"/>
  <c r="B102" i="39"/>
  <c r="Z101" i="39"/>
  <c r="X101" i="39"/>
  <c r="N101" i="39"/>
  <c r="L101" i="39"/>
  <c r="B101" i="39"/>
  <c r="T100" i="39"/>
  <c r="P100" i="39"/>
  <c r="X100" i="39" s="1"/>
  <c r="Z100" i="39" s="1"/>
  <c r="H100" i="39"/>
  <c r="N100" i="39" s="1"/>
  <c r="D100" i="39"/>
  <c r="L100" i="39" s="1"/>
  <c r="B100" i="39"/>
  <c r="Z99" i="39"/>
  <c r="X99" i="39"/>
  <c r="N99" i="39"/>
  <c r="L99" i="39"/>
  <c r="B99" i="39"/>
  <c r="T98" i="39"/>
  <c r="P98" i="39"/>
  <c r="N98" i="39"/>
  <c r="L98" i="39"/>
  <c r="H98" i="39"/>
  <c r="D98" i="39"/>
  <c r="B98" i="39"/>
  <c r="Z97" i="39"/>
  <c r="X97" i="39"/>
  <c r="L97" i="39"/>
  <c r="N97" i="39" s="1"/>
  <c r="B97" i="39"/>
  <c r="X96" i="39"/>
  <c r="Z96" i="39" s="1"/>
  <c r="T96" i="39"/>
  <c r="P96" i="39"/>
  <c r="L96" i="39"/>
  <c r="H96" i="39"/>
  <c r="D96" i="39"/>
  <c r="B96" i="39"/>
  <c r="Z95" i="39"/>
  <c r="X95" i="39"/>
  <c r="N95" i="39"/>
  <c r="L95" i="39"/>
  <c r="B95" i="39"/>
  <c r="X94" i="39"/>
  <c r="Z94" i="39" s="1"/>
  <c r="N94" i="39"/>
  <c r="L94" i="39"/>
  <c r="B94" i="39"/>
  <c r="Z93" i="39"/>
  <c r="X93" i="39"/>
  <c r="N93" i="39"/>
  <c r="L93" i="39"/>
  <c r="B93" i="39"/>
  <c r="Z92" i="39"/>
  <c r="X92" i="39"/>
  <c r="N92" i="39"/>
  <c r="L92" i="39"/>
  <c r="B92" i="39"/>
  <c r="X91" i="39"/>
  <c r="Z91" i="39" s="1"/>
  <c r="L91" i="39"/>
  <c r="N91" i="39" s="1"/>
  <c r="B91" i="39"/>
  <c r="Z90" i="39"/>
  <c r="X90" i="39"/>
  <c r="N90" i="39"/>
  <c r="L90" i="39"/>
  <c r="B90" i="39"/>
  <c r="Z89" i="39"/>
  <c r="X89" i="39"/>
  <c r="N89" i="39"/>
  <c r="L89" i="39"/>
  <c r="B89" i="39"/>
  <c r="X88" i="39"/>
  <c r="Z88" i="39" s="1"/>
  <c r="N88" i="39"/>
  <c r="L88" i="39"/>
  <c r="B88" i="39"/>
  <c r="X87" i="39"/>
  <c r="Z87" i="39" s="1"/>
  <c r="N87" i="39"/>
  <c r="L87" i="39"/>
  <c r="B87" i="39"/>
  <c r="T86" i="39"/>
  <c r="P86" i="39"/>
  <c r="X86" i="39" s="1"/>
  <c r="Z86" i="39" s="1"/>
  <c r="H86" i="39"/>
  <c r="D86" i="39"/>
  <c r="L86" i="39" s="1"/>
  <c r="B86" i="39"/>
  <c r="Z85" i="39"/>
  <c r="X85" i="39"/>
  <c r="N85" i="39"/>
  <c r="L85" i="39"/>
  <c r="B85" i="39"/>
  <c r="T84" i="39"/>
  <c r="P84" i="39"/>
  <c r="X84" i="39" s="1"/>
  <c r="N84" i="39"/>
  <c r="L84" i="39"/>
  <c r="H84" i="39"/>
  <c r="D84" i="39"/>
  <c r="B84" i="39"/>
  <c r="X83" i="39"/>
  <c r="Z83" i="39" s="1"/>
  <c r="L83" i="39"/>
  <c r="N83" i="39" s="1"/>
  <c r="B83" i="39"/>
  <c r="Z82" i="39"/>
  <c r="X82" i="39"/>
  <c r="N82" i="39"/>
  <c r="L82" i="39"/>
  <c r="B82" i="39"/>
  <c r="Z81" i="39"/>
  <c r="X81" i="39"/>
  <c r="N81" i="39"/>
  <c r="L81" i="39"/>
  <c r="B81" i="39"/>
  <c r="X80" i="39"/>
  <c r="Z80" i="39" s="1"/>
  <c r="N80" i="39"/>
  <c r="L80" i="39"/>
  <c r="B80" i="39"/>
  <c r="T79" i="39"/>
  <c r="P79" i="39"/>
  <c r="H79" i="39"/>
  <c r="D79" i="39"/>
  <c r="L79" i="39" s="1"/>
  <c r="N79" i="39" s="1"/>
  <c r="B79" i="39"/>
  <c r="Z78" i="39"/>
  <c r="X78" i="39"/>
  <c r="N78" i="39"/>
  <c r="L78" i="39"/>
  <c r="B78" i="39"/>
  <c r="T77" i="39"/>
  <c r="P77" i="39"/>
  <c r="X77" i="39" s="1"/>
  <c r="Z77" i="39" s="1"/>
  <c r="N77" i="39"/>
  <c r="L77" i="39"/>
  <c r="H77" i="39"/>
  <c r="D77" i="39"/>
  <c r="B77" i="39"/>
  <c r="Z76" i="39"/>
  <c r="X76" i="39"/>
  <c r="L76" i="39"/>
  <c r="N76" i="39" s="1"/>
  <c r="B76" i="39"/>
  <c r="X75" i="39"/>
  <c r="Z75" i="39" s="1"/>
  <c r="L75" i="39"/>
  <c r="N75" i="39" s="1"/>
  <c r="B75" i="39"/>
  <c r="Z74" i="39"/>
  <c r="X74" i="39"/>
  <c r="N74" i="39"/>
  <c r="L74" i="39"/>
  <c r="B74" i="39"/>
  <c r="T73" i="39"/>
  <c r="P73" i="39"/>
  <c r="X73" i="39" s="1"/>
  <c r="Z73" i="39" s="1"/>
  <c r="L73" i="39"/>
  <c r="N73" i="39" s="1"/>
  <c r="H73" i="39"/>
  <c r="D73" i="39"/>
  <c r="B73" i="39"/>
  <c r="Z72" i="39"/>
  <c r="X72" i="39"/>
  <c r="L72" i="39"/>
  <c r="N72" i="39" s="1"/>
  <c r="B72" i="39"/>
  <c r="X71" i="39"/>
  <c r="Z71" i="39" s="1"/>
  <c r="T71" i="39"/>
  <c r="P71" i="39"/>
  <c r="L71" i="39"/>
  <c r="H71" i="39"/>
  <c r="D71" i="39"/>
  <c r="B71" i="39"/>
  <c r="Z70" i="39"/>
  <c r="X70" i="39"/>
  <c r="N70" i="39"/>
  <c r="L70" i="39"/>
  <c r="B70" i="39"/>
  <c r="X69" i="39"/>
  <c r="T69" i="39"/>
  <c r="P69" i="39"/>
  <c r="H69" i="39"/>
  <c r="D69" i="39"/>
  <c r="B69" i="39"/>
  <c r="X68" i="39"/>
  <c r="Z68" i="39" s="1"/>
  <c r="N68" i="39"/>
  <c r="L68" i="39"/>
  <c r="B68" i="39"/>
  <c r="T67" i="39"/>
  <c r="P67" i="39"/>
  <c r="X67" i="39" s="1"/>
  <c r="H67" i="39"/>
  <c r="D67" i="39"/>
  <c r="L67" i="39" s="1"/>
  <c r="N67" i="39" s="1"/>
  <c r="B67" i="39"/>
  <c r="Z66" i="39"/>
  <c r="X66" i="39"/>
  <c r="N66" i="39"/>
  <c r="L66" i="39"/>
  <c r="B66" i="39"/>
  <c r="T65" i="39"/>
  <c r="P65" i="39"/>
  <c r="X65" i="39" s="1"/>
  <c r="Z65" i="39" s="1"/>
  <c r="L65" i="39"/>
  <c r="N65" i="39" s="1"/>
  <c r="H65" i="39"/>
  <c r="D65" i="39"/>
  <c r="B65" i="39"/>
  <c r="Z64" i="39"/>
  <c r="X64" i="39"/>
  <c r="N64" i="39"/>
  <c r="L64" i="39"/>
  <c r="B64" i="39"/>
  <c r="X63" i="39"/>
  <c r="Z63" i="39" s="1"/>
  <c r="L63" i="39"/>
  <c r="N63" i="39" s="1"/>
  <c r="B63" i="39"/>
  <c r="Z62" i="39"/>
  <c r="X62" i="39"/>
  <c r="T62" i="39"/>
  <c r="P62" i="39"/>
  <c r="N62" i="39"/>
  <c r="H62" i="39"/>
  <c r="L62" i="39" s="1"/>
  <c r="D62" i="39"/>
  <c r="B62" i="39"/>
  <c r="X61" i="39"/>
  <c r="Z61" i="39" s="1"/>
  <c r="N61" i="39"/>
  <c r="L61" i="39"/>
  <c r="B61" i="39"/>
  <c r="Z60" i="39"/>
  <c r="T60" i="39"/>
  <c r="X60" i="39" s="1"/>
  <c r="P60" i="39"/>
  <c r="H60" i="39"/>
  <c r="D60" i="39"/>
  <c r="L60" i="39" s="1"/>
  <c r="N60" i="39" s="1"/>
  <c r="B60" i="39"/>
  <c r="X59" i="39"/>
  <c r="Z59" i="39" s="1"/>
  <c r="L59" i="39"/>
  <c r="N59" i="39" s="1"/>
  <c r="B59" i="39"/>
  <c r="T58" i="39"/>
  <c r="P58" i="39"/>
  <c r="X58" i="39" s="1"/>
  <c r="Z58" i="39" s="1"/>
  <c r="H58" i="39"/>
  <c r="N58" i="39" s="1"/>
  <c r="D58" i="39"/>
  <c r="L58" i="39" s="1"/>
  <c r="B58" i="39"/>
  <c r="Z57" i="39"/>
  <c r="X57" i="39"/>
  <c r="L57" i="39"/>
  <c r="N57" i="39" s="1"/>
  <c r="B57" i="39"/>
  <c r="X56" i="39"/>
  <c r="Z56" i="39" s="1"/>
  <c r="N56" i="39"/>
  <c r="L56" i="39"/>
  <c r="B56" i="39"/>
  <c r="T55" i="39"/>
  <c r="P55" i="39"/>
  <c r="X55" i="39" s="1"/>
  <c r="H55" i="39"/>
  <c r="D55" i="39"/>
  <c r="L55" i="39" s="1"/>
  <c r="N55" i="39" s="1"/>
  <c r="B55" i="39"/>
  <c r="Z54" i="39"/>
  <c r="X54" i="39"/>
  <c r="N54" i="39"/>
  <c r="L54" i="39"/>
  <c r="B54" i="39"/>
  <c r="T53" i="39"/>
  <c r="P53" i="39"/>
  <c r="X53" i="39" s="1"/>
  <c r="Z53" i="39" s="1"/>
  <c r="L53" i="39"/>
  <c r="N53" i="39" s="1"/>
  <c r="H53" i="39"/>
  <c r="D53" i="39"/>
  <c r="B53" i="39"/>
  <c r="Z52" i="39"/>
  <c r="X52" i="39"/>
  <c r="L52" i="39"/>
  <c r="N52" i="39" s="1"/>
  <c r="B52" i="39"/>
  <c r="X51" i="39"/>
  <c r="Z51" i="39" s="1"/>
  <c r="T51" i="39"/>
  <c r="P51" i="39"/>
  <c r="L51" i="39"/>
  <c r="H51" i="39"/>
  <c r="N51" i="39" s="1"/>
  <c r="D51" i="39"/>
  <c r="B51" i="39"/>
  <c r="Z50" i="39"/>
  <c r="X50" i="39"/>
  <c r="N50" i="39"/>
  <c r="L50" i="39"/>
  <c r="B50" i="39"/>
  <c r="X49" i="39"/>
  <c r="T49" i="39"/>
  <c r="Z49" i="39" s="1"/>
  <c r="P49" i="39"/>
  <c r="H49" i="39"/>
  <c r="D49" i="39"/>
  <c r="B49" i="39"/>
  <c r="X48" i="39"/>
  <c r="Z48" i="39" s="1"/>
  <c r="N48" i="39"/>
  <c r="L48" i="39"/>
  <c r="B48" i="39"/>
  <c r="X47" i="39"/>
  <c r="Z47" i="39" s="1"/>
  <c r="L47" i="39"/>
  <c r="N47" i="39" s="1"/>
  <c r="B47" i="39"/>
  <c r="Z46" i="39"/>
  <c r="X46" i="39"/>
  <c r="N46" i="39"/>
  <c r="L46" i="39"/>
  <c r="B46" i="39"/>
  <c r="X45" i="39"/>
  <c r="Z45" i="39" s="1"/>
  <c r="N45" i="39"/>
  <c r="L45" i="39"/>
  <c r="B45" i="39"/>
  <c r="Z44" i="39"/>
  <c r="X44" i="39"/>
  <c r="L44" i="39"/>
  <c r="N44" i="39" s="1"/>
  <c r="B44" i="39"/>
  <c r="X43" i="39"/>
  <c r="Z43" i="39" s="1"/>
  <c r="T43" i="39"/>
  <c r="P43" i="39"/>
  <c r="L43" i="39"/>
  <c r="H43" i="39"/>
  <c r="D43" i="39"/>
  <c r="B43" i="39"/>
  <c r="Z42" i="39"/>
  <c r="X42" i="39"/>
  <c r="N42" i="39"/>
  <c r="L42" i="39"/>
  <c r="B42" i="39"/>
  <c r="X41" i="39"/>
  <c r="Z41" i="39" s="1"/>
  <c r="N41" i="39"/>
  <c r="L41" i="39"/>
  <c r="B41" i="39"/>
  <c r="Z40" i="39"/>
  <c r="X40" i="39"/>
  <c r="L40" i="39"/>
  <c r="N40" i="39" s="1"/>
  <c r="B40" i="39"/>
  <c r="X39" i="39"/>
  <c r="Z39" i="39" s="1"/>
  <c r="L39" i="39"/>
  <c r="N39" i="39" s="1"/>
  <c r="B39" i="39"/>
  <c r="Z38" i="39"/>
  <c r="X38" i="39"/>
  <c r="N38" i="39"/>
  <c r="L38" i="39"/>
  <c r="B38" i="39"/>
  <c r="Z37" i="39"/>
  <c r="X37" i="39"/>
  <c r="L37" i="39"/>
  <c r="N37" i="39" s="1"/>
  <c r="B37" i="39"/>
  <c r="X36" i="39"/>
  <c r="Z36" i="39" s="1"/>
  <c r="N36" i="39"/>
  <c r="L36" i="39"/>
  <c r="B36" i="39"/>
  <c r="X35" i="39"/>
  <c r="Z35" i="39" s="1"/>
  <c r="L35" i="39"/>
  <c r="N35" i="39" s="1"/>
  <c r="B35" i="39"/>
  <c r="T34" i="39"/>
  <c r="P34" i="39"/>
  <c r="X34" i="39" s="1"/>
  <c r="Z34" i="39" s="1"/>
  <c r="H34" i="39"/>
  <c r="N34" i="39" s="1"/>
  <c r="D34" i="39"/>
  <c r="L34" i="39" s="1"/>
  <c r="B34" i="39"/>
  <c r="T33" i="39"/>
  <c r="P33" i="39"/>
  <c r="X33" i="39" s="1"/>
  <c r="L33" i="39"/>
  <c r="N33" i="39" s="1"/>
  <c r="H33" i="39"/>
  <c r="D33" i="39"/>
  <c r="Z29" i="39"/>
  <c r="X29" i="39"/>
  <c r="L29" i="39"/>
  <c r="N29" i="39" s="1"/>
  <c r="B29" i="39"/>
  <c r="Z28" i="39"/>
  <c r="X28" i="39"/>
  <c r="N28" i="39"/>
  <c r="L28" i="39"/>
  <c r="B28" i="39"/>
  <c r="T27" i="39"/>
  <c r="P27" i="39"/>
  <c r="X27" i="39" s="1"/>
  <c r="H27" i="39"/>
  <c r="D27" i="39"/>
  <c r="L27" i="39" s="1"/>
  <c r="X25" i="39"/>
  <c r="T25" i="39"/>
  <c r="Z25" i="39" s="1"/>
  <c r="P25" i="39"/>
  <c r="N25" i="39"/>
  <c r="H25" i="39"/>
  <c r="D25" i="39"/>
  <c r="L25" i="39" s="1"/>
  <c r="B25" i="39"/>
  <c r="Z24" i="39"/>
  <c r="X24" i="39"/>
  <c r="T24" i="39"/>
  <c r="P24" i="39"/>
  <c r="H24" i="39"/>
  <c r="D24" i="39"/>
  <c r="L24" i="39" s="1"/>
  <c r="B24" i="39"/>
  <c r="Z23" i="39"/>
  <c r="T23" i="39"/>
  <c r="P23" i="39"/>
  <c r="X23" i="39" s="1"/>
  <c r="L23" i="39"/>
  <c r="H23" i="39"/>
  <c r="N23" i="39" s="1"/>
  <c r="D23" i="39"/>
  <c r="B23" i="39"/>
  <c r="T22" i="39"/>
  <c r="Z22" i="39" s="1"/>
  <c r="P22" i="39"/>
  <c r="N22" i="39"/>
  <c r="H22" i="39"/>
  <c r="D22" i="39"/>
  <c r="L22" i="39" s="1"/>
  <c r="B22" i="39"/>
  <c r="T21" i="39"/>
  <c r="P21" i="39"/>
  <c r="X21" i="39" s="1"/>
  <c r="Z21" i="39" s="1"/>
  <c r="L21" i="39"/>
  <c r="H21" i="39"/>
  <c r="N21" i="39" s="1"/>
  <c r="D21" i="39"/>
  <c r="B21" i="39"/>
  <c r="T20" i="39"/>
  <c r="Z20" i="39" s="1"/>
  <c r="P20" i="39"/>
  <c r="N20" i="39"/>
  <c r="L20" i="39"/>
  <c r="H20" i="39"/>
  <c r="D20" i="39"/>
  <c r="B20" i="39"/>
  <c r="X19" i="39"/>
  <c r="T19" i="39"/>
  <c r="Z19" i="39" s="1"/>
  <c r="P19" i="39"/>
  <c r="N19" i="39"/>
  <c r="H19" i="39"/>
  <c r="D19" i="39"/>
  <c r="L19" i="39" s="1"/>
  <c r="B19" i="39"/>
  <c r="Z18" i="39"/>
  <c r="T18" i="39"/>
  <c r="P18" i="39"/>
  <c r="X18" i="39" s="1"/>
  <c r="H18" i="39"/>
  <c r="N18" i="39" s="1"/>
  <c r="D18" i="39"/>
  <c r="B18" i="39"/>
  <c r="X17" i="39"/>
  <c r="T17" i="39"/>
  <c r="Z17" i="39" s="1"/>
  <c r="P17" i="39"/>
  <c r="H17" i="39"/>
  <c r="D17" i="39"/>
  <c r="L17" i="39" s="1"/>
  <c r="N17" i="39" s="1"/>
  <c r="B17" i="39"/>
  <c r="Z16" i="39"/>
  <c r="X16" i="39"/>
  <c r="T16" i="39"/>
  <c r="P16" i="39"/>
  <c r="H16" i="39"/>
  <c r="D16" i="39"/>
  <c r="L16" i="39" s="1"/>
  <c r="B16" i="39"/>
  <c r="Z15" i="39"/>
  <c r="T15" i="39"/>
  <c r="P15" i="39"/>
  <c r="X15" i="39" s="1"/>
  <c r="L15" i="39"/>
  <c r="H15" i="39"/>
  <c r="N15" i="39" s="1"/>
  <c r="D15" i="39"/>
  <c r="B15" i="39"/>
  <c r="T14" i="39"/>
  <c r="P14" i="39"/>
  <c r="N14" i="39"/>
  <c r="H14" i="39"/>
  <c r="D14" i="39"/>
  <c r="D12" i="39" s="1"/>
  <c r="F58" i="39" s="1"/>
  <c r="B14" i="39"/>
  <c r="Z13" i="39"/>
  <c r="T13" i="39"/>
  <c r="P13" i="39"/>
  <c r="L13" i="39"/>
  <c r="H13" i="39"/>
  <c r="D13" i="39"/>
  <c r="B13" i="39"/>
  <c r="D4" i="39"/>
  <c r="B39" i="38"/>
  <c r="B38" i="38"/>
  <c r="T34" i="38"/>
  <c r="Z34" i="38" s="1"/>
  <c r="P34" i="38"/>
  <c r="X34" i="38" s="1"/>
  <c r="H34" i="38"/>
  <c r="N34" i="38" s="1"/>
  <c r="D34" i="38"/>
  <c r="T33" i="38"/>
  <c r="Z33" i="38" s="1"/>
  <c r="P33" i="38"/>
  <c r="H33" i="38"/>
  <c r="N33" i="38" s="1"/>
  <c r="D33" i="38"/>
  <c r="T29" i="38"/>
  <c r="Z29" i="38" s="1"/>
  <c r="P29" i="38"/>
  <c r="X29" i="38" s="1"/>
  <c r="H29" i="38"/>
  <c r="N29" i="38" s="1"/>
  <c r="D29" i="38"/>
  <c r="T25" i="38"/>
  <c r="Z25" i="38" s="1"/>
  <c r="P25" i="38"/>
  <c r="H25" i="38"/>
  <c r="N25" i="38" s="1"/>
  <c r="D25" i="38"/>
  <c r="B25" i="38"/>
  <c r="T24" i="38"/>
  <c r="Z24" i="38" s="1"/>
  <c r="P24" i="38"/>
  <c r="H24" i="38"/>
  <c r="N24" i="38" s="1"/>
  <c r="D24" i="38"/>
  <c r="T22" i="38"/>
  <c r="Z22" i="38" s="1"/>
  <c r="P22" i="38"/>
  <c r="H22" i="38"/>
  <c r="N22" i="38" s="1"/>
  <c r="D22" i="38"/>
  <c r="B22" i="38"/>
  <c r="T21" i="38"/>
  <c r="Z21" i="38" s="1"/>
  <c r="P21" i="38"/>
  <c r="H21" i="38"/>
  <c r="N21" i="38" s="1"/>
  <c r="D21" i="38"/>
  <c r="B21" i="38"/>
  <c r="T20" i="38"/>
  <c r="Z20" i="38" s="1"/>
  <c r="P20" i="38"/>
  <c r="H20" i="38"/>
  <c r="D20" i="38"/>
  <c r="T16" i="38"/>
  <c r="Z16" i="38" s="1"/>
  <c r="P16" i="38"/>
  <c r="H16" i="38"/>
  <c r="N16" i="38" s="1"/>
  <c r="D16" i="38"/>
  <c r="B16" i="38"/>
  <c r="T15" i="38"/>
  <c r="Z15" i="38" s="1"/>
  <c r="P15" i="38"/>
  <c r="X15" i="38" s="1"/>
  <c r="H15" i="38"/>
  <c r="N15" i="38" s="1"/>
  <c r="D15" i="38"/>
  <c r="T13" i="38"/>
  <c r="Z13" i="38" s="1"/>
  <c r="P13" i="38"/>
  <c r="H13" i="38"/>
  <c r="N13" i="38" s="1"/>
  <c r="D13" i="38"/>
  <c r="B13" i="38"/>
  <c r="T12" i="38"/>
  <c r="V24" i="38" s="1"/>
  <c r="P12" i="38"/>
  <c r="R36" i="38" s="1"/>
  <c r="H12" i="38"/>
  <c r="J20" i="38" s="1"/>
  <c r="D12" i="38"/>
  <c r="F34" i="38" s="1"/>
  <c r="D5" i="38"/>
  <c r="D4" i="38"/>
  <c r="B39" i="37"/>
  <c r="B38" i="37"/>
  <c r="T34" i="37"/>
  <c r="Z34" i="37" s="1"/>
  <c r="P34" i="37"/>
  <c r="H34" i="37"/>
  <c r="N34" i="37" s="1"/>
  <c r="D34" i="37"/>
  <c r="T33" i="37"/>
  <c r="Z33" i="37" s="1"/>
  <c r="P33" i="37"/>
  <c r="H33" i="37"/>
  <c r="N33" i="37" s="1"/>
  <c r="D33" i="37"/>
  <c r="T29" i="37"/>
  <c r="Z29" i="37" s="1"/>
  <c r="P29" i="37"/>
  <c r="H29" i="37"/>
  <c r="D29" i="37"/>
  <c r="T25" i="37"/>
  <c r="Z25" i="37" s="1"/>
  <c r="P25" i="37"/>
  <c r="H25" i="37"/>
  <c r="D25" i="37"/>
  <c r="B25" i="37"/>
  <c r="T24" i="37"/>
  <c r="Z24" i="37" s="1"/>
  <c r="P24" i="37"/>
  <c r="H24" i="37"/>
  <c r="N24" i="37" s="1"/>
  <c r="D24" i="37"/>
  <c r="T22" i="37"/>
  <c r="Z22" i="37" s="1"/>
  <c r="P22" i="37"/>
  <c r="H22" i="37"/>
  <c r="N22" i="37" s="1"/>
  <c r="D22" i="37"/>
  <c r="B22" i="37"/>
  <c r="T21" i="37"/>
  <c r="P21" i="37"/>
  <c r="H21" i="37"/>
  <c r="N21" i="37" s="1"/>
  <c r="D21" i="37"/>
  <c r="B21" i="37"/>
  <c r="T20" i="37"/>
  <c r="Z20" i="37" s="1"/>
  <c r="P20" i="37"/>
  <c r="H20" i="37"/>
  <c r="N20" i="37" s="1"/>
  <c r="D20" i="37"/>
  <c r="T16" i="37"/>
  <c r="Z16" i="37" s="1"/>
  <c r="P16" i="37"/>
  <c r="H16" i="37"/>
  <c r="N16" i="37" s="1"/>
  <c r="D16" i="37"/>
  <c r="B16" i="37"/>
  <c r="T15" i="37"/>
  <c r="P15" i="37"/>
  <c r="H15" i="37"/>
  <c r="D15" i="37"/>
  <c r="T13" i="37"/>
  <c r="Z13" i="37" s="1"/>
  <c r="P13" i="37"/>
  <c r="H13" i="37"/>
  <c r="D13" i="37"/>
  <c r="B13" i="37"/>
  <c r="T12" i="37"/>
  <c r="V25" i="37" s="1"/>
  <c r="P12" i="37"/>
  <c r="R21" i="37" s="1"/>
  <c r="H12" i="37"/>
  <c r="J15" i="37" s="1"/>
  <c r="D12" i="37"/>
  <c r="F21" i="37" s="1"/>
  <c r="D5" i="37"/>
  <c r="D4" i="37"/>
  <c r="X112" i="36"/>
  <c r="Z112" i="36" s="1"/>
  <c r="L112" i="36"/>
  <c r="N112" i="36" s="1"/>
  <c r="T108" i="36"/>
  <c r="P108" i="36"/>
  <c r="H108" i="36"/>
  <c r="N108" i="36" s="1"/>
  <c r="D108" i="36"/>
  <c r="L108" i="36" s="1"/>
  <c r="B108" i="36"/>
  <c r="Z107" i="36"/>
  <c r="X107" i="36"/>
  <c r="T107" i="36"/>
  <c r="P107" i="36"/>
  <c r="N107" i="36"/>
  <c r="H107" i="36"/>
  <c r="L107" i="36" s="1"/>
  <c r="D107" i="36"/>
  <c r="B107" i="36"/>
  <c r="X106" i="36"/>
  <c r="T106" i="36"/>
  <c r="Z106" i="36" s="1"/>
  <c r="P106" i="36"/>
  <c r="P105" i="36" s="1"/>
  <c r="H106" i="36"/>
  <c r="D106" i="36"/>
  <c r="B106" i="36"/>
  <c r="Z103" i="36"/>
  <c r="X103" i="36"/>
  <c r="N103" i="36"/>
  <c r="L103" i="36"/>
  <c r="B103" i="36"/>
  <c r="X102" i="36"/>
  <c r="T102" i="36"/>
  <c r="Z102" i="36" s="1"/>
  <c r="P102" i="36"/>
  <c r="L102" i="36"/>
  <c r="H102" i="36"/>
  <c r="D102" i="36"/>
  <c r="B102" i="36"/>
  <c r="Z101" i="36"/>
  <c r="X101" i="36"/>
  <c r="N101" i="36"/>
  <c r="L101" i="36"/>
  <c r="B101" i="36"/>
  <c r="Z100" i="36"/>
  <c r="X100" i="36"/>
  <c r="N100" i="36"/>
  <c r="L100" i="36"/>
  <c r="B100" i="36"/>
  <c r="T99" i="36"/>
  <c r="X99" i="36" s="1"/>
  <c r="Z99" i="36" s="1"/>
  <c r="P99" i="36"/>
  <c r="N99" i="36"/>
  <c r="H99" i="36"/>
  <c r="D99" i="36"/>
  <c r="L99" i="36" s="1"/>
  <c r="B99" i="36"/>
  <c r="X98" i="36"/>
  <c r="Z98" i="36" s="1"/>
  <c r="R98" i="36"/>
  <c r="N98" i="36"/>
  <c r="L98" i="36"/>
  <c r="B98" i="36"/>
  <c r="T97" i="36"/>
  <c r="P97" i="36"/>
  <c r="X97" i="36" s="1"/>
  <c r="Z97" i="36" s="1"/>
  <c r="N97" i="36"/>
  <c r="H97" i="36"/>
  <c r="D97" i="36"/>
  <c r="L97" i="36" s="1"/>
  <c r="B97" i="36"/>
  <c r="X96" i="36"/>
  <c r="Z96" i="36" s="1"/>
  <c r="L96" i="36"/>
  <c r="N96" i="36" s="1"/>
  <c r="B96" i="36"/>
  <c r="T95" i="36"/>
  <c r="R95" i="36"/>
  <c r="P95" i="36"/>
  <c r="X95" i="36" s="1"/>
  <c r="Z95" i="36" s="1"/>
  <c r="N95" i="36"/>
  <c r="L95" i="36"/>
  <c r="H95" i="36"/>
  <c r="D95" i="36"/>
  <c r="B95" i="36"/>
  <c r="X94" i="36"/>
  <c r="Z94" i="36" s="1"/>
  <c r="N94" i="36"/>
  <c r="L94" i="36"/>
  <c r="B94" i="36"/>
  <c r="Z93" i="36"/>
  <c r="X93" i="36"/>
  <c r="N93" i="36"/>
  <c r="L93" i="36"/>
  <c r="B93" i="36"/>
  <c r="Z92" i="36"/>
  <c r="X92" i="36"/>
  <c r="N92" i="36"/>
  <c r="L92" i="36"/>
  <c r="B92" i="36"/>
  <c r="Z91" i="36"/>
  <c r="X91" i="36"/>
  <c r="N91" i="36"/>
  <c r="L91" i="36"/>
  <c r="B91" i="36"/>
  <c r="X90" i="36"/>
  <c r="Z90" i="36" s="1"/>
  <c r="L90" i="36"/>
  <c r="N90" i="36" s="1"/>
  <c r="B90" i="36"/>
  <c r="Z89" i="36"/>
  <c r="X89" i="36"/>
  <c r="N89" i="36"/>
  <c r="L89" i="36"/>
  <c r="B89" i="36"/>
  <c r="X88" i="36"/>
  <c r="Z88" i="36" s="1"/>
  <c r="L88" i="36"/>
  <c r="N88" i="36" s="1"/>
  <c r="B88" i="36"/>
  <c r="Z87" i="36"/>
  <c r="X87" i="36"/>
  <c r="N87" i="36"/>
  <c r="L87" i="36"/>
  <c r="B87" i="36"/>
  <c r="X86" i="36"/>
  <c r="Z86" i="36" s="1"/>
  <c r="N86" i="36"/>
  <c r="L86" i="36"/>
  <c r="B86" i="36"/>
  <c r="Z85" i="36"/>
  <c r="X85" i="36"/>
  <c r="T85" i="36"/>
  <c r="P85" i="36"/>
  <c r="H85" i="36"/>
  <c r="L85" i="36" s="1"/>
  <c r="N85" i="36" s="1"/>
  <c r="D85" i="36"/>
  <c r="B85" i="36"/>
  <c r="X84" i="36"/>
  <c r="Z84" i="36" s="1"/>
  <c r="L84" i="36"/>
  <c r="N84" i="36" s="1"/>
  <c r="B84" i="36"/>
  <c r="Z83" i="36"/>
  <c r="X83" i="36"/>
  <c r="N83" i="36"/>
  <c r="L83" i="36"/>
  <c r="B83" i="36"/>
  <c r="X82" i="36"/>
  <c r="T82" i="36"/>
  <c r="Z82" i="36" s="1"/>
  <c r="P82" i="36"/>
  <c r="L82" i="36"/>
  <c r="H82" i="36"/>
  <c r="D82" i="36"/>
  <c r="B82" i="36"/>
  <c r="Z81" i="36"/>
  <c r="X81" i="36"/>
  <c r="N81" i="36"/>
  <c r="L81" i="36"/>
  <c r="B81" i="36"/>
  <c r="X80" i="36"/>
  <c r="Z80" i="36" s="1"/>
  <c r="L80" i="36"/>
  <c r="N80" i="36" s="1"/>
  <c r="B80" i="36"/>
  <c r="Z79" i="36"/>
  <c r="X79" i="36"/>
  <c r="N79" i="36"/>
  <c r="L79" i="36"/>
  <c r="B79" i="36"/>
  <c r="X78" i="36"/>
  <c r="Z78" i="36" s="1"/>
  <c r="L78" i="36"/>
  <c r="N78" i="36" s="1"/>
  <c r="B78" i="36"/>
  <c r="Z77" i="36"/>
  <c r="X77" i="36"/>
  <c r="T77" i="36"/>
  <c r="P77" i="36"/>
  <c r="N77" i="36"/>
  <c r="H77" i="36"/>
  <c r="L77" i="36" s="1"/>
  <c r="D77" i="36"/>
  <c r="B77" i="36"/>
  <c r="Z76" i="36"/>
  <c r="X76" i="36"/>
  <c r="N76" i="36"/>
  <c r="L76" i="36"/>
  <c r="B76" i="36"/>
  <c r="Z75" i="36"/>
  <c r="T75" i="36"/>
  <c r="P75" i="36"/>
  <c r="X75" i="36" s="1"/>
  <c r="N75" i="36"/>
  <c r="H75" i="36"/>
  <c r="D75" i="36"/>
  <c r="L75" i="36" s="1"/>
  <c r="B75" i="36"/>
  <c r="X74" i="36"/>
  <c r="Z74" i="36" s="1"/>
  <c r="L74" i="36"/>
  <c r="N74" i="36" s="1"/>
  <c r="B74" i="36"/>
  <c r="Z73" i="36"/>
  <c r="X73" i="36"/>
  <c r="N73" i="36"/>
  <c r="L73" i="36"/>
  <c r="B73" i="36"/>
  <c r="X72" i="36"/>
  <c r="Z72" i="36" s="1"/>
  <c r="L72" i="36"/>
  <c r="N72" i="36" s="1"/>
  <c r="B72" i="36"/>
  <c r="T71" i="36"/>
  <c r="P71" i="36"/>
  <c r="X71" i="36" s="1"/>
  <c r="Z71" i="36" s="1"/>
  <c r="H71" i="36"/>
  <c r="D71" i="36"/>
  <c r="L71" i="36" s="1"/>
  <c r="N71" i="36" s="1"/>
  <c r="B71" i="36"/>
  <c r="X70" i="36"/>
  <c r="Z70" i="36" s="1"/>
  <c r="L70" i="36"/>
  <c r="N70" i="36" s="1"/>
  <c r="B70" i="36"/>
  <c r="T69" i="36"/>
  <c r="P69" i="36"/>
  <c r="X69" i="36" s="1"/>
  <c r="Z69" i="36" s="1"/>
  <c r="N69" i="36"/>
  <c r="L69" i="36"/>
  <c r="H69" i="36"/>
  <c r="D69" i="36"/>
  <c r="B69" i="36"/>
  <c r="X68" i="36"/>
  <c r="Z68" i="36" s="1"/>
  <c r="L68" i="36"/>
  <c r="N68" i="36" s="1"/>
  <c r="B68" i="36"/>
  <c r="T67" i="36"/>
  <c r="P67" i="36"/>
  <c r="X67" i="36" s="1"/>
  <c r="Z67" i="36" s="1"/>
  <c r="N67" i="36"/>
  <c r="L67" i="36"/>
  <c r="H67" i="36"/>
  <c r="D67" i="36"/>
  <c r="B67" i="36"/>
  <c r="X66" i="36"/>
  <c r="Z66" i="36" s="1"/>
  <c r="L66" i="36"/>
  <c r="N66" i="36" s="1"/>
  <c r="B66" i="36"/>
  <c r="Z65" i="36"/>
  <c r="X65" i="36"/>
  <c r="T65" i="36"/>
  <c r="P65" i="36"/>
  <c r="N65" i="36"/>
  <c r="H65" i="36"/>
  <c r="L65" i="36" s="1"/>
  <c r="D65" i="36"/>
  <c r="B65" i="36"/>
  <c r="X64" i="36"/>
  <c r="Z64" i="36" s="1"/>
  <c r="L64" i="36"/>
  <c r="N64" i="36" s="1"/>
  <c r="B64" i="36"/>
  <c r="Z63" i="36"/>
  <c r="T63" i="36"/>
  <c r="X63" i="36" s="1"/>
  <c r="P63" i="36"/>
  <c r="H63" i="36"/>
  <c r="D63" i="36"/>
  <c r="L63" i="36" s="1"/>
  <c r="N63" i="36" s="1"/>
  <c r="B63" i="36"/>
  <c r="X62" i="36"/>
  <c r="Z62" i="36" s="1"/>
  <c r="L62" i="36"/>
  <c r="N62" i="36" s="1"/>
  <c r="B62" i="36"/>
  <c r="T61" i="36"/>
  <c r="P61" i="36"/>
  <c r="X61" i="36" s="1"/>
  <c r="Z61" i="36" s="1"/>
  <c r="H61" i="36"/>
  <c r="D61" i="36"/>
  <c r="L61" i="36" s="1"/>
  <c r="N61" i="36" s="1"/>
  <c r="B61" i="36"/>
  <c r="X60" i="36"/>
  <c r="Z60" i="36" s="1"/>
  <c r="N60" i="36"/>
  <c r="L60" i="36"/>
  <c r="B60" i="36"/>
  <c r="T59" i="36"/>
  <c r="P59" i="36"/>
  <c r="X59" i="36" s="1"/>
  <c r="Z59" i="36" s="1"/>
  <c r="N59" i="36"/>
  <c r="L59" i="36"/>
  <c r="H59" i="36"/>
  <c r="D59" i="36"/>
  <c r="B59" i="36"/>
  <c r="X58" i="36"/>
  <c r="Z58" i="36" s="1"/>
  <c r="L58" i="36"/>
  <c r="N58" i="36" s="1"/>
  <c r="B58" i="36"/>
  <c r="Z57" i="36"/>
  <c r="X57" i="36"/>
  <c r="T57" i="36"/>
  <c r="P57" i="36"/>
  <c r="H57" i="36"/>
  <c r="L57" i="36" s="1"/>
  <c r="N57" i="36" s="1"/>
  <c r="D57" i="36"/>
  <c r="B57" i="36"/>
  <c r="X56" i="36"/>
  <c r="Z56" i="36" s="1"/>
  <c r="L56" i="36"/>
  <c r="N56" i="36" s="1"/>
  <c r="B56" i="36"/>
  <c r="T55" i="36"/>
  <c r="P55" i="36"/>
  <c r="X55" i="36" s="1"/>
  <c r="Z55" i="36" s="1"/>
  <c r="H55" i="36"/>
  <c r="D55" i="36"/>
  <c r="L55" i="36" s="1"/>
  <c r="N55" i="36" s="1"/>
  <c r="B55" i="36"/>
  <c r="X54" i="36"/>
  <c r="Z54" i="36" s="1"/>
  <c r="L54" i="36"/>
  <c r="N54" i="36" s="1"/>
  <c r="B54" i="36"/>
  <c r="T53" i="36"/>
  <c r="P53" i="36"/>
  <c r="X53" i="36" s="1"/>
  <c r="Z53" i="36" s="1"/>
  <c r="H53" i="36"/>
  <c r="F53" i="36"/>
  <c r="D53" i="36"/>
  <c r="L53" i="36" s="1"/>
  <c r="N53" i="36" s="1"/>
  <c r="B53" i="36"/>
  <c r="X52" i="36"/>
  <c r="Z52" i="36" s="1"/>
  <c r="L52" i="36"/>
  <c r="N52" i="36" s="1"/>
  <c r="B52" i="36"/>
  <c r="Z51" i="36"/>
  <c r="X51" i="36"/>
  <c r="N51" i="36"/>
  <c r="L51" i="36"/>
  <c r="B51" i="36"/>
  <c r="T50" i="36"/>
  <c r="P50" i="36"/>
  <c r="X50" i="36" s="1"/>
  <c r="H50" i="36"/>
  <c r="N50" i="36" s="1"/>
  <c r="D50" i="36"/>
  <c r="L50" i="36" s="1"/>
  <c r="B50" i="36"/>
  <c r="Z49" i="36"/>
  <c r="X49" i="36"/>
  <c r="N49" i="36"/>
  <c r="L49" i="36"/>
  <c r="B49" i="36"/>
  <c r="T48" i="36"/>
  <c r="Z48" i="36" s="1"/>
  <c r="P48" i="36"/>
  <c r="X48" i="36" s="1"/>
  <c r="L48" i="36"/>
  <c r="H48" i="36"/>
  <c r="N48" i="36" s="1"/>
  <c r="D48" i="36"/>
  <c r="B48" i="36"/>
  <c r="Z47" i="36"/>
  <c r="X47" i="36"/>
  <c r="N47" i="36"/>
  <c r="L47" i="36"/>
  <c r="B47" i="36"/>
  <c r="X46" i="36"/>
  <c r="T46" i="36"/>
  <c r="Z46" i="36" s="1"/>
  <c r="P46" i="36"/>
  <c r="L46" i="36"/>
  <c r="H46" i="36"/>
  <c r="D46" i="36"/>
  <c r="B46" i="36"/>
  <c r="Z45" i="36"/>
  <c r="X45" i="36"/>
  <c r="N45" i="36"/>
  <c r="L45" i="36"/>
  <c r="B45" i="36"/>
  <c r="X44" i="36"/>
  <c r="T44" i="36"/>
  <c r="P44" i="36"/>
  <c r="H44" i="36"/>
  <c r="D44" i="36"/>
  <c r="B44" i="36"/>
  <c r="Z43" i="36"/>
  <c r="X43" i="36"/>
  <c r="N43" i="36"/>
  <c r="L43" i="36"/>
  <c r="B43" i="36"/>
  <c r="X42" i="36"/>
  <c r="Z42" i="36" s="1"/>
  <c r="L42" i="36"/>
  <c r="N42" i="36" s="1"/>
  <c r="B42" i="36"/>
  <c r="Z41" i="36"/>
  <c r="X41" i="36"/>
  <c r="N41" i="36"/>
  <c r="L41" i="36"/>
  <c r="B41" i="36"/>
  <c r="X40" i="36"/>
  <c r="Z40" i="36" s="1"/>
  <c r="L40" i="36"/>
  <c r="N40" i="36" s="1"/>
  <c r="B40" i="36"/>
  <c r="Z39" i="36"/>
  <c r="X39" i="36"/>
  <c r="N39" i="36"/>
  <c r="L39" i="36"/>
  <c r="B39" i="36"/>
  <c r="X38" i="36"/>
  <c r="Z38" i="36" s="1"/>
  <c r="L38" i="36"/>
  <c r="N38" i="36" s="1"/>
  <c r="B38" i="36"/>
  <c r="Z37" i="36"/>
  <c r="X37" i="36"/>
  <c r="T37" i="36"/>
  <c r="P37" i="36"/>
  <c r="N37" i="36"/>
  <c r="H37" i="36"/>
  <c r="D37" i="36"/>
  <c r="L37" i="36" s="1"/>
  <c r="B37" i="36"/>
  <c r="X36" i="36"/>
  <c r="Z36" i="36" s="1"/>
  <c r="L36" i="36"/>
  <c r="N36" i="36" s="1"/>
  <c r="B36" i="36"/>
  <c r="Z35" i="36"/>
  <c r="X35" i="36"/>
  <c r="N35" i="36"/>
  <c r="L35" i="36"/>
  <c r="B35" i="36"/>
  <c r="X34" i="36"/>
  <c r="Z34" i="36" s="1"/>
  <c r="L34" i="36"/>
  <c r="N34" i="36" s="1"/>
  <c r="B34" i="36"/>
  <c r="Z33" i="36"/>
  <c r="X33" i="36"/>
  <c r="N33" i="36"/>
  <c r="L33" i="36"/>
  <c r="B33" i="36"/>
  <c r="X32" i="36"/>
  <c r="Z32" i="36" s="1"/>
  <c r="L32" i="36"/>
  <c r="N32" i="36" s="1"/>
  <c r="B32" i="36"/>
  <c r="Z31" i="36"/>
  <c r="X31" i="36"/>
  <c r="N31" i="36"/>
  <c r="L31" i="36"/>
  <c r="B31" i="36"/>
  <c r="X30" i="36"/>
  <c r="Z30" i="36" s="1"/>
  <c r="L30" i="36"/>
  <c r="N30" i="36" s="1"/>
  <c r="B30" i="36"/>
  <c r="Z29" i="36"/>
  <c r="X29" i="36"/>
  <c r="N29" i="36"/>
  <c r="L29" i="36"/>
  <c r="B29" i="36"/>
  <c r="X28" i="36"/>
  <c r="Z28" i="36" s="1"/>
  <c r="L28" i="36"/>
  <c r="N28" i="36" s="1"/>
  <c r="B28" i="36"/>
  <c r="T27" i="36"/>
  <c r="P27" i="36"/>
  <c r="X27" i="36" s="1"/>
  <c r="Z27" i="36" s="1"/>
  <c r="H27" i="36"/>
  <c r="D27" i="36"/>
  <c r="L27" i="36" s="1"/>
  <c r="N27" i="36" s="1"/>
  <c r="B27" i="36"/>
  <c r="T26" i="36"/>
  <c r="P26" i="36"/>
  <c r="H26" i="36"/>
  <c r="D26" i="36"/>
  <c r="L26" i="36" s="1"/>
  <c r="X22" i="36"/>
  <c r="Z22" i="36" s="1"/>
  <c r="R22" i="36"/>
  <c r="L22" i="36"/>
  <c r="N22" i="36" s="1"/>
  <c r="B22" i="36"/>
  <c r="Z21" i="36"/>
  <c r="X21" i="36"/>
  <c r="N21" i="36"/>
  <c r="L21" i="36"/>
  <c r="B21" i="36"/>
  <c r="X20" i="36"/>
  <c r="T20" i="36"/>
  <c r="Z20" i="36" s="1"/>
  <c r="P20" i="36"/>
  <c r="H20" i="36"/>
  <c r="D20" i="36"/>
  <c r="L20" i="36" s="1"/>
  <c r="T18" i="36"/>
  <c r="P18" i="36"/>
  <c r="X18" i="36" s="1"/>
  <c r="Z18" i="36" s="1"/>
  <c r="L18" i="36"/>
  <c r="H18" i="36"/>
  <c r="N18" i="36" s="1"/>
  <c r="D18" i="36"/>
  <c r="B18" i="36"/>
  <c r="T17" i="36"/>
  <c r="P17" i="36"/>
  <c r="H17" i="36"/>
  <c r="D17" i="36"/>
  <c r="L17" i="36" s="1"/>
  <c r="N17" i="36" s="1"/>
  <c r="B17" i="36"/>
  <c r="T16" i="36"/>
  <c r="P16" i="36"/>
  <c r="X16" i="36" s="1"/>
  <c r="Z16" i="36" s="1"/>
  <c r="L16" i="36"/>
  <c r="H16" i="36"/>
  <c r="N16" i="36" s="1"/>
  <c r="D16" i="36"/>
  <c r="B16" i="36"/>
  <c r="T15" i="36"/>
  <c r="P15" i="36"/>
  <c r="H15" i="36"/>
  <c r="L15" i="36" s="1"/>
  <c r="N15" i="36" s="1"/>
  <c r="D15" i="36"/>
  <c r="B15" i="36"/>
  <c r="X14" i="36"/>
  <c r="T14" i="36"/>
  <c r="P14" i="36"/>
  <c r="P12" i="36" s="1"/>
  <c r="R59" i="36" s="1"/>
  <c r="H14" i="36"/>
  <c r="D14" i="36"/>
  <c r="L14" i="36" s="1"/>
  <c r="N14" i="36" s="1"/>
  <c r="B14" i="36"/>
  <c r="T13" i="36"/>
  <c r="P13" i="36"/>
  <c r="X13" i="36" s="1"/>
  <c r="Z13" i="36" s="1"/>
  <c r="H13" i="36"/>
  <c r="D13" i="36"/>
  <c r="B13" i="36"/>
  <c r="D12" i="36"/>
  <c r="D4" i="36"/>
  <c r="B39" i="35"/>
  <c r="B38" i="35"/>
  <c r="T34" i="35"/>
  <c r="P34" i="35"/>
  <c r="H34" i="35"/>
  <c r="N34" i="35" s="1"/>
  <c r="D34" i="35"/>
  <c r="T33" i="35"/>
  <c r="Z33" i="35" s="1"/>
  <c r="P33" i="35"/>
  <c r="H33" i="35"/>
  <c r="N33" i="35" s="1"/>
  <c r="D33" i="35"/>
  <c r="T29" i="35"/>
  <c r="Z29" i="35" s="1"/>
  <c r="P29" i="35"/>
  <c r="H29" i="35"/>
  <c r="N29" i="35" s="1"/>
  <c r="D29" i="35"/>
  <c r="T25" i="35"/>
  <c r="Z25" i="35" s="1"/>
  <c r="P25" i="35"/>
  <c r="H25" i="35"/>
  <c r="N25" i="35" s="1"/>
  <c r="D25" i="35"/>
  <c r="B25" i="35"/>
  <c r="T24" i="35"/>
  <c r="Z24" i="35" s="1"/>
  <c r="P24" i="35"/>
  <c r="H24" i="35"/>
  <c r="N24" i="35" s="1"/>
  <c r="D24" i="35"/>
  <c r="T22" i="35"/>
  <c r="Z22" i="35" s="1"/>
  <c r="P22" i="35"/>
  <c r="H22" i="35"/>
  <c r="N22" i="35" s="1"/>
  <c r="D22" i="35"/>
  <c r="B22" i="35"/>
  <c r="T21" i="35"/>
  <c r="Z21" i="35" s="1"/>
  <c r="P21" i="35"/>
  <c r="H21" i="35"/>
  <c r="D21" i="35"/>
  <c r="B21" i="35"/>
  <c r="T20" i="35"/>
  <c r="Z20" i="35" s="1"/>
  <c r="P20" i="35"/>
  <c r="H20" i="35"/>
  <c r="N20" i="35" s="1"/>
  <c r="D20" i="35"/>
  <c r="T16" i="35"/>
  <c r="Z16" i="35" s="1"/>
  <c r="P16" i="35"/>
  <c r="H16" i="35"/>
  <c r="N16" i="35" s="1"/>
  <c r="D16" i="35"/>
  <c r="B16" i="35"/>
  <c r="T15" i="35"/>
  <c r="Z15" i="35" s="1"/>
  <c r="P15" i="35"/>
  <c r="H15" i="35"/>
  <c r="N15" i="35" s="1"/>
  <c r="D15" i="35"/>
  <c r="T13" i="35"/>
  <c r="Z13" i="35" s="1"/>
  <c r="P13" i="35"/>
  <c r="H13" i="35"/>
  <c r="N13" i="35" s="1"/>
  <c r="D13" i="35"/>
  <c r="B13" i="35"/>
  <c r="T12" i="35"/>
  <c r="V18" i="35" s="1"/>
  <c r="P12" i="35"/>
  <c r="R34" i="35" s="1"/>
  <c r="H12" i="35"/>
  <c r="J22" i="35" s="1"/>
  <c r="D12" i="35"/>
  <c r="D5" i="35"/>
  <c r="D4" i="35"/>
  <c r="B39" i="34"/>
  <c r="B38" i="34"/>
  <c r="T34" i="34"/>
  <c r="Z34" i="34" s="1"/>
  <c r="P34" i="34"/>
  <c r="H34" i="34"/>
  <c r="N34" i="34" s="1"/>
  <c r="D34" i="34"/>
  <c r="T33" i="34"/>
  <c r="Z33" i="34" s="1"/>
  <c r="P33" i="34"/>
  <c r="H33" i="34"/>
  <c r="N33" i="34" s="1"/>
  <c r="D33" i="34"/>
  <c r="T29" i="34"/>
  <c r="Z29" i="34" s="1"/>
  <c r="P29" i="34"/>
  <c r="H29" i="34"/>
  <c r="N29" i="34" s="1"/>
  <c r="D29" i="34"/>
  <c r="T25" i="34"/>
  <c r="Z25" i="34" s="1"/>
  <c r="P25" i="34"/>
  <c r="H25" i="34"/>
  <c r="N25" i="34" s="1"/>
  <c r="D25" i="34"/>
  <c r="B25" i="34"/>
  <c r="T24" i="34"/>
  <c r="Z24" i="34" s="1"/>
  <c r="P24" i="34"/>
  <c r="H24" i="34"/>
  <c r="N24" i="34" s="1"/>
  <c r="D24" i="34"/>
  <c r="T22" i="34"/>
  <c r="Z22" i="34" s="1"/>
  <c r="P22" i="34"/>
  <c r="H22" i="34"/>
  <c r="N22" i="34" s="1"/>
  <c r="D22" i="34"/>
  <c r="B22" i="34"/>
  <c r="T21" i="34"/>
  <c r="Z21" i="34" s="1"/>
  <c r="P21" i="34"/>
  <c r="H21" i="34"/>
  <c r="N21" i="34" s="1"/>
  <c r="D21" i="34"/>
  <c r="B21" i="34"/>
  <c r="T20" i="34"/>
  <c r="P20" i="34"/>
  <c r="H20" i="34"/>
  <c r="N20" i="34" s="1"/>
  <c r="D20" i="34"/>
  <c r="T16" i="34"/>
  <c r="Z16" i="34" s="1"/>
  <c r="P16" i="34"/>
  <c r="H16" i="34"/>
  <c r="N16" i="34" s="1"/>
  <c r="D16" i="34"/>
  <c r="B16" i="34"/>
  <c r="T15" i="34"/>
  <c r="Z15" i="34" s="1"/>
  <c r="P15" i="34"/>
  <c r="H15" i="34"/>
  <c r="N15" i="34" s="1"/>
  <c r="D15" i="34"/>
  <c r="T13" i="34"/>
  <c r="Z13" i="34" s="1"/>
  <c r="P13" i="34"/>
  <c r="H13" i="34"/>
  <c r="N13" i="34" s="1"/>
  <c r="D13" i="34"/>
  <c r="B13" i="34"/>
  <c r="T12" i="34"/>
  <c r="V24" i="34" s="1"/>
  <c r="P12" i="34"/>
  <c r="R34" i="34" s="1"/>
  <c r="H12" i="34"/>
  <c r="J20" i="34" s="1"/>
  <c r="D12" i="34"/>
  <c r="F21" i="34" s="1"/>
  <c r="D5" i="34"/>
  <c r="D4" i="34"/>
  <c r="Z82" i="33"/>
  <c r="X82" i="33"/>
  <c r="N82" i="33"/>
  <c r="L82" i="33"/>
  <c r="Z78" i="33"/>
  <c r="T78" i="33"/>
  <c r="X78" i="33" s="1"/>
  <c r="P78" i="33"/>
  <c r="N78" i="33"/>
  <c r="H78" i="33"/>
  <c r="D78" i="33"/>
  <c r="L78" i="33" s="1"/>
  <c r="B78" i="33"/>
  <c r="T77" i="33"/>
  <c r="P77" i="33"/>
  <c r="H77" i="33"/>
  <c r="D77" i="33"/>
  <c r="B77" i="33"/>
  <c r="Z74" i="33"/>
  <c r="X74" i="33"/>
  <c r="N74" i="33"/>
  <c r="L74" i="33"/>
  <c r="B74" i="33"/>
  <c r="X73" i="33"/>
  <c r="T73" i="33"/>
  <c r="P73" i="33"/>
  <c r="H73" i="33"/>
  <c r="N73" i="33" s="1"/>
  <c r="D73" i="33"/>
  <c r="B73" i="33"/>
  <c r="Z72" i="33"/>
  <c r="X72" i="33"/>
  <c r="N72" i="33"/>
  <c r="L72" i="33"/>
  <c r="B72" i="33"/>
  <c r="T71" i="33"/>
  <c r="P71" i="33"/>
  <c r="H71" i="33"/>
  <c r="N71" i="33" s="1"/>
  <c r="D71" i="33"/>
  <c r="L71" i="33" s="1"/>
  <c r="B71" i="33"/>
  <c r="Z70" i="33"/>
  <c r="X70" i="33"/>
  <c r="N70" i="33"/>
  <c r="L70" i="33"/>
  <c r="B70" i="33"/>
  <c r="X69" i="33"/>
  <c r="Z69" i="33" s="1"/>
  <c r="N69" i="33"/>
  <c r="L69" i="33"/>
  <c r="B69" i="33"/>
  <c r="Z68" i="33"/>
  <c r="X68" i="33"/>
  <c r="N68" i="33"/>
  <c r="L68" i="33"/>
  <c r="B68" i="33"/>
  <c r="X67" i="33"/>
  <c r="Z67" i="33" s="1"/>
  <c r="N67" i="33"/>
  <c r="L67" i="33"/>
  <c r="B67" i="33"/>
  <c r="Z66" i="33"/>
  <c r="X66" i="33"/>
  <c r="N66" i="33"/>
  <c r="L66" i="33"/>
  <c r="B66" i="33"/>
  <c r="X65" i="33"/>
  <c r="T65" i="33"/>
  <c r="Z65" i="33" s="1"/>
  <c r="P65" i="33"/>
  <c r="H65" i="33"/>
  <c r="D65" i="33"/>
  <c r="B65" i="33"/>
  <c r="Z64" i="33"/>
  <c r="X64" i="33"/>
  <c r="N64" i="33"/>
  <c r="L64" i="33"/>
  <c r="B64" i="33"/>
  <c r="T63" i="33"/>
  <c r="P63" i="33"/>
  <c r="H63" i="33"/>
  <c r="N63" i="33" s="1"/>
  <c r="D63" i="33"/>
  <c r="L63" i="33" s="1"/>
  <c r="B63" i="33"/>
  <c r="Z62" i="33"/>
  <c r="X62" i="33"/>
  <c r="N62" i="33"/>
  <c r="L62" i="33"/>
  <c r="B62" i="33"/>
  <c r="X61" i="33"/>
  <c r="Z61" i="33" s="1"/>
  <c r="L61" i="33"/>
  <c r="N61" i="33" s="1"/>
  <c r="B61" i="33"/>
  <c r="Z60" i="33"/>
  <c r="X60" i="33"/>
  <c r="N60" i="33"/>
  <c r="L60" i="33"/>
  <c r="B60" i="33"/>
  <c r="T59" i="33"/>
  <c r="P59" i="33"/>
  <c r="H59" i="33"/>
  <c r="D59" i="33"/>
  <c r="L59" i="33" s="1"/>
  <c r="B59" i="33"/>
  <c r="Z58" i="33"/>
  <c r="X58" i="33"/>
  <c r="N58" i="33"/>
  <c r="L58" i="33"/>
  <c r="B58" i="33"/>
  <c r="T57" i="33"/>
  <c r="Z57" i="33" s="1"/>
  <c r="P57" i="33"/>
  <c r="X57" i="33" s="1"/>
  <c r="L57" i="33"/>
  <c r="H57" i="33"/>
  <c r="N57" i="33" s="1"/>
  <c r="D57" i="33"/>
  <c r="B57" i="33"/>
  <c r="Z56" i="33"/>
  <c r="X56" i="33"/>
  <c r="N56" i="33"/>
  <c r="L56" i="33"/>
  <c r="B56" i="33"/>
  <c r="X55" i="33"/>
  <c r="Z55" i="33" s="1"/>
  <c r="L55" i="33"/>
  <c r="N55" i="33" s="1"/>
  <c r="B55" i="33"/>
  <c r="Z54" i="33"/>
  <c r="X54" i="33"/>
  <c r="T54" i="33"/>
  <c r="P54" i="33"/>
  <c r="H54" i="33"/>
  <c r="L54" i="33" s="1"/>
  <c r="N54" i="33" s="1"/>
  <c r="D54" i="33"/>
  <c r="B54" i="33"/>
  <c r="X53" i="33"/>
  <c r="Z53" i="33" s="1"/>
  <c r="L53" i="33"/>
  <c r="N53" i="33" s="1"/>
  <c r="B53" i="33"/>
  <c r="Z52" i="33"/>
  <c r="T52" i="33"/>
  <c r="X52" i="33" s="1"/>
  <c r="P52" i="33"/>
  <c r="H52" i="33"/>
  <c r="D52" i="33"/>
  <c r="L52" i="33" s="1"/>
  <c r="N52" i="33" s="1"/>
  <c r="B52" i="33"/>
  <c r="Z51" i="33"/>
  <c r="X51" i="33"/>
  <c r="N51" i="33"/>
  <c r="L51" i="33"/>
  <c r="B51" i="33"/>
  <c r="Z50" i="33"/>
  <c r="T50" i="33"/>
  <c r="P50" i="33"/>
  <c r="X50" i="33" s="1"/>
  <c r="N50" i="33"/>
  <c r="H50" i="33"/>
  <c r="D50" i="33"/>
  <c r="L50" i="33" s="1"/>
  <c r="B50" i="33"/>
  <c r="X49" i="33"/>
  <c r="Z49" i="33" s="1"/>
  <c r="L49" i="33"/>
  <c r="N49" i="33" s="1"/>
  <c r="B49" i="33"/>
  <c r="T48" i="33"/>
  <c r="P48" i="33"/>
  <c r="X48" i="33" s="1"/>
  <c r="Z48" i="33" s="1"/>
  <c r="N48" i="33"/>
  <c r="L48" i="33"/>
  <c r="H48" i="33"/>
  <c r="D48" i="33"/>
  <c r="B48" i="33"/>
  <c r="Z47" i="33"/>
  <c r="X47" i="33"/>
  <c r="N47" i="33"/>
  <c r="L47" i="33"/>
  <c r="B47" i="33"/>
  <c r="Z46" i="33"/>
  <c r="X46" i="33"/>
  <c r="T46" i="33"/>
  <c r="P46" i="33"/>
  <c r="N46" i="33"/>
  <c r="H46" i="33"/>
  <c r="L46" i="33" s="1"/>
  <c r="D46" i="33"/>
  <c r="B46" i="33"/>
  <c r="X45" i="33"/>
  <c r="Z45" i="33" s="1"/>
  <c r="L45" i="33"/>
  <c r="N45" i="33" s="1"/>
  <c r="B45" i="33"/>
  <c r="Z44" i="33"/>
  <c r="X44" i="33"/>
  <c r="N44" i="33"/>
  <c r="L44" i="33"/>
  <c r="B44" i="33"/>
  <c r="X43" i="33"/>
  <c r="Z43" i="33" s="1"/>
  <c r="L43" i="33"/>
  <c r="N43" i="33" s="1"/>
  <c r="B43" i="33"/>
  <c r="Z42" i="33"/>
  <c r="X42" i="33"/>
  <c r="T42" i="33"/>
  <c r="P42" i="33"/>
  <c r="N42" i="33"/>
  <c r="H42" i="33"/>
  <c r="L42" i="33" s="1"/>
  <c r="D42" i="33"/>
  <c r="B42" i="33"/>
  <c r="X41" i="33"/>
  <c r="Z41" i="33" s="1"/>
  <c r="L41" i="33"/>
  <c r="N41" i="33" s="1"/>
  <c r="B41" i="33"/>
  <c r="Z40" i="33"/>
  <c r="X40" i="33"/>
  <c r="N40" i="33"/>
  <c r="L40" i="33"/>
  <c r="B40" i="33"/>
  <c r="X39" i="33"/>
  <c r="Z39" i="33" s="1"/>
  <c r="L39" i="33"/>
  <c r="N39" i="33" s="1"/>
  <c r="B39" i="33"/>
  <c r="Z38" i="33"/>
  <c r="X38" i="33"/>
  <c r="N38" i="33"/>
  <c r="L38" i="33"/>
  <c r="B38" i="33"/>
  <c r="X37" i="33"/>
  <c r="Z37" i="33" s="1"/>
  <c r="N37" i="33"/>
  <c r="L37" i="33"/>
  <c r="B37" i="33"/>
  <c r="Z36" i="33"/>
  <c r="X36" i="33"/>
  <c r="N36" i="33"/>
  <c r="L36" i="33"/>
  <c r="B36" i="33"/>
  <c r="X35" i="33"/>
  <c r="Z35" i="33" s="1"/>
  <c r="L35" i="33"/>
  <c r="N35" i="33" s="1"/>
  <c r="B35" i="33"/>
  <c r="Z34" i="33"/>
  <c r="X34" i="33"/>
  <c r="N34" i="33"/>
  <c r="L34" i="33"/>
  <c r="B34" i="33"/>
  <c r="X33" i="33"/>
  <c r="T33" i="33"/>
  <c r="P33" i="33"/>
  <c r="H33" i="33"/>
  <c r="D33" i="33"/>
  <c r="B33" i="33"/>
  <c r="T32" i="33"/>
  <c r="P32" i="33"/>
  <c r="X32" i="33" s="1"/>
  <c r="Z32" i="33" s="1"/>
  <c r="H32" i="33"/>
  <c r="D32" i="33"/>
  <c r="L32" i="33" s="1"/>
  <c r="N32" i="33" s="1"/>
  <c r="Z28" i="33"/>
  <c r="X28" i="33"/>
  <c r="N28" i="33"/>
  <c r="L28" i="33"/>
  <c r="B28" i="33"/>
  <c r="Z27" i="33"/>
  <c r="X27" i="33"/>
  <c r="N27" i="33"/>
  <c r="L27" i="33"/>
  <c r="B27" i="33"/>
  <c r="Z26" i="33"/>
  <c r="X26" i="33"/>
  <c r="V26" i="33"/>
  <c r="N26" i="33"/>
  <c r="L26" i="33"/>
  <c r="B26" i="33"/>
  <c r="X25" i="33"/>
  <c r="T25" i="33"/>
  <c r="Z25" i="33" s="1"/>
  <c r="P25" i="33"/>
  <c r="H25" i="33"/>
  <c r="N25" i="33" s="1"/>
  <c r="D25" i="33"/>
  <c r="L25" i="33" s="1"/>
  <c r="T23" i="33"/>
  <c r="Z23" i="33" s="1"/>
  <c r="P23" i="33"/>
  <c r="X23" i="33" s="1"/>
  <c r="L23" i="33"/>
  <c r="N23" i="33" s="1"/>
  <c r="H23" i="33"/>
  <c r="D23" i="33"/>
  <c r="B23" i="33"/>
  <c r="T22" i="33"/>
  <c r="Z22" i="33" s="1"/>
  <c r="P22" i="33"/>
  <c r="X22" i="33" s="1"/>
  <c r="N22" i="33"/>
  <c r="H22" i="33"/>
  <c r="L22" i="33" s="1"/>
  <c r="D22" i="33"/>
  <c r="B22" i="33"/>
  <c r="T21" i="33"/>
  <c r="Z21" i="33" s="1"/>
  <c r="P21" i="33"/>
  <c r="X21" i="33" s="1"/>
  <c r="L21" i="33"/>
  <c r="N21" i="33" s="1"/>
  <c r="H21" i="33"/>
  <c r="D21" i="33"/>
  <c r="B21" i="33"/>
  <c r="T20" i="33"/>
  <c r="P20" i="33"/>
  <c r="H20" i="33"/>
  <c r="D20" i="33"/>
  <c r="L20" i="33" s="1"/>
  <c r="N20" i="33" s="1"/>
  <c r="B20" i="33"/>
  <c r="X19" i="33"/>
  <c r="Z19" i="33" s="1"/>
  <c r="T19" i="33"/>
  <c r="P19" i="33"/>
  <c r="H19" i="33"/>
  <c r="N19" i="33" s="1"/>
  <c r="D19" i="33"/>
  <c r="L19" i="33" s="1"/>
  <c r="B19" i="33"/>
  <c r="Z18" i="33"/>
  <c r="T18" i="33"/>
  <c r="X18" i="33" s="1"/>
  <c r="P18" i="33"/>
  <c r="H18" i="33"/>
  <c r="N18" i="33" s="1"/>
  <c r="D18" i="33"/>
  <c r="L18" i="33" s="1"/>
  <c r="B18" i="33"/>
  <c r="Z17" i="33"/>
  <c r="X17" i="33"/>
  <c r="T17" i="33"/>
  <c r="P17" i="33"/>
  <c r="H17" i="33"/>
  <c r="N17" i="33" s="1"/>
  <c r="D17" i="33"/>
  <c r="L17" i="33" s="1"/>
  <c r="B17" i="33"/>
  <c r="T16" i="33"/>
  <c r="P16" i="33"/>
  <c r="X16" i="33" s="1"/>
  <c r="Z16" i="33" s="1"/>
  <c r="H16" i="33"/>
  <c r="D16" i="33"/>
  <c r="B16" i="33"/>
  <c r="T15" i="33"/>
  <c r="Z15" i="33" s="1"/>
  <c r="P15" i="33"/>
  <c r="X15" i="33" s="1"/>
  <c r="L15" i="33"/>
  <c r="N15" i="33" s="1"/>
  <c r="H15" i="33"/>
  <c r="D15" i="33"/>
  <c r="B15" i="33"/>
  <c r="T14" i="33"/>
  <c r="Z14" i="33" s="1"/>
  <c r="P14" i="33"/>
  <c r="X14" i="33" s="1"/>
  <c r="H14" i="33"/>
  <c r="H12" i="33" s="1"/>
  <c r="J58" i="33" s="1"/>
  <c r="D14" i="33"/>
  <c r="B14" i="33"/>
  <c r="T13" i="33"/>
  <c r="P13" i="33"/>
  <c r="N13" i="33"/>
  <c r="L13" i="33"/>
  <c r="H13" i="33"/>
  <c r="D13" i="33"/>
  <c r="D12" i="33" s="1"/>
  <c r="F47" i="33" s="1"/>
  <c r="B13" i="33"/>
  <c r="T12" i="33"/>
  <c r="V50" i="33" s="1"/>
  <c r="D4" i="33"/>
  <c r="B39" i="32"/>
  <c r="B38" i="32"/>
  <c r="T34" i="32"/>
  <c r="Z34" i="32" s="1"/>
  <c r="P34" i="32"/>
  <c r="H34" i="32"/>
  <c r="N34" i="32" s="1"/>
  <c r="D34" i="32"/>
  <c r="T33" i="32"/>
  <c r="Z33" i="32" s="1"/>
  <c r="P33" i="32"/>
  <c r="H33" i="32"/>
  <c r="N33" i="32" s="1"/>
  <c r="D33" i="32"/>
  <c r="T29" i="32"/>
  <c r="Z29" i="32" s="1"/>
  <c r="P29" i="32"/>
  <c r="H29" i="32"/>
  <c r="N29" i="32" s="1"/>
  <c r="D29" i="32"/>
  <c r="T25" i="32"/>
  <c r="Z25" i="32" s="1"/>
  <c r="P25" i="32"/>
  <c r="H25" i="32"/>
  <c r="N25" i="32" s="1"/>
  <c r="D25" i="32"/>
  <c r="B25" i="32"/>
  <c r="T24" i="32"/>
  <c r="Z24" i="32" s="1"/>
  <c r="P24" i="32"/>
  <c r="X24" i="32" s="1"/>
  <c r="H24" i="32"/>
  <c r="N24" i="32" s="1"/>
  <c r="D24" i="32"/>
  <c r="T22" i="32"/>
  <c r="Z22" i="32" s="1"/>
  <c r="P22" i="32"/>
  <c r="H22" i="32"/>
  <c r="N22" i="32" s="1"/>
  <c r="D22" i="32"/>
  <c r="B22" i="32"/>
  <c r="T21" i="32"/>
  <c r="Z21" i="32" s="1"/>
  <c r="P21" i="32"/>
  <c r="H21" i="32"/>
  <c r="N21" i="32" s="1"/>
  <c r="D21" i="32"/>
  <c r="B21" i="32"/>
  <c r="T20" i="32"/>
  <c r="Z20" i="32" s="1"/>
  <c r="P20" i="32"/>
  <c r="H20" i="32"/>
  <c r="N20" i="32" s="1"/>
  <c r="D20" i="32"/>
  <c r="T16" i="32"/>
  <c r="Z16" i="32" s="1"/>
  <c r="P16" i="32"/>
  <c r="H16" i="32"/>
  <c r="N16" i="32" s="1"/>
  <c r="D16" i="32"/>
  <c r="B16" i="32"/>
  <c r="T15" i="32"/>
  <c r="Z15" i="32" s="1"/>
  <c r="P15" i="32"/>
  <c r="H15" i="32"/>
  <c r="N15" i="32" s="1"/>
  <c r="D15" i="32"/>
  <c r="T13" i="32"/>
  <c r="Z13" i="32" s="1"/>
  <c r="P13" i="32"/>
  <c r="H13" i="32"/>
  <c r="N13" i="32" s="1"/>
  <c r="D13" i="32"/>
  <c r="B13" i="32"/>
  <c r="T12" i="32"/>
  <c r="P12" i="32"/>
  <c r="R36" i="32" s="1"/>
  <c r="H12" i="32"/>
  <c r="J20" i="32" s="1"/>
  <c r="D12" i="32"/>
  <c r="F34" i="32" s="1"/>
  <c r="D5" i="32"/>
  <c r="D4" i="32"/>
  <c r="B39" i="31"/>
  <c r="B38" i="31"/>
  <c r="T34" i="31"/>
  <c r="Z34" i="31" s="1"/>
  <c r="P34" i="31"/>
  <c r="H34" i="31"/>
  <c r="N34" i="31" s="1"/>
  <c r="D34" i="31"/>
  <c r="T33" i="31"/>
  <c r="Z33" i="31" s="1"/>
  <c r="P33" i="31"/>
  <c r="H33" i="31"/>
  <c r="N33" i="31" s="1"/>
  <c r="D33" i="31"/>
  <c r="T29" i="31"/>
  <c r="Z29" i="31" s="1"/>
  <c r="P29" i="31"/>
  <c r="H29" i="31"/>
  <c r="N29" i="31" s="1"/>
  <c r="D29" i="31"/>
  <c r="T25" i="31"/>
  <c r="Z25" i="31" s="1"/>
  <c r="P25" i="31"/>
  <c r="H25" i="31"/>
  <c r="N25" i="31" s="1"/>
  <c r="D25" i="31"/>
  <c r="B25" i="31"/>
  <c r="T24" i="31"/>
  <c r="Z24" i="31" s="1"/>
  <c r="P24" i="31"/>
  <c r="H24" i="31"/>
  <c r="N24" i="31" s="1"/>
  <c r="D24" i="31"/>
  <c r="T22" i="31"/>
  <c r="Z22" i="31" s="1"/>
  <c r="P22" i="31"/>
  <c r="H22" i="31"/>
  <c r="N22" i="31" s="1"/>
  <c r="D22" i="31"/>
  <c r="B22" i="31"/>
  <c r="T21" i="31"/>
  <c r="Z21" i="31" s="1"/>
  <c r="P21" i="31"/>
  <c r="H21" i="31"/>
  <c r="N21" i="31" s="1"/>
  <c r="D21" i="31"/>
  <c r="B21" i="31"/>
  <c r="T20" i="31"/>
  <c r="Z20" i="31" s="1"/>
  <c r="P20" i="31"/>
  <c r="H20" i="31"/>
  <c r="N20" i="31" s="1"/>
  <c r="D20" i="31"/>
  <c r="T16" i="31"/>
  <c r="Z16" i="31" s="1"/>
  <c r="P16" i="31"/>
  <c r="H16" i="31"/>
  <c r="N16" i="31" s="1"/>
  <c r="D16" i="31"/>
  <c r="B16" i="31"/>
  <c r="T15" i="31"/>
  <c r="Z15" i="31" s="1"/>
  <c r="P15" i="31"/>
  <c r="H15" i="31"/>
  <c r="N15" i="31" s="1"/>
  <c r="D15" i="31"/>
  <c r="T13" i="31"/>
  <c r="P13" i="31"/>
  <c r="H13" i="31"/>
  <c r="N13" i="31" s="1"/>
  <c r="D13" i="31"/>
  <c r="B13" i="31"/>
  <c r="T12" i="31"/>
  <c r="V22" i="31" s="1"/>
  <c r="P12" i="31"/>
  <c r="H12" i="31"/>
  <c r="J20" i="31" s="1"/>
  <c r="D12" i="31"/>
  <c r="F36" i="31" s="1"/>
  <c r="D5" i="31"/>
  <c r="D4" i="31"/>
  <c r="X161" i="30"/>
  <c r="Z161" i="30" s="1"/>
  <c r="L161" i="30"/>
  <c r="N161" i="30" s="1"/>
  <c r="T157" i="30"/>
  <c r="P157" i="30"/>
  <c r="H157" i="30"/>
  <c r="N157" i="30" s="1"/>
  <c r="D157" i="30"/>
  <c r="L157" i="30" s="1"/>
  <c r="B157" i="30"/>
  <c r="Z156" i="30"/>
  <c r="T156" i="30"/>
  <c r="P156" i="30"/>
  <c r="X156" i="30" s="1"/>
  <c r="N156" i="30"/>
  <c r="H156" i="30"/>
  <c r="D156" i="30"/>
  <c r="L156" i="30" s="1"/>
  <c r="B156" i="30"/>
  <c r="H155" i="30"/>
  <c r="X153" i="30"/>
  <c r="Z153" i="30" s="1"/>
  <c r="L153" i="30"/>
  <c r="N153" i="30" s="1"/>
  <c r="B153" i="30"/>
  <c r="Z152" i="30"/>
  <c r="X152" i="30"/>
  <c r="T152" i="30"/>
  <c r="P152" i="30"/>
  <c r="H152" i="30"/>
  <c r="D152" i="30"/>
  <c r="L152" i="30" s="1"/>
  <c r="N152" i="30" s="1"/>
  <c r="B152" i="30"/>
  <c r="X151" i="30"/>
  <c r="Z151" i="30" s="1"/>
  <c r="N151" i="30"/>
  <c r="L151" i="30"/>
  <c r="B151" i="30"/>
  <c r="T150" i="30"/>
  <c r="P150" i="30"/>
  <c r="X150" i="30" s="1"/>
  <c r="Z150" i="30" s="1"/>
  <c r="N150" i="30"/>
  <c r="H150" i="30"/>
  <c r="D150" i="30"/>
  <c r="L150" i="30" s="1"/>
  <c r="B150" i="30"/>
  <c r="X149" i="30"/>
  <c r="Z149" i="30" s="1"/>
  <c r="L149" i="30"/>
  <c r="N149" i="30" s="1"/>
  <c r="B149" i="30"/>
  <c r="T148" i="30"/>
  <c r="P148" i="30"/>
  <c r="X148" i="30" s="1"/>
  <c r="Z148" i="30" s="1"/>
  <c r="N148" i="30"/>
  <c r="L148" i="30"/>
  <c r="H148" i="30"/>
  <c r="D148" i="30"/>
  <c r="B148" i="30"/>
  <c r="X147" i="30"/>
  <c r="Z147" i="30" s="1"/>
  <c r="L147" i="30"/>
  <c r="N147" i="30" s="1"/>
  <c r="B147" i="30"/>
  <c r="Z146" i="30"/>
  <c r="X146" i="30"/>
  <c r="N146" i="30"/>
  <c r="L146" i="30"/>
  <c r="B146" i="30"/>
  <c r="X145" i="30"/>
  <c r="Z145" i="30" s="1"/>
  <c r="L145" i="30"/>
  <c r="N145" i="30" s="1"/>
  <c r="B145" i="30"/>
  <c r="Z144" i="30"/>
  <c r="X144" i="30"/>
  <c r="N144" i="30"/>
  <c r="L144" i="30"/>
  <c r="B144" i="30"/>
  <c r="X143" i="30"/>
  <c r="Z143" i="30" s="1"/>
  <c r="N143" i="30"/>
  <c r="L143" i="30"/>
  <c r="B143" i="30"/>
  <c r="T142" i="30"/>
  <c r="P142" i="30"/>
  <c r="X142" i="30" s="1"/>
  <c r="Z142" i="30" s="1"/>
  <c r="N142" i="30"/>
  <c r="H142" i="30"/>
  <c r="D142" i="30"/>
  <c r="L142" i="30" s="1"/>
  <c r="B142" i="30"/>
  <c r="X141" i="30"/>
  <c r="Z141" i="30" s="1"/>
  <c r="N141" i="30"/>
  <c r="L141" i="30"/>
  <c r="B141" i="30"/>
  <c r="Z140" i="30"/>
  <c r="X140" i="30"/>
  <c r="N140" i="30"/>
  <c r="L140" i="30"/>
  <c r="B140" i="30"/>
  <c r="T139" i="30"/>
  <c r="P139" i="30"/>
  <c r="X139" i="30" s="1"/>
  <c r="H139" i="30"/>
  <c r="D139" i="30"/>
  <c r="L139" i="30" s="1"/>
  <c r="B139" i="30"/>
  <c r="Z138" i="30"/>
  <c r="X138" i="30"/>
  <c r="N138" i="30"/>
  <c r="L138" i="30"/>
  <c r="B138" i="30"/>
  <c r="X137" i="30"/>
  <c r="Z137" i="30" s="1"/>
  <c r="L137" i="30"/>
  <c r="N137" i="30" s="1"/>
  <c r="B137" i="30"/>
  <c r="Z136" i="30"/>
  <c r="X136" i="30"/>
  <c r="N136" i="30"/>
  <c r="L136" i="30"/>
  <c r="B136" i="30"/>
  <c r="X135" i="30"/>
  <c r="T135" i="30"/>
  <c r="P135" i="30"/>
  <c r="L135" i="30"/>
  <c r="H135" i="30"/>
  <c r="D135" i="30"/>
  <c r="B135" i="30"/>
  <c r="Z134" i="30"/>
  <c r="X134" i="30"/>
  <c r="N134" i="30"/>
  <c r="L134" i="30"/>
  <c r="B134" i="30"/>
  <c r="X133" i="30"/>
  <c r="Z133" i="30" s="1"/>
  <c r="N133" i="30"/>
  <c r="L133" i="30"/>
  <c r="B133" i="30"/>
  <c r="T132" i="30"/>
  <c r="P132" i="30"/>
  <c r="X132" i="30" s="1"/>
  <c r="Z132" i="30" s="1"/>
  <c r="N132" i="30"/>
  <c r="L132" i="30"/>
  <c r="H132" i="30"/>
  <c r="D132" i="30"/>
  <c r="B132" i="30"/>
  <c r="Z131" i="30"/>
  <c r="X131" i="30"/>
  <c r="N131" i="30"/>
  <c r="L131" i="30"/>
  <c r="B131" i="30"/>
  <c r="Z130" i="30"/>
  <c r="X130" i="30"/>
  <c r="N130" i="30"/>
  <c r="L130" i="30"/>
  <c r="B130" i="30"/>
  <c r="Z129" i="30"/>
  <c r="X129" i="30"/>
  <c r="N129" i="30"/>
  <c r="L129" i="30"/>
  <c r="B129" i="30"/>
  <c r="T128" i="30"/>
  <c r="P128" i="30"/>
  <c r="X128" i="30" s="1"/>
  <c r="Z128" i="30" s="1"/>
  <c r="N128" i="30"/>
  <c r="L128" i="30"/>
  <c r="H128" i="30"/>
  <c r="D128" i="30"/>
  <c r="B128" i="30"/>
  <c r="X127" i="30"/>
  <c r="Z127" i="30" s="1"/>
  <c r="L127" i="30"/>
  <c r="N127" i="30" s="1"/>
  <c r="B127" i="30"/>
  <c r="Z126" i="30"/>
  <c r="X126" i="30"/>
  <c r="T126" i="30"/>
  <c r="P126" i="30"/>
  <c r="H126" i="30"/>
  <c r="D126" i="30"/>
  <c r="B126" i="30"/>
  <c r="Z125" i="30"/>
  <c r="X125" i="30"/>
  <c r="N125" i="30"/>
  <c r="L125" i="30"/>
  <c r="B125" i="30"/>
  <c r="T124" i="30"/>
  <c r="Z124" i="30" s="1"/>
  <c r="P124" i="30"/>
  <c r="N124" i="30"/>
  <c r="H124" i="30"/>
  <c r="D124" i="30"/>
  <c r="B124" i="30"/>
  <c r="Z123" i="30"/>
  <c r="X123" i="30"/>
  <c r="N123" i="30"/>
  <c r="L123" i="30"/>
  <c r="B123" i="30"/>
  <c r="Z122" i="30"/>
  <c r="X122" i="30"/>
  <c r="N122" i="30"/>
  <c r="L122" i="30"/>
  <c r="B122" i="30"/>
  <c r="T121" i="30"/>
  <c r="P121" i="30"/>
  <c r="X121" i="30" s="1"/>
  <c r="H121" i="30"/>
  <c r="D121" i="30"/>
  <c r="L121" i="30" s="1"/>
  <c r="B121" i="30"/>
  <c r="Z120" i="30"/>
  <c r="X120" i="30"/>
  <c r="L120" i="30"/>
  <c r="N120" i="30" s="1"/>
  <c r="B120" i="30"/>
  <c r="X119" i="30"/>
  <c r="T119" i="30"/>
  <c r="P119" i="30"/>
  <c r="L119" i="30"/>
  <c r="H119" i="30"/>
  <c r="N119" i="30" s="1"/>
  <c r="D119" i="30"/>
  <c r="B119" i="30"/>
  <c r="X118" i="30"/>
  <c r="Z118" i="30" s="1"/>
  <c r="L118" i="30"/>
  <c r="N118" i="30" s="1"/>
  <c r="B118" i="30"/>
  <c r="X117" i="30"/>
  <c r="T117" i="30"/>
  <c r="Z117" i="30" s="1"/>
  <c r="P117" i="30"/>
  <c r="H117" i="30"/>
  <c r="D117" i="30"/>
  <c r="L117" i="30" s="1"/>
  <c r="B117" i="30"/>
  <c r="X116" i="30"/>
  <c r="Z116" i="30" s="1"/>
  <c r="N116" i="30"/>
  <c r="L116" i="30"/>
  <c r="B116" i="30"/>
  <c r="Z115" i="30"/>
  <c r="X115" i="30"/>
  <c r="L115" i="30"/>
  <c r="N115" i="30" s="1"/>
  <c r="B115" i="30"/>
  <c r="T114" i="30"/>
  <c r="Z114" i="30" s="1"/>
  <c r="P114" i="30"/>
  <c r="X114" i="30" s="1"/>
  <c r="L114" i="30"/>
  <c r="N114" i="30" s="1"/>
  <c r="H114" i="30"/>
  <c r="D114" i="30"/>
  <c r="B114" i="30"/>
  <c r="Z113" i="30"/>
  <c r="X113" i="30"/>
  <c r="N113" i="30"/>
  <c r="L113" i="30"/>
  <c r="B113" i="30"/>
  <c r="Z112" i="30"/>
  <c r="X112" i="30"/>
  <c r="T112" i="30"/>
  <c r="P112" i="30"/>
  <c r="L112" i="30"/>
  <c r="H112" i="30"/>
  <c r="N112" i="30" s="1"/>
  <c r="D112" i="30"/>
  <c r="B112" i="30"/>
  <c r="Z111" i="30"/>
  <c r="X111" i="30"/>
  <c r="N111" i="30"/>
  <c r="L111" i="30"/>
  <c r="B111" i="30"/>
  <c r="X110" i="30"/>
  <c r="T110" i="30"/>
  <c r="Z110" i="30" s="1"/>
  <c r="P110" i="30"/>
  <c r="N110" i="30"/>
  <c r="H110" i="30"/>
  <c r="D110" i="30"/>
  <c r="L110" i="30" s="1"/>
  <c r="B110" i="30"/>
  <c r="Z109" i="30"/>
  <c r="X109" i="30"/>
  <c r="N109" i="30"/>
  <c r="L109" i="30"/>
  <c r="B109" i="30"/>
  <c r="Z108" i="30"/>
  <c r="X108" i="30"/>
  <c r="N108" i="30"/>
  <c r="L108" i="30"/>
  <c r="B108" i="30"/>
  <c r="Z107" i="30"/>
  <c r="X107" i="30"/>
  <c r="T107" i="30"/>
  <c r="P107" i="30"/>
  <c r="L107" i="30"/>
  <c r="H107" i="30"/>
  <c r="N107" i="30" s="1"/>
  <c r="D107" i="30"/>
  <c r="B107" i="30"/>
  <c r="Z106" i="30"/>
  <c r="X106" i="30"/>
  <c r="L106" i="30"/>
  <c r="N106" i="30" s="1"/>
  <c r="B106" i="30"/>
  <c r="X105" i="30"/>
  <c r="T105" i="30"/>
  <c r="Z105" i="30" s="1"/>
  <c r="P105" i="30"/>
  <c r="H105" i="30"/>
  <c r="N105" i="30" s="1"/>
  <c r="D105" i="30"/>
  <c r="L105" i="30" s="1"/>
  <c r="B105" i="30"/>
  <c r="X104" i="30"/>
  <c r="Z104" i="30" s="1"/>
  <c r="N104" i="30"/>
  <c r="L104" i="30"/>
  <c r="B104" i="30"/>
  <c r="T103" i="30"/>
  <c r="P103" i="30"/>
  <c r="X103" i="30" s="1"/>
  <c r="H103" i="30"/>
  <c r="D103" i="30"/>
  <c r="L103" i="30" s="1"/>
  <c r="N103" i="30" s="1"/>
  <c r="B103" i="30"/>
  <c r="X102" i="30"/>
  <c r="Z102" i="30" s="1"/>
  <c r="N102" i="30"/>
  <c r="L102" i="30"/>
  <c r="B102" i="30"/>
  <c r="T101" i="30"/>
  <c r="P101" i="30"/>
  <c r="X101" i="30" s="1"/>
  <c r="Z101" i="30" s="1"/>
  <c r="H101" i="30"/>
  <c r="D101" i="30"/>
  <c r="B101" i="30"/>
  <c r="Z100" i="30"/>
  <c r="X100" i="30"/>
  <c r="L100" i="30"/>
  <c r="N100" i="30" s="1"/>
  <c r="B100" i="30"/>
  <c r="X99" i="30"/>
  <c r="Z99" i="30" s="1"/>
  <c r="N99" i="30"/>
  <c r="L99" i="30"/>
  <c r="B99" i="30"/>
  <c r="X98" i="30"/>
  <c r="Z98" i="30" s="1"/>
  <c r="N98" i="30"/>
  <c r="L98" i="30"/>
  <c r="B98" i="30"/>
  <c r="Z97" i="30"/>
  <c r="X97" i="30"/>
  <c r="L97" i="30"/>
  <c r="N97" i="30" s="1"/>
  <c r="B97" i="30"/>
  <c r="X96" i="30"/>
  <c r="Z96" i="30" s="1"/>
  <c r="N96" i="30"/>
  <c r="L96" i="30"/>
  <c r="B96" i="30"/>
  <c r="T95" i="30"/>
  <c r="P95" i="30"/>
  <c r="X95" i="30" s="1"/>
  <c r="H95" i="30"/>
  <c r="D95" i="30"/>
  <c r="L95" i="30" s="1"/>
  <c r="N95" i="30" s="1"/>
  <c r="B95" i="30"/>
  <c r="X94" i="30"/>
  <c r="Z94" i="30" s="1"/>
  <c r="N94" i="30"/>
  <c r="L94" i="30"/>
  <c r="B94" i="30"/>
  <c r="Z93" i="30"/>
  <c r="X93" i="30"/>
  <c r="L93" i="30"/>
  <c r="N93" i="30" s="1"/>
  <c r="B93" i="30"/>
  <c r="Z92" i="30"/>
  <c r="X92" i="30"/>
  <c r="N92" i="30"/>
  <c r="L92" i="30"/>
  <c r="B92" i="30"/>
  <c r="Z91" i="30"/>
  <c r="X91" i="30"/>
  <c r="N91" i="30"/>
  <c r="L91" i="30"/>
  <c r="B91" i="30"/>
  <c r="Z90" i="30"/>
  <c r="X90" i="30"/>
  <c r="N90" i="30"/>
  <c r="L90" i="30"/>
  <c r="B90" i="30"/>
  <c r="X89" i="30"/>
  <c r="Z89" i="30" s="1"/>
  <c r="N89" i="30"/>
  <c r="L89" i="30"/>
  <c r="B89" i="30"/>
  <c r="Z88" i="30"/>
  <c r="X88" i="30"/>
  <c r="N88" i="30"/>
  <c r="L88" i="30"/>
  <c r="B88" i="30"/>
  <c r="X87" i="30"/>
  <c r="Z87" i="30" s="1"/>
  <c r="N87" i="30"/>
  <c r="L87" i="30"/>
  <c r="B87" i="30"/>
  <c r="X86" i="30"/>
  <c r="Z86" i="30" s="1"/>
  <c r="T86" i="30"/>
  <c r="P86" i="30"/>
  <c r="H86" i="30"/>
  <c r="L86" i="30" s="1"/>
  <c r="N86" i="30" s="1"/>
  <c r="D86" i="30"/>
  <c r="B86" i="30"/>
  <c r="X85" i="30"/>
  <c r="T85" i="30"/>
  <c r="Z85" i="30" s="1"/>
  <c r="P85" i="30"/>
  <c r="H85" i="30"/>
  <c r="D85" i="30"/>
  <c r="L85" i="30" s="1"/>
  <c r="X81" i="30"/>
  <c r="Z81" i="30" s="1"/>
  <c r="L81" i="30"/>
  <c r="N81" i="30" s="1"/>
  <c r="B81" i="30"/>
  <c r="Z80" i="30"/>
  <c r="X80" i="30"/>
  <c r="N80" i="30"/>
  <c r="L80" i="30"/>
  <c r="B80" i="30"/>
  <c r="X79" i="30"/>
  <c r="Z79" i="30" s="1"/>
  <c r="N79" i="30"/>
  <c r="L79" i="30"/>
  <c r="B79" i="30"/>
  <c r="Z78" i="30"/>
  <c r="X78" i="30"/>
  <c r="N78" i="30"/>
  <c r="L78" i="30"/>
  <c r="B78" i="30"/>
  <c r="X77" i="30"/>
  <c r="Z77" i="30" s="1"/>
  <c r="L77" i="30"/>
  <c r="N77" i="30" s="1"/>
  <c r="B77" i="30"/>
  <c r="Z76" i="30"/>
  <c r="X76" i="30"/>
  <c r="N76" i="30"/>
  <c r="L76" i="30"/>
  <c r="B76" i="30"/>
  <c r="Z75" i="30"/>
  <c r="X75" i="30"/>
  <c r="N75" i="30"/>
  <c r="L75" i="30"/>
  <c r="B75" i="30"/>
  <c r="Z74" i="30"/>
  <c r="X74" i="30"/>
  <c r="N74" i="30"/>
  <c r="L74" i="30"/>
  <c r="B74" i="30"/>
  <c r="Z73" i="30"/>
  <c r="X73" i="30"/>
  <c r="N73" i="30"/>
  <c r="L73" i="30"/>
  <c r="B73" i="30"/>
  <c r="Z72" i="30"/>
  <c r="X72" i="30"/>
  <c r="N72" i="30"/>
  <c r="L72" i="30"/>
  <c r="B72" i="30"/>
  <c r="Z71" i="30"/>
  <c r="X71" i="30"/>
  <c r="N71" i="30"/>
  <c r="L71" i="30"/>
  <c r="B71" i="30"/>
  <c r="Z70" i="30"/>
  <c r="X70" i="30"/>
  <c r="N70" i="30"/>
  <c r="L70" i="30"/>
  <c r="B70" i="30"/>
  <c r="X69" i="30"/>
  <c r="Z69" i="30" s="1"/>
  <c r="L69" i="30"/>
  <c r="N69" i="30" s="1"/>
  <c r="B69" i="30"/>
  <c r="Z68" i="30"/>
  <c r="X68" i="30"/>
  <c r="N68" i="30"/>
  <c r="L68" i="30"/>
  <c r="B68" i="30"/>
  <c r="Z67" i="30"/>
  <c r="X67" i="30"/>
  <c r="N67" i="30"/>
  <c r="L67" i="30"/>
  <c r="B67" i="30"/>
  <c r="X66" i="30"/>
  <c r="Z66" i="30" s="1"/>
  <c r="N66" i="30"/>
  <c r="L66" i="30"/>
  <c r="B66" i="30"/>
  <c r="X65" i="30"/>
  <c r="Z65" i="30" s="1"/>
  <c r="L65" i="30"/>
  <c r="N65" i="30" s="1"/>
  <c r="B65" i="30"/>
  <c r="Z64" i="30"/>
  <c r="X64" i="30"/>
  <c r="N64" i="30"/>
  <c r="L64" i="30"/>
  <c r="B64" i="30"/>
  <c r="X63" i="30"/>
  <c r="Z63" i="30" s="1"/>
  <c r="N63" i="30"/>
  <c r="L63" i="30"/>
  <c r="B63" i="30"/>
  <c r="Z62" i="30"/>
  <c r="X62" i="30"/>
  <c r="L62" i="30"/>
  <c r="N62" i="30" s="1"/>
  <c r="B62" i="30"/>
  <c r="X61" i="30"/>
  <c r="Z61" i="30" s="1"/>
  <c r="N61" i="30"/>
  <c r="L61" i="30"/>
  <c r="B61" i="30"/>
  <c r="Z60" i="30"/>
  <c r="X60" i="30"/>
  <c r="N60" i="30"/>
  <c r="L60" i="30"/>
  <c r="B60" i="30"/>
  <c r="Z59" i="30"/>
  <c r="X59" i="30"/>
  <c r="N59" i="30"/>
  <c r="L59" i="30"/>
  <c r="B59" i="30"/>
  <c r="X58" i="30"/>
  <c r="Z58" i="30" s="1"/>
  <c r="N58" i="30"/>
  <c r="L58" i="30"/>
  <c r="B58" i="30"/>
  <c r="Z57" i="30"/>
  <c r="X57" i="30"/>
  <c r="N57" i="30"/>
  <c r="L57" i="30"/>
  <c r="B57" i="30"/>
  <c r="T56" i="30"/>
  <c r="X56" i="30" s="1"/>
  <c r="Z56" i="30" s="1"/>
  <c r="P56" i="30"/>
  <c r="H56" i="30"/>
  <c r="N56" i="30" s="1"/>
  <c r="D56" i="30"/>
  <c r="L56" i="30" s="1"/>
  <c r="Z54" i="30"/>
  <c r="X54" i="30"/>
  <c r="T54" i="30"/>
  <c r="P54" i="30"/>
  <c r="N54" i="30"/>
  <c r="H54" i="30"/>
  <c r="D54" i="30"/>
  <c r="L54" i="30" s="1"/>
  <c r="B54" i="30"/>
  <c r="T53" i="30"/>
  <c r="P53" i="30"/>
  <c r="X53" i="30" s="1"/>
  <c r="Z53" i="30" s="1"/>
  <c r="L53" i="30"/>
  <c r="H53" i="30"/>
  <c r="N53" i="30" s="1"/>
  <c r="D53" i="30"/>
  <c r="B53" i="30"/>
  <c r="T52" i="30"/>
  <c r="Z52" i="30" s="1"/>
  <c r="P52" i="30"/>
  <c r="X52" i="30" s="1"/>
  <c r="H52" i="30"/>
  <c r="L52" i="30" s="1"/>
  <c r="N52" i="30" s="1"/>
  <c r="D52" i="30"/>
  <c r="B52" i="30"/>
  <c r="T51" i="30"/>
  <c r="P51" i="30"/>
  <c r="X51" i="30" s="1"/>
  <c r="L51" i="30"/>
  <c r="N51" i="30" s="1"/>
  <c r="H51" i="30"/>
  <c r="D51" i="30"/>
  <c r="B51" i="30"/>
  <c r="T50" i="30"/>
  <c r="Z50" i="30" s="1"/>
  <c r="P50" i="30"/>
  <c r="X50" i="30" s="1"/>
  <c r="N50" i="30"/>
  <c r="L50" i="30"/>
  <c r="H50" i="30"/>
  <c r="D50" i="30"/>
  <c r="B50" i="30"/>
  <c r="X49" i="30"/>
  <c r="T49" i="30"/>
  <c r="Z49" i="30" s="1"/>
  <c r="P49" i="30"/>
  <c r="H49" i="30"/>
  <c r="D49" i="30"/>
  <c r="L49" i="30" s="1"/>
  <c r="N49" i="30" s="1"/>
  <c r="B49" i="30"/>
  <c r="T48" i="30"/>
  <c r="X48" i="30" s="1"/>
  <c r="Z48" i="30" s="1"/>
  <c r="P48" i="30"/>
  <c r="H48" i="30"/>
  <c r="N48" i="30" s="1"/>
  <c r="D48" i="30"/>
  <c r="L48" i="30" s="1"/>
  <c r="B48" i="30"/>
  <c r="X47" i="30"/>
  <c r="Z47" i="30" s="1"/>
  <c r="T47" i="30"/>
  <c r="P47" i="30"/>
  <c r="H47" i="30"/>
  <c r="N47" i="30" s="1"/>
  <c r="D47" i="30"/>
  <c r="L47" i="30" s="1"/>
  <c r="B47" i="30"/>
  <c r="Z46" i="30"/>
  <c r="X46" i="30"/>
  <c r="T46" i="30"/>
  <c r="P46" i="30"/>
  <c r="H46" i="30"/>
  <c r="D46" i="30"/>
  <c r="L46" i="30" s="1"/>
  <c r="B46" i="30"/>
  <c r="T45" i="30"/>
  <c r="P45" i="30"/>
  <c r="X45" i="30" s="1"/>
  <c r="Z45" i="30" s="1"/>
  <c r="L45" i="30"/>
  <c r="H45" i="30"/>
  <c r="N45" i="30" s="1"/>
  <c r="D45" i="30"/>
  <c r="B45" i="30"/>
  <c r="T44" i="30"/>
  <c r="Z44" i="30" s="1"/>
  <c r="P44" i="30"/>
  <c r="X44" i="30" s="1"/>
  <c r="H44" i="30"/>
  <c r="L44" i="30" s="1"/>
  <c r="N44" i="30" s="1"/>
  <c r="D44" i="30"/>
  <c r="B44" i="30"/>
  <c r="T43" i="30"/>
  <c r="Z43" i="30" s="1"/>
  <c r="P43" i="30"/>
  <c r="X43" i="30" s="1"/>
  <c r="N43" i="30"/>
  <c r="L43" i="30"/>
  <c r="H43" i="30"/>
  <c r="D43" i="30"/>
  <c r="B43" i="30"/>
  <c r="T42" i="30"/>
  <c r="P42" i="30"/>
  <c r="X42" i="30" s="1"/>
  <c r="N42" i="30"/>
  <c r="L42" i="30"/>
  <c r="H42" i="30"/>
  <c r="D42" i="30"/>
  <c r="B42" i="30"/>
  <c r="X41" i="30"/>
  <c r="T41" i="30"/>
  <c r="Z41" i="30" s="1"/>
  <c r="P41" i="30"/>
  <c r="N41" i="30"/>
  <c r="H41" i="30"/>
  <c r="D41" i="30"/>
  <c r="L41" i="30" s="1"/>
  <c r="B41" i="30"/>
  <c r="Z40" i="30"/>
  <c r="T40" i="30"/>
  <c r="X40" i="30" s="1"/>
  <c r="P40" i="30"/>
  <c r="H40" i="30"/>
  <c r="N40" i="30" s="1"/>
  <c r="D40" i="30"/>
  <c r="L40" i="30" s="1"/>
  <c r="B40" i="30"/>
  <c r="X39" i="30"/>
  <c r="Z39" i="30" s="1"/>
  <c r="T39" i="30"/>
  <c r="P39" i="30"/>
  <c r="H39" i="30"/>
  <c r="D39" i="30"/>
  <c r="L39" i="30" s="1"/>
  <c r="B39" i="30"/>
  <c r="Z38" i="30"/>
  <c r="X38" i="30"/>
  <c r="T38" i="30"/>
  <c r="P38" i="30"/>
  <c r="H38" i="30"/>
  <c r="N38" i="30" s="1"/>
  <c r="D38" i="30"/>
  <c r="L38" i="30" s="1"/>
  <c r="B38" i="30"/>
  <c r="T37" i="30"/>
  <c r="P37" i="30"/>
  <c r="X37" i="30" s="1"/>
  <c r="Z37" i="30" s="1"/>
  <c r="L37" i="30"/>
  <c r="H37" i="30"/>
  <c r="N37" i="30" s="1"/>
  <c r="D37" i="30"/>
  <c r="B37" i="30"/>
  <c r="T36" i="30"/>
  <c r="P36" i="30"/>
  <c r="X36" i="30" s="1"/>
  <c r="N36" i="30"/>
  <c r="H36" i="30"/>
  <c r="L36" i="30" s="1"/>
  <c r="D36" i="30"/>
  <c r="B36" i="30"/>
  <c r="T35" i="30"/>
  <c r="P35" i="30"/>
  <c r="X35" i="30" s="1"/>
  <c r="L35" i="30"/>
  <c r="N35" i="30" s="1"/>
  <c r="H35" i="30"/>
  <c r="D35" i="30"/>
  <c r="B35" i="30"/>
  <c r="T34" i="30"/>
  <c r="P34" i="30"/>
  <c r="X34" i="30" s="1"/>
  <c r="N34" i="30"/>
  <c r="L34" i="30"/>
  <c r="H34" i="30"/>
  <c r="D34" i="30"/>
  <c r="B34" i="30"/>
  <c r="X33" i="30"/>
  <c r="T33" i="30"/>
  <c r="Z33" i="30" s="1"/>
  <c r="P33" i="30"/>
  <c r="N33" i="30"/>
  <c r="H33" i="30"/>
  <c r="D33" i="30"/>
  <c r="L33" i="30" s="1"/>
  <c r="B33" i="30"/>
  <c r="T32" i="30"/>
  <c r="X32" i="30" s="1"/>
  <c r="Z32" i="30" s="1"/>
  <c r="P32" i="30"/>
  <c r="H32" i="30"/>
  <c r="N32" i="30" s="1"/>
  <c r="D32" i="30"/>
  <c r="L32" i="30" s="1"/>
  <c r="B32" i="30"/>
  <c r="X31" i="30"/>
  <c r="Z31" i="30" s="1"/>
  <c r="T31" i="30"/>
  <c r="P31" i="30"/>
  <c r="H31" i="30"/>
  <c r="N31" i="30" s="1"/>
  <c r="D31" i="30"/>
  <c r="L31" i="30" s="1"/>
  <c r="B31" i="30"/>
  <c r="Z30" i="30"/>
  <c r="X30" i="30"/>
  <c r="T30" i="30"/>
  <c r="P30" i="30"/>
  <c r="H30" i="30"/>
  <c r="N30" i="30" s="1"/>
  <c r="D30" i="30"/>
  <c r="L30" i="30" s="1"/>
  <c r="B30" i="30"/>
  <c r="T29" i="30"/>
  <c r="P29" i="30"/>
  <c r="X29" i="30" s="1"/>
  <c r="Z29" i="30" s="1"/>
  <c r="L29" i="30"/>
  <c r="H29" i="30"/>
  <c r="N29" i="30" s="1"/>
  <c r="D29" i="30"/>
  <c r="B29" i="30"/>
  <c r="T28" i="30"/>
  <c r="Z28" i="30" s="1"/>
  <c r="P28" i="30"/>
  <c r="X28" i="30" s="1"/>
  <c r="N28" i="30"/>
  <c r="H28" i="30"/>
  <c r="L28" i="30" s="1"/>
  <c r="D28" i="30"/>
  <c r="B28" i="30"/>
  <c r="T27" i="30"/>
  <c r="P27" i="30"/>
  <c r="X27" i="30" s="1"/>
  <c r="L27" i="30"/>
  <c r="N27" i="30" s="1"/>
  <c r="H27" i="30"/>
  <c r="D27" i="30"/>
  <c r="B27" i="30"/>
  <c r="T26" i="30"/>
  <c r="P26" i="30"/>
  <c r="X26" i="30" s="1"/>
  <c r="N26" i="30"/>
  <c r="L26" i="30"/>
  <c r="H26" i="30"/>
  <c r="D26" i="30"/>
  <c r="B26" i="30"/>
  <c r="X25" i="30"/>
  <c r="T25" i="30"/>
  <c r="Z25" i="30" s="1"/>
  <c r="P25" i="30"/>
  <c r="N25" i="30"/>
  <c r="H25" i="30"/>
  <c r="D25" i="30"/>
  <c r="L25" i="30" s="1"/>
  <c r="B25" i="30"/>
  <c r="T24" i="30"/>
  <c r="X24" i="30" s="1"/>
  <c r="Z24" i="30" s="1"/>
  <c r="P24" i="30"/>
  <c r="H24" i="30"/>
  <c r="D24" i="30"/>
  <c r="L24" i="30" s="1"/>
  <c r="B24" i="30"/>
  <c r="X23" i="30"/>
  <c r="Z23" i="30" s="1"/>
  <c r="T23" i="30"/>
  <c r="P23" i="30"/>
  <c r="H23" i="30"/>
  <c r="D23" i="30"/>
  <c r="L23" i="30" s="1"/>
  <c r="B23" i="30"/>
  <c r="Z22" i="30"/>
  <c r="X22" i="30"/>
  <c r="T22" i="30"/>
  <c r="P22" i="30"/>
  <c r="H22" i="30"/>
  <c r="N22" i="30" s="1"/>
  <c r="D22" i="30"/>
  <c r="L22" i="30" s="1"/>
  <c r="B22" i="30"/>
  <c r="T21" i="30"/>
  <c r="P21" i="30"/>
  <c r="X21" i="30" s="1"/>
  <c r="Z21" i="30" s="1"/>
  <c r="L21" i="30"/>
  <c r="H21" i="30"/>
  <c r="N21" i="30" s="1"/>
  <c r="D21" i="30"/>
  <c r="B21" i="30"/>
  <c r="T20" i="30"/>
  <c r="P20" i="30"/>
  <c r="X20" i="30" s="1"/>
  <c r="H20" i="30"/>
  <c r="L20" i="30" s="1"/>
  <c r="N20" i="30" s="1"/>
  <c r="D20" i="30"/>
  <c r="B20" i="30"/>
  <c r="T19" i="30"/>
  <c r="P19" i="30"/>
  <c r="X19" i="30" s="1"/>
  <c r="L19" i="30"/>
  <c r="N19" i="30" s="1"/>
  <c r="H19" i="30"/>
  <c r="D19" i="30"/>
  <c r="B19" i="30"/>
  <c r="T18" i="30"/>
  <c r="Z18" i="30" s="1"/>
  <c r="P18" i="30"/>
  <c r="X18" i="30" s="1"/>
  <c r="N18" i="30"/>
  <c r="L18" i="30"/>
  <c r="H18" i="30"/>
  <c r="D18" i="30"/>
  <c r="B18" i="30"/>
  <c r="X17" i="30"/>
  <c r="T17" i="30"/>
  <c r="Z17" i="30" s="1"/>
  <c r="P17" i="30"/>
  <c r="H17" i="30"/>
  <c r="D17" i="30"/>
  <c r="L17" i="30" s="1"/>
  <c r="N17" i="30" s="1"/>
  <c r="B17" i="30"/>
  <c r="T16" i="30"/>
  <c r="X16" i="30" s="1"/>
  <c r="Z16" i="30" s="1"/>
  <c r="P16" i="30"/>
  <c r="H16" i="30"/>
  <c r="D16" i="30"/>
  <c r="L16" i="30" s="1"/>
  <c r="B16" i="30"/>
  <c r="X15" i="30"/>
  <c r="Z15" i="30" s="1"/>
  <c r="T15" i="30"/>
  <c r="P15" i="30"/>
  <c r="H15" i="30"/>
  <c r="D15" i="30"/>
  <c r="L15" i="30" s="1"/>
  <c r="B15" i="30"/>
  <c r="Z14" i="30"/>
  <c r="X14" i="30"/>
  <c r="T14" i="30"/>
  <c r="P14" i="30"/>
  <c r="H14" i="30"/>
  <c r="N14" i="30" s="1"/>
  <c r="D14" i="30"/>
  <c r="L14" i="30" s="1"/>
  <c r="B14" i="30"/>
  <c r="T13" i="30"/>
  <c r="P13" i="30"/>
  <c r="X13" i="30" s="1"/>
  <c r="Z13" i="30" s="1"/>
  <c r="L13" i="30"/>
  <c r="H13" i="30"/>
  <c r="N13" i="30" s="1"/>
  <c r="D13" i="30"/>
  <c r="D12" i="30" s="1"/>
  <c r="B13" i="30"/>
  <c r="T12" i="30"/>
  <c r="V152" i="30" s="1"/>
  <c r="D4" i="30"/>
  <c r="B39" i="29"/>
  <c r="B38" i="29"/>
  <c r="T34" i="29"/>
  <c r="Z34" i="29" s="1"/>
  <c r="P34" i="29"/>
  <c r="X34" i="29" s="1"/>
  <c r="H34" i="29"/>
  <c r="N34" i="29" s="1"/>
  <c r="D34" i="29"/>
  <c r="T33" i="29"/>
  <c r="Z33" i="29" s="1"/>
  <c r="P33" i="29"/>
  <c r="H33" i="29"/>
  <c r="N33" i="29" s="1"/>
  <c r="D33" i="29"/>
  <c r="T29" i="29"/>
  <c r="Z29" i="29" s="1"/>
  <c r="P29" i="29"/>
  <c r="X29" i="29" s="1"/>
  <c r="H29" i="29"/>
  <c r="N29" i="29" s="1"/>
  <c r="D29" i="29"/>
  <c r="T25" i="29"/>
  <c r="Z25" i="29" s="1"/>
  <c r="P25" i="29"/>
  <c r="H25" i="29"/>
  <c r="N25" i="29" s="1"/>
  <c r="D25" i="29"/>
  <c r="B25" i="29"/>
  <c r="T24" i="29"/>
  <c r="Z24" i="29" s="1"/>
  <c r="P24" i="29"/>
  <c r="H24" i="29"/>
  <c r="N24" i="29" s="1"/>
  <c r="D24" i="29"/>
  <c r="T22" i="29"/>
  <c r="Z22" i="29" s="1"/>
  <c r="P22" i="29"/>
  <c r="H22" i="29"/>
  <c r="N22" i="29" s="1"/>
  <c r="D22" i="29"/>
  <c r="B22" i="29"/>
  <c r="T21" i="29"/>
  <c r="Z21" i="29" s="1"/>
  <c r="P21" i="29"/>
  <c r="H21" i="29"/>
  <c r="N21" i="29" s="1"/>
  <c r="D21" i="29"/>
  <c r="B21" i="29"/>
  <c r="T20" i="29"/>
  <c r="Z20" i="29" s="1"/>
  <c r="P20" i="29"/>
  <c r="H20" i="29"/>
  <c r="N20" i="29" s="1"/>
  <c r="D20" i="29"/>
  <c r="T16" i="29"/>
  <c r="Z16" i="29" s="1"/>
  <c r="P16" i="29"/>
  <c r="H16" i="29"/>
  <c r="N16" i="29" s="1"/>
  <c r="D16" i="29"/>
  <c r="B16" i="29"/>
  <c r="T15" i="29"/>
  <c r="Z15" i="29" s="1"/>
  <c r="P15" i="29"/>
  <c r="X15" i="29" s="1"/>
  <c r="H15" i="29"/>
  <c r="N15" i="29" s="1"/>
  <c r="D15" i="29"/>
  <c r="T13" i="29"/>
  <c r="Z13" i="29" s="1"/>
  <c r="P13" i="29"/>
  <c r="H13" i="29"/>
  <c r="N13" i="29" s="1"/>
  <c r="D13" i="29"/>
  <c r="B13" i="29"/>
  <c r="T12" i="29"/>
  <c r="V20" i="29" s="1"/>
  <c r="P12" i="29"/>
  <c r="R36" i="29" s="1"/>
  <c r="H12" i="29"/>
  <c r="J34" i="29" s="1"/>
  <c r="D12" i="29"/>
  <c r="F20" i="29" s="1"/>
  <c r="D5" i="29"/>
  <c r="D4" i="29"/>
  <c r="B39" i="28"/>
  <c r="B38" i="28"/>
  <c r="T34" i="28"/>
  <c r="Z34" i="28" s="1"/>
  <c r="P34" i="28"/>
  <c r="H34" i="28"/>
  <c r="N34" i="28" s="1"/>
  <c r="D34" i="28"/>
  <c r="T33" i="28"/>
  <c r="Z33" i="28" s="1"/>
  <c r="P33" i="28"/>
  <c r="H33" i="28"/>
  <c r="N33" i="28" s="1"/>
  <c r="D33" i="28"/>
  <c r="T29" i="28"/>
  <c r="Z29" i="28" s="1"/>
  <c r="P29" i="28"/>
  <c r="H29" i="28"/>
  <c r="N29" i="28" s="1"/>
  <c r="D29" i="28"/>
  <c r="T25" i="28"/>
  <c r="Z25" i="28" s="1"/>
  <c r="P25" i="28"/>
  <c r="H25" i="28"/>
  <c r="N25" i="28" s="1"/>
  <c r="D25" i="28"/>
  <c r="B25" i="28"/>
  <c r="T24" i="28"/>
  <c r="Z24" i="28" s="1"/>
  <c r="P24" i="28"/>
  <c r="H24" i="28"/>
  <c r="N24" i="28" s="1"/>
  <c r="D24" i="28"/>
  <c r="T22" i="28"/>
  <c r="Z22" i="28" s="1"/>
  <c r="P22" i="28"/>
  <c r="H22" i="28"/>
  <c r="N22" i="28" s="1"/>
  <c r="D22" i="28"/>
  <c r="B22" i="28"/>
  <c r="T21" i="28"/>
  <c r="Z21" i="28" s="1"/>
  <c r="P21" i="28"/>
  <c r="H21" i="28"/>
  <c r="N21" i="28" s="1"/>
  <c r="D21" i="28"/>
  <c r="B21" i="28"/>
  <c r="T20" i="28"/>
  <c r="Z20" i="28" s="1"/>
  <c r="P20" i="28"/>
  <c r="H20" i="28"/>
  <c r="N20" i="28" s="1"/>
  <c r="D20" i="28"/>
  <c r="T16" i="28"/>
  <c r="Z16" i="28" s="1"/>
  <c r="P16" i="28"/>
  <c r="H16" i="28"/>
  <c r="N16" i="28" s="1"/>
  <c r="D16" i="28"/>
  <c r="B16" i="28"/>
  <c r="T15" i="28"/>
  <c r="Z15" i="28" s="1"/>
  <c r="P15" i="28"/>
  <c r="H15" i="28"/>
  <c r="N15" i="28" s="1"/>
  <c r="D15" i="28"/>
  <c r="T13" i="28"/>
  <c r="Z13" i="28" s="1"/>
  <c r="P13" i="28"/>
  <c r="H13" i="28"/>
  <c r="D13" i="28"/>
  <c r="B13" i="28"/>
  <c r="T12" i="28"/>
  <c r="V22" i="28" s="1"/>
  <c r="P12" i="28"/>
  <c r="R18" i="28" s="1"/>
  <c r="H12" i="28"/>
  <c r="J20" i="28" s="1"/>
  <c r="D12" i="28"/>
  <c r="F20" i="28" s="1"/>
  <c r="D5" i="28"/>
  <c r="D4" i="28"/>
  <c r="X115" i="27"/>
  <c r="Z115" i="27" s="1"/>
  <c r="N115" i="27"/>
  <c r="L115" i="27"/>
  <c r="T111" i="27"/>
  <c r="P111" i="27"/>
  <c r="X111" i="27" s="1"/>
  <c r="H111" i="27"/>
  <c r="D111" i="27"/>
  <c r="L111" i="27" s="1"/>
  <c r="N111" i="27" s="1"/>
  <c r="B111" i="27"/>
  <c r="Z110" i="27"/>
  <c r="X110" i="27"/>
  <c r="T110" i="27"/>
  <c r="P110" i="27"/>
  <c r="N110" i="27"/>
  <c r="H110" i="27"/>
  <c r="D110" i="27"/>
  <c r="L110" i="27" s="1"/>
  <c r="B110" i="27"/>
  <c r="X109" i="27"/>
  <c r="T109" i="27"/>
  <c r="Z109" i="27" s="1"/>
  <c r="P109" i="27"/>
  <c r="P108" i="27" s="1"/>
  <c r="H109" i="27"/>
  <c r="D109" i="27"/>
  <c r="L109" i="27" s="1"/>
  <c r="B109" i="27"/>
  <c r="Z106" i="27"/>
  <c r="X106" i="27"/>
  <c r="N106" i="27"/>
  <c r="L106" i="27"/>
  <c r="B106" i="27"/>
  <c r="X105" i="27"/>
  <c r="T105" i="27"/>
  <c r="Z105" i="27" s="1"/>
  <c r="P105" i="27"/>
  <c r="L105" i="27"/>
  <c r="H105" i="27"/>
  <c r="N105" i="27" s="1"/>
  <c r="D105" i="27"/>
  <c r="B105" i="27"/>
  <c r="X104" i="27"/>
  <c r="Z104" i="27" s="1"/>
  <c r="N104" i="27"/>
  <c r="L104" i="27"/>
  <c r="B104" i="27"/>
  <c r="X103" i="27"/>
  <c r="Z103" i="27" s="1"/>
  <c r="N103" i="27"/>
  <c r="L103" i="27"/>
  <c r="B103" i="27"/>
  <c r="T102" i="27"/>
  <c r="P102" i="27"/>
  <c r="X102" i="27" s="1"/>
  <c r="Z102" i="27" s="1"/>
  <c r="H102" i="27"/>
  <c r="N102" i="27" s="1"/>
  <c r="D102" i="27"/>
  <c r="L102" i="27" s="1"/>
  <c r="B102" i="27"/>
  <c r="Z101" i="27"/>
  <c r="X101" i="27"/>
  <c r="L101" i="27"/>
  <c r="N101" i="27" s="1"/>
  <c r="B101" i="27"/>
  <c r="X100" i="27"/>
  <c r="Z100" i="27" s="1"/>
  <c r="N100" i="27"/>
  <c r="L100" i="27"/>
  <c r="B100" i="27"/>
  <c r="X99" i="27"/>
  <c r="T99" i="27"/>
  <c r="Z99" i="27" s="1"/>
  <c r="P99" i="27"/>
  <c r="H99" i="27"/>
  <c r="N99" i="27" s="1"/>
  <c r="D99" i="27"/>
  <c r="L99" i="27" s="1"/>
  <c r="B99" i="27"/>
  <c r="Z98" i="27"/>
  <c r="X98" i="27"/>
  <c r="N98" i="27"/>
  <c r="L98" i="27"/>
  <c r="B98" i="27"/>
  <c r="T97" i="27"/>
  <c r="Z97" i="27" s="1"/>
  <c r="P97" i="27"/>
  <c r="X97" i="27" s="1"/>
  <c r="H97" i="27"/>
  <c r="D97" i="27"/>
  <c r="L97" i="27" s="1"/>
  <c r="N97" i="27" s="1"/>
  <c r="B97" i="27"/>
  <c r="Z96" i="27"/>
  <c r="X96" i="27"/>
  <c r="N96" i="27"/>
  <c r="L96" i="27"/>
  <c r="B96" i="27"/>
  <c r="X95" i="27"/>
  <c r="Z95" i="27" s="1"/>
  <c r="L95" i="27"/>
  <c r="N95" i="27" s="1"/>
  <c r="B95" i="27"/>
  <c r="Z94" i="27"/>
  <c r="X94" i="27"/>
  <c r="N94" i="27"/>
  <c r="L94" i="27"/>
  <c r="B94" i="27"/>
  <c r="T93" i="27"/>
  <c r="Z93" i="27" s="1"/>
  <c r="P93" i="27"/>
  <c r="X93" i="27" s="1"/>
  <c r="H93" i="27"/>
  <c r="D93" i="27"/>
  <c r="L93" i="27" s="1"/>
  <c r="N93" i="27" s="1"/>
  <c r="B93" i="27"/>
  <c r="Z92" i="27"/>
  <c r="X92" i="27"/>
  <c r="N92" i="27"/>
  <c r="L92" i="27"/>
  <c r="B92" i="27"/>
  <c r="T91" i="27"/>
  <c r="P91" i="27"/>
  <c r="X91" i="27" s="1"/>
  <c r="Z91" i="27" s="1"/>
  <c r="L91" i="27"/>
  <c r="H91" i="27"/>
  <c r="N91" i="27" s="1"/>
  <c r="D91" i="27"/>
  <c r="B91" i="27"/>
  <c r="Z90" i="27"/>
  <c r="X90" i="27"/>
  <c r="N90" i="27"/>
  <c r="L90" i="27"/>
  <c r="B90" i="27"/>
  <c r="X89" i="27"/>
  <c r="T89" i="27"/>
  <c r="Z89" i="27" s="1"/>
  <c r="P89" i="27"/>
  <c r="L89" i="27"/>
  <c r="H89" i="27"/>
  <c r="N89" i="27" s="1"/>
  <c r="D89" i="27"/>
  <c r="B89" i="27"/>
  <c r="Z88" i="27"/>
  <c r="X88" i="27"/>
  <c r="N88" i="27"/>
  <c r="L88" i="27"/>
  <c r="B88" i="27"/>
  <c r="X87" i="27"/>
  <c r="Z87" i="27" s="1"/>
  <c r="L87" i="27"/>
  <c r="N87" i="27" s="1"/>
  <c r="B87" i="27"/>
  <c r="T86" i="27"/>
  <c r="P86" i="27"/>
  <c r="X86" i="27" s="1"/>
  <c r="Z86" i="27" s="1"/>
  <c r="H86" i="27"/>
  <c r="N86" i="27" s="1"/>
  <c r="D86" i="27"/>
  <c r="L86" i="27" s="1"/>
  <c r="B86" i="27"/>
  <c r="Z85" i="27"/>
  <c r="X85" i="27"/>
  <c r="N85" i="27"/>
  <c r="L85" i="27"/>
  <c r="B85" i="27"/>
  <c r="T84" i="27"/>
  <c r="Z84" i="27" s="1"/>
  <c r="P84" i="27"/>
  <c r="X84" i="27" s="1"/>
  <c r="N84" i="27"/>
  <c r="L84" i="27"/>
  <c r="H84" i="27"/>
  <c r="D84" i="27"/>
  <c r="B84" i="27"/>
  <c r="X83" i="27"/>
  <c r="Z83" i="27" s="1"/>
  <c r="N83" i="27"/>
  <c r="L83" i="27"/>
  <c r="B83" i="27"/>
  <c r="Z82" i="27"/>
  <c r="X82" i="27"/>
  <c r="T82" i="27"/>
  <c r="P82" i="27"/>
  <c r="N82" i="27"/>
  <c r="L82" i="27"/>
  <c r="H82" i="27"/>
  <c r="D82" i="27"/>
  <c r="B82" i="27"/>
  <c r="Z81" i="27"/>
  <c r="X81" i="27"/>
  <c r="N81" i="27"/>
  <c r="L81" i="27"/>
  <c r="B81" i="27"/>
  <c r="Z80" i="27"/>
  <c r="X80" i="27"/>
  <c r="T80" i="27"/>
  <c r="P80" i="27"/>
  <c r="N80" i="27"/>
  <c r="H80" i="27"/>
  <c r="D80" i="27"/>
  <c r="L80" i="27" s="1"/>
  <c r="B80" i="27"/>
  <c r="X79" i="27"/>
  <c r="Z79" i="27" s="1"/>
  <c r="L79" i="27"/>
  <c r="N79" i="27" s="1"/>
  <c r="B79" i="27"/>
  <c r="T78" i="27"/>
  <c r="P78" i="27"/>
  <c r="X78" i="27" s="1"/>
  <c r="Z78" i="27" s="1"/>
  <c r="H78" i="27"/>
  <c r="N78" i="27" s="1"/>
  <c r="D78" i="27"/>
  <c r="L78" i="27" s="1"/>
  <c r="B78" i="27"/>
  <c r="Z77" i="27"/>
  <c r="X77" i="27"/>
  <c r="N77" i="27"/>
  <c r="L77" i="27"/>
  <c r="B77" i="27"/>
  <c r="X76" i="27"/>
  <c r="Z76" i="27" s="1"/>
  <c r="N76" i="27"/>
  <c r="L76" i="27"/>
  <c r="B76" i="27"/>
  <c r="X75" i="27"/>
  <c r="Z75" i="27" s="1"/>
  <c r="N75" i="27"/>
  <c r="L75" i="27"/>
  <c r="B75" i="27"/>
  <c r="Z74" i="27"/>
  <c r="X74" i="27"/>
  <c r="N74" i="27"/>
  <c r="L74" i="27"/>
  <c r="B74" i="27"/>
  <c r="X73" i="27"/>
  <c r="Z73" i="27" s="1"/>
  <c r="N73" i="27"/>
  <c r="L73" i="27"/>
  <c r="B73" i="27"/>
  <c r="Z72" i="27"/>
  <c r="X72" i="27"/>
  <c r="L72" i="27"/>
  <c r="N72" i="27" s="1"/>
  <c r="B72" i="27"/>
  <c r="X71" i="27"/>
  <c r="Z71" i="27" s="1"/>
  <c r="N71" i="27"/>
  <c r="L71" i="27"/>
  <c r="B71" i="27"/>
  <c r="Z70" i="27"/>
  <c r="X70" i="27"/>
  <c r="T70" i="27"/>
  <c r="P70" i="27"/>
  <c r="N70" i="27"/>
  <c r="L70" i="27"/>
  <c r="H70" i="27"/>
  <c r="D70" i="27"/>
  <c r="B70" i="27"/>
  <c r="X69" i="27"/>
  <c r="Z69" i="27" s="1"/>
  <c r="N69" i="27"/>
  <c r="L69" i="27"/>
  <c r="B69" i="27"/>
  <c r="Z68" i="27"/>
  <c r="X68" i="27"/>
  <c r="L68" i="27"/>
  <c r="N68" i="27" s="1"/>
  <c r="B68" i="27"/>
  <c r="X67" i="27"/>
  <c r="Z67" i="27" s="1"/>
  <c r="L67" i="27"/>
  <c r="N67" i="27" s="1"/>
  <c r="B67" i="27"/>
  <c r="Z66" i="27"/>
  <c r="X66" i="27"/>
  <c r="N66" i="27"/>
  <c r="L66" i="27"/>
  <c r="B66" i="27"/>
  <c r="Z65" i="27"/>
  <c r="X65" i="27"/>
  <c r="L65" i="27"/>
  <c r="N65" i="27" s="1"/>
  <c r="B65" i="27"/>
  <c r="X64" i="27"/>
  <c r="Z64" i="27" s="1"/>
  <c r="N64" i="27"/>
  <c r="L64" i="27"/>
  <c r="B64" i="27"/>
  <c r="X63" i="27"/>
  <c r="Z63" i="27" s="1"/>
  <c r="L63" i="27"/>
  <c r="N63" i="27" s="1"/>
  <c r="B63" i="27"/>
  <c r="Z62" i="27"/>
  <c r="X62" i="27"/>
  <c r="N62" i="27"/>
  <c r="L62" i="27"/>
  <c r="B62" i="27"/>
  <c r="X61" i="27"/>
  <c r="Z61" i="27" s="1"/>
  <c r="N61" i="27"/>
  <c r="L61" i="27"/>
  <c r="B61" i="27"/>
  <c r="Z60" i="27"/>
  <c r="X60" i="27"/>
  <c r="T60" i="27"/>
  <c r="P60" i="27"/>
  <c r="H60" i="27"/>
  <c r="D60" i="27"/>
  <c r="L60" i="27" s="1"/>
  <c r="N60" i="27" s="1"/>
  <c r="B60" i="27"/>
  <c r="T59" i="27"/>
  <c r="P59" i="27"/>
  <c r="X59" i="27" s="1"/>
  <c r="H59" i="27"/>
  <c r="D59" i="27"/>
  <c r="L59" i="27" s="1"/>
  <c r="Z55" i="27"/>
  <c r="X55" i="27"/>
  <c r="N55" i="27"/>
  <c r="L55" i="27"/>
  <c r="B55" i="27"/>
  <c r="Z54" i="27"/>
  <c r="X54" i="27"/>
  <c r="N54" i="27"/>
  <c r="L54" i="27"/>
  <c r="B54" i="27"/>
  <c r="X53" i="27"/>
  <c r="Z53" i="27" s="1"/>
  <c r="N53" i="27"/>
  <c r="L53" i="27"/>
  <c r="B53" i="27"/>
  <c r="Z52" i="27"/>
  <c r="X52" i="27"/>
  <c r="L52" i="27"/>
  <c r="N52" i="27" s="1"/>
  <c r="B52" i="27"/>
  <c r="X51" i="27"/>
  <c r="Z51" i="27" s="1"/>
  <c r="L51" i="27"/>
  <c r="N51" i="27" s="1"/>
  <c r="B51" i="27"/>
  <c r="Z50" i="27"/>
  <c r="X50" i="27"/>
  <c r="N50" i="27"/>
  <c r="L50" i="27"/>
  <c r="B50" i="27"/>
  <c r="Z49" i="27"/>
  <c r="X49" i="27"/>
  <c r="L49" i="27"/>
  <c r="N49" i="27" s="1"/>
  <c r="B49" i="27"/>
  <c r="X48" i="27"/>
  <c r="Z48" i="27" s="1"/>
  <c r="N48" i="27"/>
  <c r="L48" i="27"/>
  <c r="B48" i="27"/>
  <c r="X47" i="27"/>
  <c r="Z47" i="27" s="1"/>
  <c r="N47" i="27"/>
  <c r="L47" i="27"/>
  <c r="B47" i="27"/>
  <c r="Z46" i="27"/>
  <c r="X46" i="27"/>
  <c r="N46" i="27"/>
  <c r="L46" i="27"/>
  <c r="B46" i="27"/>
  <c r="X45" i="27"/>
  <c r="Z45" i="27" s="1"/>
  <c r="N45" i="27"/>
  <c r="L45" i="27"/>
  <c r="B45" i="27"/>
  <c r="Z44" i="27"/>
  <c r="X44" i="27"/>
  <c r="N44" i="27"/>
  <c r="L44" i="27"/>
  <c r="B44" i="27"/>
  <c r="X43" i="27"/>
  <c r="Z43" i="27" s="1"/>
  <c r="L43" i="27"/>
  <c r="N43" i="27" s="1"/>
  <c r="B43" i="27"/>
  <c r="Z42" i="27"/>
  <c r="X42" i="27"/>
  <c r="N42" i="27"/>
  <c r="L42" i="27"/>
  <c r="B42" i="27"/>
  <c r="Z41" i="27"/>
  <c r="X41" i="27"/>
  <c r="L41" i="27"/>
  <c r="N41" i="27" s="1"/>
  <c r="B41" i="27"/>
  <c r="X40" i="27"/>
  <c r="Z40" i="27" s="1"/>
  <c r="N40" i="27"/>
  <c r="L40" i="27"/>
  <c r="B40" i="27"/>
  <c r="Z39" i="27"/>
  <c r="X39" i="27"/>
  <c r="N39" i="27"/>
  <c r="L39" i="27"/>
  <c r="B39" i="27"/>
  <c r="T38" i="27"/>
  <c r="P38" i="27"/>
  <c r="X38" i="27" s="1"/>
  <c r="Z38" i="27" s="1"/>
  <c r="H38" i="27"/>
  <c r="N38" i="27" s="1"/>
  <c r="D38" i="27"/>
  <c r="L38" i="27" s="1"/>
  <c r="Z36" i="27"/>
  <c r="X36" i="27"/>
  <c r="T36" i="27"/>
  <c r="P36" i="27"/>
  <c r="H36" i="27"/>
  <c r="N36" i="27" s="1"/>
  <c r="D36" i="27"/>
  <c r="L36" i="27" s="1"/>
  <c r="B36" i="27"/>
  <c r="T35" i="27"/>
  <c r="P35" i="27"/>
  <c r="X35" i="27" s="1"/>
  <c r="Z35" i="27" s="1"/>
  <c r="H35" i="27"/>
  <c r="N35" i="27" s="1"/>
  <c r="D35" i="27"/>
  <c r="L35" i="27" s="1"/>
  <c r="B35" i="27"/>
  <c r="T34" i="27"/>
  <c r="P34" i="27"/>
  <c r="X34" i="27" s="1"/>
  <c r="H34" i="27"/>
  <c r="D34" i="27"/>
  <c r="B34" i="27"/>
  <c r="T33" i="27"/>
  <c r="Z33" i="27" s="1"/>
  <c r="P33" i="27"/>
  <c r="X33" i="27" s="1"/>
  <c r="L33" i="27"/>
  <c r="N33" i="27" s="1"/>
  <c r="H33" i="27"/>
  <c r="D33" i="27"/>
  <c r="B33" i="27"/>
  <c r="T32" i="27"/>
  <c r="Z32" i="27" s="1"/>
  <c r="P32" i="27"/>
  <c r="X32" i="27" s="1"/>
  <c r="N32" i="27"/>
  <c r="L32" i="27"/>
  <c r="H32" i="27"/>
  <c r="D32" i="27"/>
  <c r="B32" i="27"/>
  <c r="T31" i="27"/>
  <c r="Z31" i="27" s="1"/>
  <c r="P31" i="27"/>
  <c r="X31" i="27" s="1"/>
  <c r="N31" i="27"/>
  <c r="H31" i="27"/>
  <c r="D31" i="27"/>
  <c r="L31" i="27" s="1"/>
  <c r="B31" i="27"/>
  <c r="T30" i="27"/>
  <c r="P30" i="27"/>
  <c r="H30" i="27"/>
  <c r="N30" i="27" s="1"/>
  <c r="D30" i="27"/>
  <c r="L30" i="27" s="1"/>
  <c r="B30" i="27"/>
  <c r="X29" i="27"/>
  <c r="Z29" i="27" s="1"/>
  <c r="T29" i="27"/>
  <c r="P29" i="27"/>
  <c r="H29" i="27"/>
  <c r="N29" i="27" s="1"/>
  <c r="D29" i="27"/>
  <c r="L29" i="27" s="1"/>
  <c r="B29" i="27"/>
  <c r="Z28" i="27"/>
  <c r="X28" i="27"/>
  <c r="T28" i="27"/>
  <c r="P28" i="27"/>
  <c r="H28" i="27"/>
  <c r="N28" i="27" s="1"/>
  <c r="D28" i="27"/>
  <c r="L28" i="27" s="1"/>
  <c r="B28" i="27"/>
  <c r="T27" i="27"/>
  <c r="P27" i="27"/>
  <c r="X27" i="27" s="1"/>
  <c r="Z27" i="27" s="1"/>
  <c r="H27" i="27"/>
  <c r="N27" i="27" s="1"/>
  <c r="D27" i="27"/>
  <c r="L27" i="27" s="1"/>
  <c r="B27" i="27"/>
  <c r="T26" i="27"/>
  <c r="P26" i="27"/>
  <c r="X26" i="27" s="1"/>
  <c r="H26" i="27"/>
  <c r="D26" i="27"/>
  <c r="B26" i="27"/>
  <c r="T25" i="27"/>
  <c r="P25" i="27"/>
  <c r="X25" i="27" s="1"/>
  <c r="L25" i="27"/>
  <c r="N25" i="27" s="1"/>
  <c r="H25" i="27"/>
  <c r="D25" i="27"/>
  <c r="B25" i="27"/>
  <c r="T24" i="27"/>
  <c r="Z24" i="27" s="1"/>
  <c r="P24" i="27"/>
  <c r="X24" i="27" s="1"/>
  <c r="N24" i="27"/>
  <c r="L24" i="27"/>
  <c r="H24" i="27"/>
  <c r="D24" i="27"/>
  <c r="B24" i="27"/>
  <c r="T23" i="27"/>
  <c r="Z23" i="27" s="1"/>
  <c r="P23" i="27"/>
  <c r="X23" i="27" s="1"/>
  <c r="H23" i="27"/>
  <c r="D23" i="27"/>
  <c r="L23" i="27" s="1"/>
  <c r="N23" i="27" s="1"/>
  <c r="B23" i="27"/>
  <c r="T22" i="27"/>
  <c r="P22" i="27"/>
  <c r="H22" i="27"/>
  <c r="D22" i="27"/>
  <c r="L22" i="27" s="1"/>
  <c r="B22" i="27"/>
  <c r="X21" i="27"/>
  <c r="Z21" i="27" s="1"/>
  <c r="T21" i="27"/>
  <c r="P21" i="27"/>
  <c r="H21" i="27"/>
  <c r="N21" i="27" s="1"/>
  <c r="D21" i="27"/>
  <c r="L21" i="27" s="1"/>
  <c r="B21" i="27"/>
  <c r="Z20" i="27"/>
  <c r="X20" i="27"/>
  <c r="T20" i="27"/>
  <c r="P20" i="27"/>
  <c r="H20" i="27"/>
  <c r="D20" i="27"/>
  <c r="L20" i="27" s="1"/>
  <c r="B20" i="27"/>
  <c r="T19" i="27"/>
  <c r="P19" i="27"/>
  <c r="X19" i="27" s="1"/>
  <c r="Z19" i="27" s="1"/>
  <c r="H19" i="27"/>
  <c r="N19" i="27" s="1"/>
  <c r="D19" i="27"/>
  <c r="L19" i="27" s="1"/>
  <c r="B19" i="27"/>
  <c r="T18" i="27"/>
  <c r="P18" i="27"/>
  <c r="X18" i="27" s="1"/>
  <c r="H18" i="27"/>
  <c r="D18" i="27"/>
  <c r="B18" i="27"/>
  <c r="T17" i="27"/>
  <c r="Z17" i="27" s="1"/>
  <c r="P17" i="27"/>
  <c r="X17" i="27" s="1"/>
  <c r="N17" i="27"/>
  <c r="L17" i="27"/>
  <c r="H17" i="27"/>
  <c r="D17" i="27"/>
  <c r="B17" i="27"/>
  <c r="T16" i="27"/>
  <c r="Z16" i="27" s="1"/>
  <c r="P16" i="27"/>
  <c r="X16" i="27" s="1"/>
  <c r="N16" i="27"/>
  <c r="L16" i="27"/>
  <c r="H16" i="27"/>
  <c r="D16" i="27"/>
  <c r="B16" i="27"/>
  <c r="T15" i="27"/>
  <c r="P15" i="27"/>
  <c r="X15" i="27" s="1"/>
  <c r="H15" i="27"/>
  <c r="D15" i="27"/>
  <c r="L15" i="27" s="1"/>
  <c r="N15" i="27" s="1"/>
  <c r="B15" i="27"/>
  <c r="T14" i="27"/>
  <c r="P14" i="27"/>
  <c r="P12" i="27" s="1"/>
  <c r="H14" i="27"/>
  <c r="D14" i="27"/>
  <c r="L14" i="27" s="1"/>
  <c r="B14" i="27"/>
  <c r="X13" i="27"/>
  <c r="Z13" i="27" s="1"/>
  <c r="T13" i="27"/>
  <c r="T12" i="27" s="1"/>
  <c r="P13" i="27"/>
  <c r="H13" i="27"/>
  <c r="D13" i="27"/>
  <c r="L13" i="27" s="1"/>
  <c r="B13" i="27"/>
  <c r="D4" i="27"/>
  <c r="B39" i="26"/>
  <c r="B38" i="26"/>
  <c r="T34" i="26"/>
  <c r="Z34" i="26" s="1"/>
  <c r="P34" i="26"/>
  <c r="H34" i="26"/>
  <c r="N34" i="26" s="1"/>
  <c r="D34" i="26"/>
  <c r="T33" i="26"/>
  <c r="Z33" i="26" s="1"/>
  <c r="P33" i="26"/>
  <c r="H33" i="26"/>
  <c r="N33" i="26" s="1"/>
  <c r="D33" i="26"/>
  <c r="T29" i="26"/>
  <c r="Z29" i="26" s="1"/>
  <c r="P29" i="26"/>
  <c r="H29" i="26"/>
  <c r="N29" i="26" s="1"/>
  <c r="D29" i="26"/>
  <c r="T25" i="26"/>
  <c r="Z25" i="26" s="1"/>
  <c r="P25" i="26"/>
  <c r="H25" i="26"/>
  <c r="N25" i="26" s="1"/>
  <c r="D25" i="26"/>
  <c r="B25" i="26"/>
  <c r="T24" i="26"/>
  <c r="Z24" i="26" s="1"/>
  <c r="P24" i="26"/>
  <c r="H24" i="26"/>
  <c r="N24" i="26" s="1"/>
  <c r="D24" i="26"/>
  <c r="L24" i="26" s="1"/>
  <c r="T22" i="26"/>
  <c r="Z22" i="26" s="1"/>
  <c r="P22" i="26"/>
  <c r="H22" i="26"/>
  <c r="N22" i="26" s="1"/>
  <c r="D22" i="26"/>
  <c r="B22" i="26"/>
  <c r="T21" i="26"/>
  <c r="Z21" i="26" s="1"/>
  <c r="P21" i="26"/>
  <c r="H21" i="26"/>
  <c r="N21" i="26" s="1"/>
  <c r="D21" i="26"/>
  <c r="B21" i="26"/>
  <c r="T20" i="26"/>
  <c r="Z20" i="26" s="1"/>
  <c r="P20" i="26"/>
  <c r="H20" i="26"/>
  <c r="N20" i="26" s="1"/>
  <c r="D20" i="26"/>
  <c r="T16" i="26"/>
  <c r="Z16" i="26" s="1"/>
  <c r="P16" i="26"/>
  <c r="X16" i="26" s="1"/>
  <c r="H16" i="26"/>
  <c r="N16" i="26" s="1"/>
  <c r="D16" i="26"/>
  <c r="B16" i="26"/>
  <c r="T15" i="26"/>
  <c r="Z15" i="26" s="1"/>
  <c r="P15" i="26"/>
  <c r="H15" i="26"/>
  <c r="N15" i="26" s="1"/>
  <c r="D15" i="26"/>
  <c r="T13" i="26"/>
  <c r="Z13" i="26" s="1"/>
  <c r="P13" i="26"/>
  <c r="H13" i="26"/>
  <c r="N13" i="26" s="1"/>
  <c r="D13" i="26"/>
  <c r="B13" i="26"/>
  <c r="T12" i="26"/>
  <c r="V34" i="26" s="1"/>
  <c r="P12" i="26"/>
  <c r="R20" i="26" s="1"/>
  <c r="H12" i="26"/>
  <c r="J21" i="26" s="1"/>
  <c r="D12" i="26"/>
  <c r="F34" i="26" s="1"/>
  <c r="D5" i="26"/>
  <c r="D4" i="26"/>
  <c r="B39" i="25"/>
  <c r="B38" i="25"/>
  <c r="T34" i="25"/>
  <c r="Z34" i="25" s="1"/>
  <c r="P34" i="25"/>
  <c r="H34" i="25"/>
  <c r="N34" i="25" s="1"/>
  <c r="D34" i="25"/>
  <c r="L34" i="25" s="1"/>
  <c r="T33" i="25"/>
  <c r="Z33" i="25" s="1"/>
  <c r="P33" i="25"/>
  <c r="H33" i="25"/>
  <c r="N33" i="25" s="1"/>
  <c r="D33" i="25"/>
  <c r="T29" i="25"/>
  <c r="Z29" i="25" s="1"/>
  <c r="P29" i="25"/>
  <c r="H29" i="25"/>
  <c r="N29" i="25" s="1"/>
  <c r="D29" i="25"/>
  <c r="L29" i="25" s="1"/>
  <c r="T25" i="25"/>
  <c r="Z25" i="25" s="1"/>
  <c r="P25" i="25"/>
  <c r="H25" i="25"/>
  <c r="N25" i="25" s="1"/>
  <c r="D25" i="25"/>
  <c r="B25" i="25"/>
  <c r="T24" i="25"/>
  <c r="Z24" i="25" s="1"/>
  <c r="P24" i="25"/>
  <c r="H24" i="25"/>
  <c r="N24" i="25" s="1"/>
  <c r="D24" i="25"/>
  <c r="T22" i="25"/>
  <c r="Z22" i="25" s="1"/>
  <c r="P22" i="25"/>
  <c r="H22" i="25"/>
  <c r="N22" i="25" s="1"/>
  <c r="D22" i="25"/>
  <c r="B22" i="25"/>
  <c r="T21" i="25"/>
  <c r="Z21" i="25" s="1"/>
  <c r="P21" i="25"/>
  <c r="H21" i="25"/>
  <c r="N21" i="25" s="1"/>
  <c r="D21" i="25"/>
  <c r="B21" i="25"/>
  <c r="T20" i="25"/>
  <c r="Z20" i="25" s="1"/>
  <c r="P20" i="25"/>
  <c r="H20" i="25"/>
  <c r="N20" i="25" s="1"/>
  <c r="D20" i="25"/>
  <c r="T16" i="25"/>
  <c r="Z16" i="25" s="1"/>
  <c r="P16" i="25"/>
  <c r="H16" i="25"/>
  <c r="N16" i="25" s="1"/>
  <c r="D16" i="25"/>
  <c r="B16" i="25"/>
  <c r="T15" i="25"/>
  <c r="Z15" i="25" s="1"/>
  <c r="P15" i="25"/>
  <c r="H15" i="25"/>
  <c r="N15" i="25" s="1"/>
  <c r="D15" i="25"/>
  <c r="T13" i="25"/>
  <c r="Z13" i="25" s="1"/>
  <c r="P13" i="25"/>
  <c r="H13" i="25"/>
  <c r="N13" i="25" s="1"/>
  <c r="D13" i="25"/>
  <c r="B13" i="25"/>
  <c r="T12" i="25"/>
  <c r="V34" i="25" s="1"/>
  <c r="P12" i="25"/>
  <c r="R22" i="25" s="1"/>
  <c r="H12" i="25"/>
  <c r="J24" i="25" s="1"/>
  <c r="D12" i="25"/>
  <c r="F20" i="25" s="1"/>
  <c r="D5" i="25"/>
  <c r="D4" i="25"/>
  <c r="X89" i="24"/>
  <c r="Z89" i="24" s="1"/>
  <c r="L89" i="24"/>
  <c r="N89" i="24" s="1"/>
  <c r="Z85" i="24"/>
  <c r="X85" i="24"/>
  <c r="T85" i="24"/>
  <c r="P85" i="24"/>
  <c r="H85" i="24"/>
  <c r="N85" i="24" s="1"/>
  <c r="D85" i="24"/>
  <c r="X83" i="24"/>
  <c r="Z83" i="24" s="1"/>
  <c r="N83" i="24"/>
  <c r="L83" i="24"/>
  <c r="B83" i="24"/>
  <c r="T82" i="24"/>
  <c r="P82" i="24"/>
  <c r="X82" i="24" s="1"/>
  <c r="Z82" i="24" s="1"/>
  <c r="H82" i="24"/>
  <c r="N82" i="24" s="1"/>
  <c r="D82" i="24"/>
  <c r="L82" i="24" s="1"/>
  <c r="B82" i="24"/>
  <c r="Z81" i="24"/>
  <c r="X81" i="24"/>
  <c r="L81" i="24"/>
  <c r="N81" i="24" s="1"/>
  <c r="B81" i="24"/>
  <c r="T80" i="24"/>
  <c r="P80" i="24"/>
  <c r="X80" i="24" s="1"/>
  <c r="N80" i="24"/>
  <c r="L80" i="24"/>
  <c r="H80" i="24"/>
  <c r="D80" i="24"/>
  <c r="B80" i="24"/>
  <c r="X79" i="24"/>
  <c r="Z79" i="24" s="1"/>
  <c r="N79" i="24"/>
  <c r="L79" i="24"/>
  <c r="B79" i="24"/>
  <c r="Z78" i="24"/>
  <c r="X78" i="24"/>
  <c r="N78" i="24"/>
  <c r="L78" i="24"/>
  <c r="B78" i="24"/>
  <c r="Z77" i="24"/>
  <c r="X77" i="24"/>
  <c r="N77" i="24"/>
  <c r="L77" i="24"/>
  <c r="B77" i="24"/>
  <c r="Z76" i="24"/>
  <c r="X76" i="24"/>
  <c r="N76" i="24"/>
  <c r="L76" i="24"/>
  <c r="B76" i="24"/>
  <c r="T75" i="24"/>
  <c r="Z75" i="24" s="1"/>
  <c r="P75" i="24"/>
  <c r="X75" i="24" s="1"/>
  <c r="H75" i="24"/>
  <c r="N75" i="24" s="1"/>
  <c r="D75" i="24"/>
  <c r="L75" i="24" s="1"/>
  <c r="B75" i="24"/>
  <c r="Z74" i="24"/>
  <c r="X74" i="24"/>
  <c r="N74" i="24"/>
  <c r="L74" i="24"/>
  <c r="B74" i="24"/>
  <c r="Z73" i="24"/>
  <c r="X73" i="24"/>
  <c r="N73" i="24"/>
  <c r="L73" i="24"/>
  <c r="B73" i="24"/>
  <c r="T72" i="24"/>
  <c r="P72" i="24"/>
  <c r="X72" i="24" s="1"/>
  <c r="Z72" i="24" s="1"/>
  <c r="N72" i="24"/>
  <c r="L72" i="24"/>
  <c r="H72" i="24"/>
  <c r="D72" i="24"/>
  <c r="B72" i="24"/>
  <c r="Z71" i="24"/>
  <c r="X71" i="24"/>
  <c r="N71" i="24"/>
  <c r="L71" i="24"/>
  <c r="B71" i="24"/>
  <c r="Z70" i="24"/>
  <c r="X70" i="24"/>
  <c r="N70" i="24"/>
  <c r="L70" i="24"/>
  <c r="B70" i="24"/>
  <c r="T69" i="24"/>
  <c r="Z69" i="24" s="1"/>
  <c r="P69" i="24"/>
  <c r="X69" i="24" s="1"/>
  <c r="L69" i="24"/>
  <c r="N69" i="24" s="1"/>
  <c r="H69" i="24"/>
  <c r="D69" i="24"/>
  <c r="B69" i="24"/>
  <c r="Z68" i="24"/>
  <c r="X68" i="24"/>
  <c r="N68" i="24"/>
  <c r="L68" i="24"/>
  <c r="B68" i="24"/>
  <c r="Z67" i="24"/>
  <c r="X67" i="24"/>
  <c r="T67" i="24"/>
  <c r="P67" i="24"/>
  <c r="H67" i="24"/>
  <c r="N67" i="24" s="1"/>
  <c r="D67" i="24"/>
  <c r="B67" i="24"/>
  <c r="Z66" i="24"/>
  <c r="X66" i="24"/>
  <c r="N66" i="24"/>
  <c r="L66" i="24"/>
  <c r="B66" i="24"/>
  <c r="T65" i="24"/>
  <c r="P65" i="24"/>
  <c r="H65" i="24"/>
  <c r="D65" i="24"/>
  <c r="L65" i="24" s="1"/>
  <c r="B65" i="24"/>
  <c r="Z64" i="24"/>
  <c r="X64" i="24"/>
  <c r="N64" i="24"/>
  <c r="L64" i="24"/>
  <c r="B64" i="24"/>
  <c r="Z63" i="24"/>
  <c r="X63" i="24"/>
  <c r="N63" i="24"/>
  <c r="L63" i="24"/>
  <c r="B63" i="24"/>
  <c r="Z62" i="24"/>
  <c r="T62" i="24"/>
  <c r="P62" i="24"/>
  <c r="X62" i="24" s="1"/>
  <c r="N62" i="24"/>
  <c r="H62" i="24"/>
  <c r="D62" i="24"/>
  <c r="L62" i="24" s="1"/>
  <c r="B62" i="24"/>
  <c r="Z61" i="24"/>
  <c r="X61" i="24"/>
  <c r="N61" i="24"/>
  <c r="L61" i="24"/>
  <c r="B61" i="24"/>
  <c r="Z60" i="24"/>
  <c r="X60" i="24"/>
  <c r="N60" i="24"/>
  <c r="L60" i="24"/>
  <c r="B60" i="24"/>
  <c r="T59" i="24"/>
  <c r="Z59" i="24" s="1"/>
  <c r="P59" i="24"/>
  <c r="X59" i="24" s="1"/>
  <c r="H59" i="24"/>
  <c r="N59" i="24" s="1"/>
  <c r="D59" i="24"/>
  <c r="L59" i="24" s="1"/>
  <c r="B59" i="24"/>
  <c r="Z58" i="24"/>
  <c r="X58" i="24"/>
  <c r="N58" i="24"/>
  <c r="L58" i="24"/>
  <c r="B58" i="24"/>
  <c r="T57" i="24"/>
  <c r="P57" i="24"/>
  <c r="X57" i="24" s="1"/>
  <c r="N57" i="24"/>
  <c r="L57" i="24"/>
  <c r="H57" i="24"/>
  <c r="D57" i="24"/>
  <c r="B57" i="24"/>
  <c r="Z56" i="24"/>
  <c r="X56" i="24"/>
  <c r="N56" i="24"/>
  <c r="L56" i="24"/>
  <c r="B56" i="24"/>
  <c r="X55" i="24"/>
  <c r="Z55" i="24" s="1"/>
  <c r="T55" i="24"/>
  <c r="P55" i="24"/>
  <c r="H55" i="24"/>
  <c r="N55" i="24" s="1"/>
  <c r="D55" i="24"/>
  <c r="B55" i="24"/>
  <c r="Z54" i="24"/>
  <c r="X54" i="24"/>
  <c r="N54" i="24"/>
  <c r="L54" i="24"/>
  <c r="B54" i="24"/>
  <c r="X53" i="24"/>
  <c r="Z53" i="24" s="1"/>
  <c r="N53" i="24"/>
  <c r="L53" i="24"/>
  <c r="B53" i="24"/>
  <c r="Z52" i="24"/>
  <c r="X52" i="24"/>
  <c r="N52" i="24"/>
  <c r="L52" i="24"/>
  <c r="B52" i="24"/>
  <c r="Z51" i="24"/>
  <c r="X51" i="24"/>
  <c r="N51" i="24"/>
  <c r="L51" i="24"/>
  <c r="B51" i="24"/>
  <c r="Z50" i="24"/>
  <c r="T50" i="24"/>
  <c r="P50" i="24"/>
  <c r="X50" i="24" s="1"/>
  <c r="N50" i="24"/>
  <c r="L50" i="24"/>
  <c r="H50" i="24"/>
  <c r="D50" i="24"/>
  <c r="B50" i="24"/>
  <c r="X49" i="24"/>
  <c r="Z49" i="24" s="1"/>
  <c r="N49" i="24"/>
  <c r="L49" i="24"/>
  <c r="B49" i="24"/>
  <c r="Z48" i="24"/>
  <c r="X48" i="24"/>
  <c r="N48" i="24"/>
  <c r="L48" i="24"/>
  <c r="B48" i="24"/>
  <c r="X47" i="24"/>
  <c r="Z47" i="24" s="1"/>
  <c r="N47" i="24"/>
  <c r="L47" i="24"/>
  <c r="B47" i="24"/>
  <c r="Z46" i="24"/>
  <c r="X46" i="24"/>
  <c r="N46" i="24"/>
  <c r="L46" i="24"/>
  <c r="B46" i="24"/>
  <c r="T45" i="24"/>
  <c r="P45" i="24"/>
  <c r="X45" i="24" s="1"/>
  <c r="N45" i="24"/>
  <c r="L45" i="24"/>
  <c r="H45" i="24"/>
  <c r="D45" i="24"/>
  <c r="B45" i="24"/>
  <c r="Z44" i="24"/>
  <c r="X44" i="24"/>
  <c r="T44" i="24"/>
  <c r="P44" i="24"/>
  <c r="H44" i="24"/>
  <c r="D44" i="24"/>
  <c r="L44" i="24" s="1"/>
  <c r="Z40" i="24"/>
  <c r="X40" i="24"/>
  <c r="L40" i="24"/>
  <c r="N40" i="24" s="1"/>
  <c r="B40" i="24"/>
  <c r="Z39" i="24"/>
  <c r="X39" i="24"/>
  <c r="N39" i="24"/>
  <c r="L39" i="24"/>
  <c r="B39" i="24"/>
  <c r="Z38" i="24"/>
  <c r="X38" i="24"/>
  <c r="N38" i="24"/>
  <c r="L38" i="24"/>
  <c r="B38" i="24"/>
  <c r="Z37" i="24"/>
  <c r="X37" i="24"/>
  <c r="N37" i="24"/>
  <c r="L37" i="24"/>
  <c r="B37" i="24"/>
  <c r="Z36" i="24"/>
  <c r="X36" i="24"/>
  <c r="N36" i="24"/>
  <c r="L36" i="24"/>
  <c r="B36" i="24"/>
  <c r="X35" i="24"/>
  <c r="Z35" i="24" s="1"/>
  <c r="L35" i="24"/>
  <c r="N35" i="24" s="1"/>
  <c r="B35" i="24"/>
  <c r="Z34" i="24"/>
  <c r="X34" i="24"/>
  <c r="N34" i="24"/>
  <c r="L34" i="24"/>
  <c r="B34" i="24"/>
  <c r="X33" i="24"/>
  <c r="Z33" i="24" s="1"/>
  <c r="N33" i="24"/>
  <c r="L33" i="24"/>
  <c r="B33" i="24"/>
  <c r="Z32" i="24"/>
  <c r="X32" i="24"/>
  <c r="L32" i="24"/>
  <c r="N32" i="24" s="1"/>
  <c r="B32" i="24"/>
  <c r="Z31" i="24"/>
  <c r="X31" i="24"/>
  <c r="N31" i="24"/>
  <c r="L31" i="24"/>
  <c r="B31" i="24"/>
  <c r="Z30" i="24"/>
  <c r="X30" i="24"/>
  <c r="T30" i="24"/>
  <c r="P30" i="24"/>
  <c r="N30" i="24"/>
  <c r="L30" i="24"/>
  <c r="H30" i="24"/>
  <c r="D30" i="24"/>
  <c r="T28" i="24"/>
  <c r="Z28" i="24" s="1"/>
  <c r="P28" i="24"/>
  <c r="X28" i="24" s="1"/>
  <c r="N28" i="24"/>
  <c r="L28" i="24"/>
  <c r="H28" i="24"/>
  <c r="D28" i="24"/>
  <c r="B28" i="24"/>
  <c r="X27" i="24"/>
  <c r="T27" i="24"/>
  <c r="P27" i="24"/>
  <c r="N27" i="24"/>
  <c r="H27" i="24"/>
  <c r="D27" i="24"/>
  <c r="L27" i="24" s="1"/>
  <c r="B27" i="24"/>
  <c r="T26" i="24"/>
  <c r="X26" i="24" s="1"/>
  <c r="P26" i="24"/>
  <c r="H26" i="24"/>
  <c r="N26" i="24" s="1"/>
  <c r="D26" i="24"/>
  <c r="B26" i="24"/>
  <c r="Z25" i="24"/>
  <c r="X25" i="24"/>
  <c r="T25" i="24"/>
  <c r="P25" i="24"/>
  <c r="N25" i="24"/>
  <c r="H25" i="24"/>
  <c r="D25" i="24"/>
  <c r="L25" i="24" s="1"/>
  <c r="B25" i="24"/>
  <c r="Z24" i="24"/>
  <c r="X24" i="24"/>
  <c r="T24" i="24"/>
  <c r="P24" i="24"/>
  <c r="H24" i="24"/>
  <c r="N24" i="24" s="1"/>
  <c r="D24" i="24"/>
  <c r="L24" i="24" s="1"/>
  <c r="B24" i="24"/>
  <c r="Z23" i="24"/>
  <c r="T23" i="24"/>
  <c r="P23" i="24"/>
  <c r="X23" i="24" s="1"/>
  <c r="L23" i="24"/>
  <c r="H23" i="24"/>
  <c r="N23" i="24" s="1"/>
  <c r="D23" i="24"/>
  <c r="B23" i="24"/>
  <c r="T22" i="24"/>
  <c r="P22" i="24"/>
  <c r="H22" i="24"/>
  <c r="L22" i="24" s="1"/>
  <c r="D22" i="24"/>
  <c r="B22" i="24"/>
  <c r="Z21" i="24"/>
  <c r="T21" i="24"/>
  <c r="P21" i="24"/>
  <c r="X21" i="24" s="1"/>
  <c r="N21" i="24"/>
  <c r="L21" i="24"/>
  <c r="H21" i="24"/>
  <c r="D21" i="24"/>
  <c r="B21" i="24"/>
  <c r="T20" i="24"/>
  <c r="Z20" i="24" s="1"/>
  <c r="P20" i="24"/>
  <c r="X20" i="24" s="1"/>
  <c r="N20" i="24"/>
  <c r="L20" i="24"/>
  <c r="H20" i="24"/>
  <c r="D20" i="24"/>
  <c r="B20" i="24"/>
  <c r="X19" i="24"/>
  <c r="T19" i="24"/>
  <c r="P19" i="24"/>
  <c r="N19" i="24"/>
  <c r="H19" i="24"/>
  <c r="D19" i="24"/>
  <c r="L19" i="24" s="1"/>
  <c r="B19" i="24"/>
  <c r="T18" i="24"/>
  <c r="X18" i="24" s="1"/>
  <c r="P18" i="24"/>
  <c r="H18" i="24"/>
  <c r="N18" i="24" s="1"/>
  <c r="D18" i="24"/>
  <c r="L18" i="24" s="1"/>
  <c r="B18" i="24"/>
  <c r="X17" i="24"/>
  <c r="Z17" i="24" s="1"/>
  <c r="T17" i="24"/>
  <c r="P17" i="24"/>
  <c r="H17" i="24"/>
  <c r="N17" i="24" s="1"/>
  <c r="D17" i="24"/>
  <c r="L17" i="24" s="1"/>
  <c r="B17" i="24"/>
  <c r="Z16" i="24"/>
  <c r="X16" i="24"/>
  <c r="T16" i="24"/>
  <c r="P16" i="24"/>
  <c r="H16" i="24"/>
  <c r="N16" i="24" s="1"/>
  <c r="D16" i="24"/>
  <c r="L16" i="24" s="1"/>
  <c r="B16" i="24"/>
  <c r="T15" i="24"/>
  <c r="P15" i="24"/>
  <c r="X15" i="24" s="1"/>
  <c r="Z15" i="24" s="1"/>
  <c r="L15" i="24"/>
  <c r="H15" i="24"/>
  <c r="N15" i="24" s="1"/>
  <c r="D15" i="24"/>
  <c r="B15" i="24"/>
  <c r="T14" i="24"/>
  <c r="Z14" i="24" s="1"/>
  <c r="P14" i="24"/>
  <c r="X14" i="24" s="1"/>
  <c r="H14" i="24"/>
  <c r="L14" i="24" s="1"/>
  <c r="D14" i="24"/>
  <c r="D12" i="24" s="1"/>
  <c r="F31" i="24" s="1"/>
  <c r="B14" i="24"/>
  <c r="T13" i="24"/>
  <c r="P13" i="24"/>
  <c r="N13" i="24"/>
  <c r="L13" i="24"/>
  <c r="H13" i="24"/>
  <c r="D13" i="24"/>
  <c r="B13" i="24"/>
  <c r="D4" i="24"/>
  <c r="B39" i="23"/>
  <c r="B38" i="23"/>
  <c r="T34" i="23"/>
  <c r="Z34" i="23" s="1"/>
  <c r="P34" i="23"/>
  <c r="H34" i="23"/>
  <c r="N34" i="23" s="1"/>
  <c r="D34" i="23"/>
  <c r="T33" i="23"/>
  <c r="Z33" i="23" s="1"/>
  <c r="P33" i="23"/>
  <c r="H33" i="23"/>
  <c r="N33" i="23" s="1"/>
  <c r="D33" i="23"/>
  <c r="T29" i="23"/>
  <c r="Z29" i="23" s="1"/>
  <c r="P29" i="23"/>
  <c r="H29" i="23"/>
  <c r="N29" i="23" s="1"/>
  <c r="D29" i="23"/>
  <c r="T25" i="23"/>
  <c r="Z25" i="23" s="1"/>
  <c r="P25" i="23"/>
  <c r="H25" i="23"/>
  <c r="N25" i="23" s="1"/>
  <c r="D25" i="23"/>
  <c r="B25" i="23"/>
  <c r="T24" i="23"/>
  <c r="Z24" i="23" s="1"/>
  <c r="P24" i="23"/>
  <c r="H24" i="23"/>
  <c r="N24" i="23" s="1"/>
  <c r="D24" i="23"/>
  <c r="T22" i="23"/>
  <c r="P22" i="23"/>
  <c r="H22" i="23"/>
  <c r="N22" i="23" s="1"/>
  <c r="D22" i="23"/>
  <c r="B22" i="23"/>
  <c r="T21" i="23"/>
  <c r="Z21" i="23" s="1"/>
  <c r="P21" i="23"/>
  <c r="H21" i="23"/>
  <c r="N21" i="23" s="1"/>
  <c r="D21" i="23"/>
  <c r="B21" i="23"/>
  <c r="T20" i="23"/>
  <c r="Z20" i="23" s="1"/>
  <c r="P20" i="23"/>
  <c r="H20" i="23"/>
  <c r="N20" i="23" s="1"/>
  <c r="D20" i="23"/>
  <c r="T16" i="23"/>
  <c r="Z16" i="23" s="1"/>
  <c r="P16" i="23"/>
  <c r="H16" i="23"/>
  <c r="D16" i="23"/>
  <c r="B16" i="23"/>
  <c r="T15" i="23"/>
  <c r="Z15" i="23" s="1"/>
  <c r="P15" i="23"/>
  <c r="H15" i="23"/>
  <c r="N15" i="23" s="1"/>
  <c r="D15" i="23"/>
  <c r="T13" i="23"/>
  <c r="Z13" i="23" s="1"/>
  <c r="P13" i="23"/>
  <c r="H13" i="23"/>
  <c r="N13" i="23" s="1"/>
  <c r="D13" i="23"/>
  <c r="B13" i="23"/>
  <c r="T12" i="23"/>
  <c r="V21" i="23" s="1"/>
  <c r="P12" i="23"/>
  <c r="R31" i="23" s="1"/>
  <c r="H12" i="23"/>
  <c r="J20" i="23" s="1"/>
  <c r="D12" i="23"/>
  <c r="F36" i="23" s="1"/>
  <c r="D5" i="23"/>
  <c r="D4" i="23"/>
  <c r="B39" i="22"/>
  <c r="B38" i="22"/>
  <c r="T34" i="22"/>
  <c r="Z34" i="22" s="1"/>
  <c r="P34" i="22"/>
  <c r="H34" i="22"/>
  <c r="N34" i="22" s="1"/>
  <c r="D34" i="22"/>
  <c r="T33" i="22"/>
  <c r="Z33" i="22" s="1"/>
  <c r="P33" i="22"/>
  <c r="H33" i="22"/>
  <c r="N33" i="22" s="1"/>
  <c r="D33" i="22"/>
  <c r="T29" i="22"/>
  <c r="Z29" i="22" s="1"/>
  <c r="P29" i="22"/>
  <c r="H29" i="22"/>
  <c r="N29" i="22" s="1"/>
  <c r="D29" i="22"/>
  <c r="T25" i="22"/>
  <c r="Z25" i="22" s="1"/>
  <c r="P25" i="22"/>
  <c r="H25" i="22"/>
  <c r="N25" i="22" s="1"/>
  <c r="D25" i="22"/>
  <c r="B25" i="22"/>
  <c r="T24" i="22"/>
  <c r="Z24" i="22" s="1"/>
  <c r="P24" i="22"/>
  <c r="H24" i="22"/>
  <c r="N24" i="22" s="1"/>
  <c r="D24" i="22"/>
  <c r="T22" i="22"/>
  <c r="Z22" i="22" s="1"/>
  <c r="P22" i="22"/>
  <c r="H22" i="22"/>
  <c r="N22" i="22" s="1"/>
  <c r="D22" i="22"/>
  <c r="B22" i="22"/>
  <c r="T21" i="22"/>
  <c r="Z21" i="22" s="1"/>
  <c r="P21" i="22"/>
  <c r="H21" i="22"/>
  <c r="N21" i="22" s="1"/>
  <c r="D21" i="22"/>
  <c r="B21" i="22"/>
  <c r="T20" i="22"/>
  <c r="Z20" i="22" s="1"/>
  <c r="P20" i="22"/>
  <c r="H20" i="22"/>
  <c r="N20" i="22" s="1"/>
  <c r="D20" i="22"/>
  <c r="T16" i="22"/>
  <c r="Z16" i="22" s="1"/>
  <c r="P16" i="22"/>
  <c r="H16" i="22"/>
  <c r="N16" i="22" s="1"/>
  <c r="D16" i="22"/>
  <c r="B16" i="22"/>
  <c r="T15" i="22"/>
  <c r="Z15" i="22" s="1"/>
  <c r="P15" i="22"/>
  <c r="H15" i="22"/>
  <c r="N15" i="22" s="1"/>
  <c r="D15" i="22"/>
  <c r="T13" i="22"/>
  <c r="Z13" i="22" s="1"/>
  <c r="P13" i="22"/>
  <c r="H13" i="22"/>
  <c r="N13" i="22" s="1"/>
  <c r="D13" i="22"/>
  <c r="B13" i="22"/>
  <c r="T12" i="22"/>
  <c r="V36" i="22" s="1"/>
  <c r="P12" i="22"/>
  <c r="R36" i="22" s="1"/>
  <c r="H12" i="22"/>
  <c r="J24" i="22" s="1"/>
  <c r="D12" i="22"/>
  <c r="F36" i="22" s="1"/>
  <c r="D5" i="22"/>
  <c r="D4" i="22"/>
  <c r="Z88" i="21"/>
  <c r="X88" i="21"/>
  <c r="N88" i="21"/>
  <c r="L88" i="21"/>
  <c r="T84" i="21"/>
  <c r="Z84" i="21" s="1"/>
  <c r="P84" i="21"/>
  <c r="N84" i="21"/>
  <c r="H84" i="21"/>
  <c r="D84" i="21"/>
  <c r="L84" i="21" s="1"/>
  <c r="Z82" i="21"/>
  <c r="X82" i="21"/>
  <c r="N82" i="21"/>
  <c r="L82" i="21"/>
  <c r="B82" i="21"/>
  <c r="T81" i="21"/>
  <c r="P81" i="21"/>
  <c r="X81" i="21" s="1"/>
  <c r="H81" i="21"/>
  <c r="D81" i="21"/>
  <c r="L81" i="21" s="1"/>
  <c r="N81" i="21" s="1"/>
  <c r="B81" i="21"/>
  <c r="X80" i="21"/>
  <c r="Z80" i="21" s="1"/>
  <c r="N80" i="21"/>
  <c r="L80" i="21"/>
  <c r="B80" i="21"/>
  <c r="T79" i="21"/>
  <c r="P79" i="21"/>
  <c r="X79" i="21" s="1"/>
  <c r="Z79" i="21" s="1"/>
  <c r="L79" i="21"/>
  <c r="H79" i="21"/>
  <c r="N79" i="21" s="1"/>
  <c r="D79" i="21"/>
  <c r="B79" i="21"/>
  <c r="Z78" i="21"/>
  <c r="X78" i="21"/>
  <c r="N78" i="21"/>
  <c r="L78" i="21"/>
  <c r="B78" i="21"/>
  <c r="X77" i="21"/>
  <c r="Z77" i="21" s="1"/>
  <c r="N77" i="21"/>
  <c r="L77" i="21"/>
  <c r="B77" i="21"/>
  <c r="X76" i="21"/>
  <c r="Z76" i="21" s="1"/>
  <c r="N76" i="21"/>
  <c r="L76" i="21"/>
  <c r="B76" i="21"/>
  <c r="Z75" i="21"/>
  <c r="X75" i="21"/>
  <c r="N75" i="21"/>
  <c r="L75" i="21"/>
  <c r="B75" i="21"/>
  <c r="Z74" i="21"/>
  <c r="X74" i="21"/>
  <c r="N74" i="21"/>
  <c r="L74" i="21"/>
  <c r="B74" i="21"/>
  <c r="T73" i="21"/>
  <c r="P73" i="21"/>
  <c r="X73" i="21" s="1"/>
  <c r="N73" i="21"/>
  <c r="H73" i="21"/>
  <c r="D73" i="21"/>
  <c r="L73" i="21" s="1"/>
  <c r="B73" i="21"/>
  <c r="Z72" i="21"/>
  <c r="X72" i="21"/>
  <c r="N72" i="21"/>
  <c r="L72" i="21"/>
  <c r="B72" i="21"/>
  <c r="Z71" i="21"/>
  <c r="X71" i="21"/>
  <c r="N71" i="21"/>
  <c r="L71" i="21"/>
  <c r="B71" i="21"/>
  <c r="Z70" i="21"/>
  <c r="X70" i="21"/>
  <c r="N70" i="21"/>
  <c r="L70" i="21"/>
  <c r="B70" i="21"/>
  <c r="X69" i="21"/>
  <c r="Z69" i="21" s="1"/>
  <c r="L69" i="21"/>
  <c r="N69" i="21" s="1"/>
  <c r="B69" i="21"/>
  <c r="T68" i="21"/>
  <c r="P68" i="21"/>
  <c r="X68" i="21" s="1"/>
  <c r="Z68" i="21" s="1"/>
  <c r="H68" i="21"/>
  <c r="D68" i="21"/>
  <c r="L68" i="21" s="1"/>
  <c r="N68" i="21" s="1"/>
  <c r="B68" i="21"/>
  <c r="Z67" i="21"/>
  <c r="X67" i="21"/>
  <c r="N67" i="21"/>
  <c r="L67" i="21"/>
  <c r="B67" i="21"/>
  <c r="T66" i="21"/>
  <c r="P66" i="21"/>
  <c r="X66" i="21" s="1"/>
  <c r="Z66" i="21" s="1"/>
  <c r="N66" i="21"/>
  <c r="L66" i="21"/>
  <c r="H66" i="21"/>
  <c r="D66" i="21"/>
  <c r="B66" i="21"/>
  <c r="X65" i="21"/>
  <c r="Z65" i="21" s="1"/>
  <c r="N65" i="21"/>
  <c r="L65" i="21"/>
  <c r="B65" i="21"/>
  <c r="X64" i="21"/>
  <c r="Z64" i="21" s="1"/>
  <c r="L64" i="21"/>
  <c r="N64" i="21" s="1"/>
  <c r="B64" i="21"/>
  <c r="T63" i="21"/>
  <c r="P63" i="21"/>
  <c r="X63" i="21" s="1"/>
  <c r="Z63" i="21" s="1"/>
  <c r="L63" i="21"/>
  <c r="H63" i="21"/>
  <c r="N63" i="21" s="1"/>
  <c r="D63" i="21"/>
  <c r="B63" i="21"/>
  <c r="Z62" i="21"/>
  <c r="X62" i="21"/>
  <c r="N62" i="21"/>
  <c r="L62" i="21"/>
  <c r="B62" i="21"/>
  <c r="X61" i="21"/>
  <c r="T61" i="21"/>
  <c r="Z61" i="21" s="1"/>
  <c r="P61" i="21"/>
  <c r="L61" i="21"/>
  <c r="H61" i="21"/>
  <c r="N61" i="21" s="1"/>
  <c r="D61" i="21"/>
  <c r="B61" i="21"/>
  <c r="X60" i="21"/>
  <c r="Z60" i="21" s="1"/>
  <c r="N60" i="21"/>
  <c r="L60" i="21"/>
  <c r="B60" i="21"/>
  <c r="T59" i="21"/>
  <c r="P59" i="21"/>
  <c r="H59" i="21"/>
  <c r="D59" i="21"/>
  <c r="L59" i="21" s="1"/>
  <c r="B59" i="21"/>
  <c r="Z58" i="21"/>
  <c r="X58" i="21"/>
  <c r="N58" i="21"/>
  <c r="L58" i="21"/>
  <c r="B58" i="21"/>
  <c r="T57" i="21"/>
  <c r="P57" i="21"/>
  <c r="X57" i="21" s="1"/>
  <c r="H57" i="21"/>
  <c r="D57" i="21"/>
  <c r="L57" i="21" s="1"/>
  <c r="N57" i="21" s="1"/>
  <c r="B57" i="21"/>
  <c r="Z56" i="21"/>
  <c r="X56" i="21"/>
  <c r="N56" i="21"/>
  <c r="L56" i="21"/>
  <c r="B56" i="21"/>
  <c r="T55" i="21"/>
  <c r="P55" i="21"/>
  <c r="X55" i="21" s="1"/>
  <c r="Z55" i="21" s="1"/>
  <c r="L55" i="21"/>
  <c r="H55" i="21"/>
  <c r="N55" i="21" s="1"/>
  <c r="D55" i="21"/>
  <c r="B55" i="21"/>
  <c r="Z54" i="21"/>
  <c r="X54" i="21"/>
  <c r="N54" i="21"/>
  <c r="L54" i="21"/>
  <c r="B54" i="21"/>
  <c r="X53" i="21"/>
  <c r="T53" i="21"/>
  <c r="Z53" i="21" s="1"/>
  <c r="P53" i="21"/>
  <c r="H53" i="21"/>
  <c r="D53" i="21"/>
  <c r="B53" i="21"/>
  <c r="Z52" i="21"/>
  <c r="X52" i="21"/>
  <c r="N52" i="21"/>
  <c r="L52" i="21"/>
  <c r="B52" i="21"/>
  <c r="X51" i="21"/>
  <c r="Z51" i="21" s="1"/>
  <c r="N51" i="21"/>
  <c r="L51" i="21"/>
  <c r="B51" i="21"/>
  <c r="T50" i="21"/>
  <c r="P50" i="21"/>
  <c r="X50" i="21" s="1"/>
  <c r="Z50" i="21" s="1"/>
  <c r="H50" i="21"/>
  <c r="D50" i="21"/>
  <c r="L50" i="21" s="1"/>
  <c r="N50" i="21" s="1"/>
  <c r="B50" i="21"/>
  <c r="X49" i="21"/>
  <c r="Z49" i="21" s="1"/>
  <c r="L49" i="21"/>
  <c r="N49" i="21" s="1"/>
  <c r="B49" i="21"/>
  <c r="T48" i="21"/>
  <c r="P48" i="21"/>
  <c r="X48" i="21" s="1"/>
  <c r="Z48" i="21" s="1"/>
  <c r="H48" i="21"/>
  <c r="L48" i="21" s="1"/>
  <c r="N48" i="21" s="1"/>
  <c r="D48" i="21"/>
  <c r="B48" i="21"/>
  <c r="Z47" i="21"/>
  <c r="X47" i="21"/>
  <c r="N47" i="21"/>
  <c r="L47" i="21"/>
  <c r="B47" i="21"/>
  <c r="T46" i="21"/>
  <c r="X46" i="21" s="1"/>
  <c r="Z46" i="21" s="1"/>
  <c r="P46" i="21"/>
  <c r="N46" i="21"/>
  <c r="L46" i="21"/>
  <c r="H46" i="21"/>
  <c r="D46" i="21"/>
  <c r="B46" i="21"/>
  <c r="Z45" i="21"/>
  <c r="X45" i="21"/>
  <c r="N45" i="21"/>
  <c r="L45" i="21"/>
  <c r="B45" i="21"/>
  <c r="Z44" i="21"/>
  <c r="X44" i="21"/>
  <c r="T44" i="21"/>
  <c r="P44" i="21"/>
  <c r="N44" i="21"/>
  <c r="H44" i="21"/>
  <c r="D44" i="21"/>
  <c r="L44" i="21" s="1"/>
  <c r="B44" i="21"/>
  <c r="Z43" i="21"/>
  <c r="X43" i="21"/>
  <c r="N43" i="21"/>
  <c r="L43" i="21"/>
  <c r="B43" i="21"/>
  <c r="Z42" i="21"/>
  <c r="X42" i="21"/>
  <c r="N42" i="21"/>
  <c r="L42" i="21"/>
  <c r="B42" i="21"/>
  <c r="Z41" i="21"/>
  <c r="X41" i="21"/>
  <c r="N41" i="21"/>
  <c r="L41" i="21"/>
  <c r="B41" i="21"/>
  <c r="Z40" i="21"/>
  <c r="X40" i="21"/>
  <c r="N40" i="21"/>
  <c r="L40" i="21"/>
  <c r="B40" i="21"/>
  <c r="T39" i="21"/>
  <c r="P39" i="21"/>
  <c r="X39" i="21" s="1"/>
  <c r="Z39" i="21" s="1"/>
  <c r="L39" i="21"/>
  <c r="H39" i="21"/>
  <c r="N39" i="21" s="1"/>
  <c r="D39" i="21"/>
  <c r="B39" i="21"/>
  <c r="Z38" i="21"/>
  <c r="X38" i="21"/>
  <c r="N38" i="21"/>
  <c r="L38" i="21"/>
  <c r="B38" i="21"/>
  <c r="X37" i="21"/>
  <c r="Z37" i="21" s="1"/>
  <c r="N37" i="21"/>
  <c r="L37" i="21"/>
  <c r="B37" i="21"/>
  <c r="Z36" i="21"/>
  <c r="X36" i="21"/>
  <c r="N36" i="21"/>
  <c r="L36" i="21"/>
  <c r="B36" i="21"/>
  <c r="Z35" i="21"/>
  <c r="X35" i="21"/>
  <c r="N35" i="21"/>
  <c r="L35" i="21"/>
  <c r="B35" i="21"/>
  <c r="Z34" i="21"/>
  <c r="X34" i="21"/>
  <c r="N34" i="21"/>
  <c r="L34" i="21"/>
  <c r="B34" i="21"/>
  <c r="X33" i="21"/>
  <c r="Z33" i="21" s="1"/>
  <c r="L33" i="21"/>
  <c r="N33" i="21" s="1"/>
  <c r="B33" i="21"/>
  <c r="Z32" i="21"/>
  <c r="X32" i="21"/>
  <c r="N32" i="21"/>
  <c r="L32" i="21"/>
  <c r="B32" i="21"/>
  <c r="X31" i="21"/>
  <c r="Z31" i="21" s="1"/>
  <c r="N31" i="21"/>
  <c r="L31" i="21"/>
  <c r="B31" i="21"/>
  <c r="T30" i="21"/>
  <c r="X30" i="21" s="1"/>
  <c r="Z30" i="21" s="1"/>
  <c r="P30" i="21"/>
  <c r="H30" i="21"/>
  <c r="D30" i="21"/>
  <c r="L30" i="21" s="1"/>
  <c r="N30" i="21" s="1"/>
  <c r="B30" i="21"/>
  <c r="T29" i="21"/>
  <c r="P29" i="21"/>
  <c r="X29" i="21" s="1"/>
  <c r="H29" i="21"/>
  <c r="D29" i="21"/>
  <c r="L29" i="21" s="1"/>
  <c r="X25" i="21"/>
  <c r="Z25" i="21" s="1"/>
  <c r="N25" i="21"/>
  <c r="L25" i="21"/>
  <c r="B25" i="21"/>
  <c r="Z24" i="21"/>
  <c r="X24" i="21"/>
  <c r="N24" i="21"/>
  <c r="L24" i="21"/>
  <c r="B24" i="21"/>
  <c r="X23" i="21"/>
  <c r="T23" i="21"/>
  <c r="Z23" i="21" s="1"/>
  <c r="P23" i="21"/>
  <c r="H23" i="21"/>
  <c r="D23" i="21"/>
  <c r="L23" i="21" s="1"/>
  <c r="T21" i="21"/>
  <c r="P21" i="21"/>
  <c r="X21" i="21" s="1"/>
  <c r="Z21" i="21" s="1"/>
  <c r="N21" i="21"/>
  <c r="L21" i="21"/>
  <c r="H21" i="21"/>
  <c r="D21" i="21"/>
  <c r="B21" i="21"/>
  <c r="T20" i="21"/>
  <c r="Z20" i="21" s="1"/>
  <c r="P20" i="21"/>
  <c r="X20" i="21" s="1"/>
  <c r="N20" i="21"/>
  <c r="H20" i="21"/>
  <c r="D20" i="21"/>
  <c r="L20" i="21" s="1"/>
  <c r="B20" i="21"/>
  <c r="T19" i="21"/>
  <c r="Z19" i="21" s="1"/>
  <c r="P19" i="21"/>
  <c r="X19" i="21" s="1"/>
  <c r="L19" i="21"/>
  <c r="H19" i="21"/>
  <c r="N19" i="21" s="1"/>
  <c r="D19" i="21"/>
  <c r="B19" i="21"/>
  <c r="T18" i="21"/>
  <c r="P18" i="21"/>
  <c r="N18" i="21"/>
  <c r="L18" i="21"/>
  <c r="H18" i="21"/>
  <c r="D18" i="21"/>
  <c r="B18" i="21"/>
  <c r="Z17" i="21"/>
  <c r="X17" i="21"/>
  <c r="T17" i="21"/>
  <c r="P17" i="21"/>
  <c r="N17" i="21"/>
  <c r="H17" i="21"/>
  <c r="D17" i="21"/>
  <c r="L17" i="21" s="1"/>
  <c r="B17" i="21"/>
  <c r="Z16" i="21"/>
  <c r="T16" i="21"/>
  <c r="T12" i="21" s="1"/>
  <c r="P16" i="21"/>
  <c r="X16" i="21" s="1"/>
  <c r="H16" i="21"/>
  <c r="N16" i="21" s="1"/>
  <c r="D16" i="21"/>
  <c r="L16" i="21" s="1"/>
  <c r="B16" i="21"/>
  <c r="X15" i="21"/>
  <c r="T15" i="21"/>
  <c r="Z15" i="21" s="1"/>
  <c r="P15" i="21"/>
  <c r="H15" i="21"/>
  <c r="N15" i="21" s="1"/>
  <c r="D15" i="21"/>
  <c r="L15" i="21" s="1"/>
  <c r="B15" i="21"/>
  <c r="Z14" i="21"/>
  <c r="X14" i="21"/>
  <c r="T14" i="21"/>
  <c r="P14" i="21"/>
  <c r="H14" i="21"/>
  <c r="H12" i="21" s="1"/>
  <c r="D14" i="21"/>
  <c r="B14" i="21"/>
  <c r="Z13" i="21"/>
  <c r="T13" i="21"/>
  <c r="P13" i="21"/>
  <c r="X13" i="21" s="1"/>
  <c r="N13" i="21"/>
  <c r="L13" i="21"/>
  <c r="H13" i="21"/>
  <c r="D13" i="21"/>
  <c r="D12" i="21" s="1"/>
  <c r="B13" i="21"/>
  <c r="D4" i="21"/>
  <c r="B39" i="20"/>
  <c r="B38" i="20"/>
  <c r="T34" i="20"/>
  <c r="Z34" i="20" s="1"/>
  <c r="P34" i="20"/>
  <c r="H34" i="20"/>
  <c r="N34" i="20" s="1"/>
  <c r="D34" i="20"/>
  <c r="T33" i="20"/>
  <c r="Z33" i="20" s="1"/>
  <c r="P33" i="20"/>
  <c r="H33" i="20"/>
  <c r="N33" i="20" s="1"/>
  <c r="D33" i="20"/>
  <c r="T29" i="20"/>
  <c r="Z29" i="20" s="1"/>
  <c r="P29" i="20"/>
  <c r="H29" i="20"/>
  <c r="N29" i="20" s="1"/>
  <c r="D29" i="20"/>
  <c r="T25" i="20"/>
  <c r="Z25" i="20" s="1"/>
  <c r="P25" i="20"/>
  <c r="H25" i="20"/>
  <c r="N25" i="20" s="1"/>
  <c r="D25" i="20"/>
  <c r="B25" i="20"/>
  <c r="T24" i="20"/>
  <c r="Z24" i="20" s="1"/>
  <c r="P24" i="20"/>
  <c r="H24" i="20"/>
  <c r="N24" i="20" s="1"/>
  <c r="D24" i="20"/>
  <c r="T22" i="20"/>
  <c r="Z22" i="20" s="1"/>
  <c r="P22" i="20"/>
  <c r="H22" i="20"/>
  <c r="N22" i="20" s="1"/>
  <c r="D22" i="20"/>
  <c r="B22" i="20"/>
  <c r="T21" i="20"/>
  <c r="Z21" i="20" s="1"/>
  <c r="P21" i="20"/>
  <c r="H21" i="20"/>
  <c r="N21" i="20" s="1"/>
  <c r="D21" i="20"/>
  <c r="B21" i="20"/>
  <c r="T20" i="20"/>
  <c r="Z20" i="20" s="1"/>
  <c r="P20" i="20"/>
  <c r="H20" i="20"/>
  <c r="N20" i="20" s="1"/>
  <c r="D20" i="20"/>
  <c r="T16" i="20"/>
  <c r="Z16" i="20" s="1"/>
  <c r="P16" i="20"/>
  <c r="H16" i="20"/>
  <c r="N16" i="20" s="1"/>
  <c r="D16" i="20"/>
  <c r="B16" i="20"/>
  <c r="T15" i="20"/>
  <c r="Z15" i="20" s="1"/>
  <c r="P15" i="20"/>
  <c r="H15" i="20"/>
  <c r="N15" i="20" s="1"/>
  <c r="D15" i="20"/>
  <c r="T13" i="20"/>
  <c r="Z13" i="20" s="1"/>
  <c r="P13" i="20"/>
  <c r="H13" i="20"/>
  <c r="N13" i="20" s="1"/>
  <c r="D13" i="20"/>
  <c r="B13" i="20"/>
  <c r="T12" i="20"/>
  <c r="V22" i="20" s="1"/>
  <c r="P12" i="20"/>
  <c r="R24" i="20" s="1"/>
  <c r="H12" i="20"/>
  <c r="J20" i="20" s="1"/>
  <c r="D12" i="20"/>
  <c r="F20" i="20" s="1"/>
  <c r="D5" i="20"/>
  <c r="D4" i="20"/>
  <c r="B39" i="19"/>
  <c r="B38" i="19"/>
  <c r="T34" i="19"/>
  <c r="P34" i="19"/>
  <c r="H34" i="19"/>
  <c r="N34" i="19" s="1"/>
  <c r="D34" i="19"/>
  <c r="T33" i="19"/>
  <c r="Z33" i="19" s="1"/>
  <c r="P33" i="19"/>
  <c r="H33" i="19"/>
  <c r="N33" i="19" s="1"/>
  <c r="D33" i="19"/>
  <c r="T29" i="19"/>
  <c r="Z29" i="19" s="1"/>
  <c r="P29" i="19"/>
  <c r="H29" i="19"/>
  <c r="N29" i="19" s="1"/>
  <c r="D29" i="19"/>
  <c r="T25" i="19"/>
  <c r="Z25" i="19" s="1"/>
  <c r="P25" i="19"/>
  <c r="H25" i="19"/>
  <c r="N25" i="19" s="1"/>
  <c r="D25" i="19"/>
  <c r="B25" i="19"/>
  <c r="T24" i="19"/>
  <c r="Z24" i="19" s="1"/>
  <c r="P24" i="19"/>
  <c r="H24" i="19"/>
  <c r="N24" i="19" s="1"/>
  <c r="D24" i="19"/>
  <c r="T22" i="19"/>
  <c r="Z22" i="19" s="1"/>
  <c r="P22" i="19"/>
  <c r="H22" i="19"/>
  <c r="N22" i="19" s="1"/>
  <c r="D22" i="19"/>
  <c r="B22" i="19"/>
  <c r="T21" i="19"/>
  <c r="Z21" i="19" s="1"/>
  <c r="P21" i="19"/>
  <c r="H21" i="19"/>
  <c r="N21" i="19" s="1"/>
  <c r="D21" i="19"/>
  <c r="B21" i="19"/>
  <c r="T20" i="19"/>
  <c r="Z20" i="19" s="1"/>
  <c r="P20" i="19"/>
  <c r="H20" i="19"/>
  <c r="N20" i="19" s="1"/>
  <c r="D20" i="19"/>
  <c r="T16" i="19"/>
  <c r="Z16" i="19" s="1"/>
  <c r="P16" i="19"/>
  <c r="X16" i="19" s="1"/>
  <c r="H16" i="19"/>
  <c r="N16" i="19" s="1"/>
  <c r="D16" i="19"/>
  <c r="B16" i="19"/>
  <c r="T15" i="19"/>
  <c r="Z15" i="19" s="1"/>
  <c r="P15" i="19"/>
  <c r="H15" i="19"/>
  <c r="N15" i="19" s="1"/>
  <c r="D15" i="19"/>
  <c r="T13" i="19"/>
  <c r="Z13" i="19" s="1"/>
  <c r="P13" i="19"/>
  <c r="H13" i="19"/>
  <c r="N13" i="19" s="1"/>
  <c r="D13" i="19"/>
  <c r="B13" i="19"/>
  <c r="T12" i="19"/>
  <c r="V25" i="19" s="1"/>
  <c r="P12" i="19"/>
  <c r="R21" i="19" s="1"/>
  <c r="H12" i="19"/>
  <c r="J20" i="19" s="1"/>
  <c r="D12" i="19"/>
  <c r="F25" i="19" s="1"/>
  <c r="D5" i="19"/>
  <c r="D4" i="19"/>
  <c r="X245" i="18"/>
  <c r="Z245" i="18" s="1"/>
  <c r="N245" i="18"/>
  <c r="L245" i="18"/>
  <c r="T241" i="18"/>
  <c r="Z241" i="18" s="1"/>
  <c r="P241" i="18"/>
  <c r="X241" i="18" s="1"/>
  <c r="L241" i="18"/>
  <c r="H241" i="18"/>
  <c r="N241" i="18" s="1"/>
  <c r="D241" i="18"/>
  <c r="B241" i="18"/>
  <c r="T240" i="18"/>
  <c r="P240" i="18"/>
  <c r="X240" i="18" s="1"/>
  <c r="Z240" i="18" s="1"/>
  <c r="H240" i="18"/>
  <c r="D240" i="18"/>
  <c r="L240" i="18" s="1"/>
  <c r="N240" i="18" s="1"/>
  <c r="B240" i="18"/>
  <c r="T239" i="18"/>
  <c r="Z239" i="18" s="1"/>
  <c r="P239" i="18"/>
  <c r="X239" i="18" s="1"/>
  <c r="H239" i="18"/>
  <c r="N239" i="18" s="1"/>
  <c r="D239" i="18"/>
  <c r="L239" i="18" s="1"/>
  <c r="B239" i="18"/>
  <c r="Z238" i="18"/>
  <c r="X238" i="18"/>
  <c r="T238" i="18"/>
  <c r="P238" i="18"/>
  <c r="H238" i="18"/>
  <c r="L238" i="18" s="1"/>
  <c r="N238" i="18" s="1"/>
  <c r="D238" i="18"/>
  <c r="B238" i="18"/>
  <c r="X237" i="18"/>
  <c r="T237" i="18"/>
  <c r="T235" i="18" s="1"/>
  <c r="P237" i="18"/>
  <c r="H237" i="18"/>
  <c r="H235" i="18" s="1"/>
  <c r="D237" i="18"/>
  <c r="D235" i="18" s="1"/>
  <c r="L235" i="18" s="1"/>
  <c r="B237" i="18"/>
  <c r="T236" i="18"/>
  <c r="P236" i="18"/>
  <c r="X236" i="18" s="1"/>
  <c r="Z236" i="18" s="1"/>
  <c r="N236" i="18"/>
  <c r="L236" i="18"/>
  <c r="H236" i="18"/>
  <c r="D236" i="18"/>
  <c r="B236" i="18"/>
  <c r="X233" i="18"/>
  <c r="Z233" i="18" s="1"/>
  <c r="L233" i="18"/>
  <c r="N233" i="18" s="1"/>
  <c r="B233" i="18"/>
  <c r="T232" i="18"/>
  <c r="P232" i="18"/>
  <c r="X232" i="18" s="1"/>
  <c r="Z232" i="18" s="1"/>
  <c r="H232" i="18"/>
  <c r="D232" i="18"/>
  <c r="L232" i="18" s="1"/>
  <c r="N232" i="18" s="1"/>
  <c r="B232" i="18"/>
  <c r="Z231" i="18"/>
  <c r="X231" i="18"/>
  <c r="N231" i="18"/>
  <c r="L231" i="18"/>
  <c r="B231" i="18"/>
  <c r="Z230" i="18"/>
  <c r="X230" i="18"/>
  <c r="N230" i="18"/>
  <c r="L230" i="18"/>
  <c r="B230" i="18"/>
  <c r="X229" i="18"/>
  <c r="Z229" i="18" s="1"/>
  <c r="N229" i="18"/>
  <c r="L229" i="18"/>
  <c r="B229" i="18"/>
  <c r="T228" i="18"/>
  <c r="P228" i="18"/>
  <c r="X228" i="18" s="1"/>
  <c r="Z228" i="18" s="1"/>
  <c r="N228" i="18"/>
  <c r="H228" i="18"/>
  <c r="L228" i="18" s="1"/>
  <c r="D228" i="18"/>
  <c r="B228" i="18"/>
  <c r="Z227" i="18"/>
  <c r="X227" i="18"/>
  <c r="N227" i="18"/>
  <c r="L227" i="18"/>
  <c r="B227" i="18"/>
  <c r="T226" i="18"/>
  <c r="X226" i="18" s="1"/>
  <c r="Z226" i="18" s="1"/>
  <c r="P226" i="18"/>
  <c r="N226" i="18"/>
  <c r="L226" i="18"/>
  <c r="H226" i="18"/>
  <c r="D226" i="18"/>
  <c r="B226" i="18"/>
  <c r="X225" i="18"/>
  <c r="Z225" i="18" s="1"/>
  <c r="L225" i="18"/>
  <c r="N225" i="18" s="1"/>
  <c r="B225" i="18"/>
  <c r="Z224" i="18"/>
  <c r="X224" i="18"/>
  <c r="N224" i="18"/>
  <c r="L224" i="18"/>
  <c r="B224" i="18"/>
  <c r="T223" i="18"/>
  <c r="P223" i="18"/>
  <c r="X223" i="18" s="1"/>
  <c r="L223" i="18"/>
  <c r="H223" i="18"/>
  <c r="N223" i="18" s="1"/>
  <c r="D223" i="18"/>
  <c r="B223" i="18"/>
  <c r="Z222" i="18"/>
  <c r="X222" i="18"/>
  <c r="N222" i="18"/>
  <c r="L222" i="18"/>
  <c r="B222" i="18"/>
  <c r="X221" i="18"/>
  <c r="Z221" i="18" s="1"/>
  <c r="N221" i="18"/>
  <c r="L221" i="18"/>
  <c r="B221" i="18"/>
  <c r="Z220" i="18"/>
  <c r="X220" i="18"/>
  <c r="N220" i="18"/>
  <c r="L220" i="18"/>
  <c r="B220" i="18"/>
  <c r="Z219" i="18"/>
  <c r="X219" i="18"/>
  <c r="L219" i="18"/>
  <c r="N219" i="18" s="1"/>
  <c r="B219" i="18"/>
  <c r="Z218" i="18"/>
  <c r="X218" i="18"/>
  <c r="N218" i="18"/>
  <c r="L218" i="18"/>
  <c r="B218" i="18"/>
  <c r="X217" i="18"/>
  <c r="Z217" i="18" s="1"/>
  <c r="L217" i="18"/>
  <c r="N217" i="18" s="1"/>
  <c r="B217" i="18"/>
  <c r="Z216" i="18"/>
  <c r="X216" i="18"/>
  <c r="N216" i="18"/>
  <c r="L216" i="18"/>
  <c r="B216" i="18"/>
  <c r="X215" i="18"/>
  <c r="T215" i="18"/>
  <c r="Z215" i="18" s="1"/>
  <c r="P215" i="18"/>
  <c r="H215" i="18"/>
  <c r="D215" i="18"/>
  <c r="L215" i="18" s="1"/>
  <c r="B215" i="18"/>
  <c r="Z214" i="18"/>
  <c r="X214" i="18"/>
  <c r="N214" i="18"/>
  <c r="L214" i="18"/>
  <c r="B214" i="18"/>
  <c r="X213" i="18"/>
  <c r="Z213" i="18" s="1"/>
  <c r="L213" i="18"/>
  <c r="N213" i="18" s="1"/>
  <c r="B213" i="18"/>
  <c r="T212" i="18"/>
  <c r="P212" i="18"/>
  <c r="X212" i="18" s="1"/>
  <c r="Z212" i="18" s="1"/>
  <c r="H212" i="18"/>
  <c r="L212" i="18" s="1"/>
  <c r="N212" i="18" s="1"/>
  <c r="D212" i="18"/>
  <c r="B212" i="18"/>
  <c r="Z211" i="18"/>
  <c r="X211" i="18"/>
  <c r="L211" i="18"/>
  <c r="N211" i="18" s="1"/>
  <c r="B211" i="18"/>
  <c r="Z210" i="18"/>
  <c r="X210" i="18"/>
  <c r="N210" i="18"/>
  <c r="L210" i="18"/>
  <c r="B210" i="18"/>
  <c r="X209" i="18"/>
  <c r="Z209" i="18" s="1"/>
  <c r="N209" i="18"/>
  <c r="L209" i="18"/>
  <c r="B209" i="18"/>
  <c r="Z208" i="18"/>
  <c r="X208" i="18"/>
  <c r="N208" i="18"/>
  <c r="L208" i="18"/>
  <c r="B208" i="18"/>
  <c r="X207" i="18"/>
  <c r="T207" i="18"/>
  <c r="Z207" i="18" s="1"/>
  <c r="P207" i="18"/>
  <c r="H207" i="18"/>
  <c r="N207" i="18" s="1"/>
  <c r="D207" i="18"/>
  <c r="L207" i="18" s="1"/>
  <c r="B207" i="18"/>
  <c r="Z206" i="18"/>
  <c r="X206" i="18"/>
  <c r="N206" i="18"/>
  <c r="L206" i="18"/>
  <c r="B206" i="18"/>
  <c r="Z205" i="18"/>
  <c r="X205" i="18"/>
  <c r="N205" i="18"/>
  <c r="L205" i="18"/>
  <c r="B205" i="18"/>
  <c r="Z204" i="18"/>
  <c r="X204" i="18"/>
  <c r="N204" i="18"/>
  <c r="L204" i="18"/>
  <c r="B204" i="18"/>
  <c r="X203" i="18"/>
  <c r="T203" i="18"/>
  <c r="Z203" i="18" s="1"/>
  <c r="P203" i="18"/>
  <c r="H203" i="18"/>
  <c r="N203" i="18" s="1"/>
  <c r="D203" i="18"/>
  <c r="L203" i="18" s="1"/>
  <c r="B203" i="18"/>
  <c r="Z202" i="18"/>
  <c r="X202" i="18"/>
  <c r="N202" i="18"/>
  <c r="L202" i="18"/>
  <c r="B202" i="18"/>
  <c r="X201" i="18"/>
  <c r="Z201" i="18" s="1"/>
  <c r="L201" i="18"/>
  <c r="N201" i="18" s="1"/>
  <c r="B201" i="18"/>
  <c r="Z200" i="18"/>
  <c r="X200" i="18"/>
  <c r="N200" i="18"/>
  <c r="L200" i="18"/>
  <c r="B200" i="18"/>
  <c r="X199" i="18"/>
  <c r="Z199" i="18" s="1"/>
  <c r="N199" i="18"/>
  <c r="L199" i="18"/>
  <c r="B199" i="18"/>
  <c r="T198" i="18"/>
  <c r="P198" i="18"/>
  <c r="X198" i="18" s="1"/>
  <c r="Z198" i="18" s="1"/>
  <c r="H198" i="18"/>
  <c r="D198" i="18"/>
  <c r="L198" i="18" s="1"/>
  <c r="N198" i="18" s="1"/>
  <c r="B198" i="18"/>
  <c r="X197" i="18"/>
  <c r="Z197" i="18" s="1"/>
  <c r="L197" i="18"/>
  <c r="N197" i="18" s="1"/>
  <c r="B197" i="18"/>
  <c r="T196" i="18"/>
  <c r="P196" i="18"/>
  <c r="X196" i="18" s="1"/>
  <c r="Z196" i="18" s="1"/>
  <c r="N196" i="18"/>
  <c r="L196" i="18"/>
  <c r="H196" i="18"/>
  <c r="D196" i="18"/>
  <c r="B196" i="18"/>
  <c r="Z195" i="18"/>
  <c r="X195" i="18"/>
  <c r="N195" i="18"/>
  <c r="L195" i="18"/>
  <c r="B195" i="18"/>
  <c r="Z194" i="18"/>
  <c r="X194" i="18"/>
  <c r="T194" i="18"/>
  <c r="P194" i="18"/>
  <c r="N194" i="18"/>
  <c r="L194" i="18"/>
  <c r="H194" i="18"/>
  <c r="D194" i="18"/>
  <c r="B194" i="18"/>
  <c r="Z193" i="18"/>
  <c r="X193" i="18"/>
  <c r="N193" i="18"/>
  <c r="L193" i="18"/>
  <c r="B193" i="18"/>
  <c r="Z192" i="18"/>
  <c r="X192" i="18"/>
  <c r="N192" i="18"/>
  <c r="L192" i="18"/>
  <c r="B192" i="18"/>
  <c r="T191" i="18"/>
  <c r="Z191" i="18" s="1"/>
  <c r="P191" i="18"/>
  <c r="X191" i="18" s="1"/>
  <c r="L191" i="18"/>
  <c r="H191" i="18"/>
  <c r="N191" i="18" s="1"/>
  <c r="D191" i="18"/>
  <c r="B191" i="18"/>
  <c r="Z190" i="18"/>
  <c r="X190" i="18"/>
  <c r="N190" i="18"/>
  <c r="L190" i="18"/>
  <c r="B190" i="18"/>
  <c r="X189" i="18"/>
  <c r="T189" i="18"/>
  <c r="Z189" i="18" s="1"/>
  <c r="P189" i="18"/>
  <c r="L189" i="18"/>
  <c r="H189" i="18"/>
  <c r="N189" i="18" s="1"/>
  <c r="D189" i="18"/>
  <c r="B189" i="18"/>
  <c r="Z188" i="18"/>
  <c r="X188" i="18"/>
  <c r="N188" i="18"/>
  <c r="L188" i="18"/>
  <c r="B188" i="18"/>
  <c r="X187" i="18"/>
  <c r="T187" i="18"/>
  <c r="Z187" i="18" s="1"/>
  <c r="P187" i="18"/>
  <c r="H187" i="18"/>
  <c r="N187" i="18" s="1"/>
  <c r="D187" i="18"/>
  <c r="L187" i="18" s="1"/>
  <c r="B187" i="18"/>
  <c r="Z186" i="18"/>
  <c r="X186" i="18"/>
  <c r="N186" i="18"/>
  <c r="L186" i="18"/>
  <c r="B186" i="18"/>
  <c r="X185" i="18"/>
  <c r="Z185" i="18" s="1"/>
  <c r="L185" i="18"/>
  <c r="N185" i="18" s="1"/>
  <c r="B185" i="18"/>
  <c r="T184" i="18"/>
  <c r="P184" i="18"/>
  <c r="X184" i="18" s="1"/>
  <c r="Z184" i="18" s="1"/>
  <c r="N184" i="18"/>
  <c r="L184" i="18"/>
  <c r="H184" i="18"/>
  <c r="D184" i="18"/>
  <c r="B184" i="18"/>
  <c r="Z183" i="18"/>
  <c r="X183" i="18"/>
  <c r="L183" i="18"/>
  <c r="N183" i="18" s="1"/>
  <c r="B183" i="18"/>
  <c r="Z182" i="18"/>
  <c r="X182" i="18"/>
  <c r="T182" i="18"/>
  <c r="P182" i="18"/>
  <c r="N182" i="18"/>
  <c r="L182" i="18"/>
  <c r="H182" i="18"/>
  <c r="D182" i="18"/>
  <c r="B182" i="18"/>
  <c r="X181" i="18"/>
  <c r="Z181" i="18" s="1"/>
  <c r="N181" i="18"/>
  <c r="L181" i="18"/>
  <c r="B181" i="18"/>
  <c r="Z180" i="18"/>
  <c r="X180" i="18"/>
  <c r="T180" i="18"/>
  <c r="P180" i="18"/>
  <c r="N180" i="18"/>
  <c r="H180" i="18"/>
  <c r="D180" i="18"/>
  <c r="L180" i="18" s="1"/>
  <c r="B180" i="18"/>
  <c r="Z179" i="18"/>
  <c r="X179" i="18"/>
  <c r="N179" i="18"/>
  <c r="L179" i="18"/>
  <c r="B179" i="18"/>
  <c r="Z178" i="18"/>
  <c r="T178" i="18"/>
  <c r="P178" i="18"/>
  <c r="X178" i="18" s="1"/>
  <c r="N178" i="18"/>
  <c r="H178" i="18"/>
  <c r="D178" i="18"/>
  <c r="L178" i="18" s="1"/>
  <c r="B178" i="18"/>
  <c r="Z177" i="18"/>
  <c r="X177" i="18"/>
  <c r="N177" i="18"/>
  <c r="L177" i="18"/>
  <c r="B177" i="18"/>
  <c r="Z176" i="18"/>
  <c r="X176" i="18"/>
  <c r="N176" i="18"/>
  <c r="L176" i="18"/>
  <c r="B176" i="18"/>
  <c r="X175" i="18"/>
  <c r="T175" i="18"/>
  <c r="Z175" i="18" s="1"/>
  <c r="P175" i="18"/>
  <c r="H175" i="18"/>
  <c r="N175" i="18" s="1"/>
  <c r="D175" i="18"/>
  <c r="L175" i="18" s="1"/>
  <c r="B175" i="18"/>
  <c r="Z174" i="18"/>
  <c r="X174" i="18"/>
  <c r="N174" i="18"/>
  <c r="L174" i="18"/>
  <c r="B174" i="18"/>
  <c r="X173" i="18"/>
  <c r="Z173" i="18" s="1"/>
  <c r="L173" i="18"/>
  <c r="N173" i="18" s="1"/>
  <c r="B173" i="18"/>
  <c r="T172" i="18"/>
  <c r="P172" i="18"/>
  <c r="X172" i="18" s="1"/>
  <c r="Z172" i="18" s="1"/>
  <c r="N172" i="18"/>
  <c r="L172" i="18"/>
  <c r="H172" i="18"/>
  <c r="D172" i="18"/>
  <c r="B172" i="18"/>
  <c r="Z171" i="18"/>
  <c r="X171" i="18"/>
  <c r="L171" i="18"/>
  <c r="N171" i="18" s="1"/>
  <c r="B171" i="18"/>
  <c r="Z170" i="18"/>
  <c r="X170" i="18"/>
  <c r="T170" i="18"/>
  <c r="P170" i="18"/>
  <c r="L170" i="18"/>
  <c r="N170" i="18" s="1"/>
  <c r="H170" i="18"/>
  <c r="D170" i="18"/>
  <c r="B170" i="18"/>
  <c r="X169" i="18"/>
  <c r="Z169" i="18" s="1"/>
  <c r="L169" i="18"/>
  <c r="N169" i="18" s="1"/>
  <c r="B169" i="18"/>
  <c r="X168" i="18"/>
  <c r="Z168" i="18" s="1"/>
  <c r="T168" i="18"/>
  <c r="P168" i="18"/>
  <c r="H168" i="18"/>
  <c r="N168" i="18" s="1"/>
  <c r="D168" i="18"/>
  <c r="L168" i="18" s="1"/>
  <c r="B168" i="18"/>
  <c r="X167" i="18"/>
  <c r="Z167" i="18" s="1"/>
  <c r="N167" i="18"/>
  <c r="L167" i="18"/>
  <c r="B167" i="18"/>
  <c r="T166" i="18"/>
  <c r="P166" i="18"/>
  <c r="X166" i="18" s="1"/>
  <c r="H166" i="18"/>
  <c r="D166" i="18"/>
  <c r="L166" i="18" s="1"/>
  <c r="N166" i="18" s="1"/>
  <c r="B166" i="18"/>
  <c r="X165" i="18"/>
  <c r="Z165" i="18" s="1"/>
  <c r="L165" i="18"/>
  <c r="N165" i="18" s="1"/>
  <c r="B165" i="18"/>
  <c r="Z164" i="18"/>
  <c r="X164" i="18"/>
  <c r="L164" i="18"/>
  <c r="N164" i="18" s="1"/>
  <c r="B164" i="18"/>
  <c r="X163" i="18"/>
  <c r="Z163" i="18" s="1"/>
  <c r="N163" i="18"/>
  <c r="L163" i="18"/>
  <c r="B163" i="18"/>
  <c r="Z162" i="18"/>
  <c r="X162" i="18"/>
  <c r="L162" i="18"/>
  <c r="N162" i="18" s="1"/>
  <c r="B162" i="18"/>
  <c r="X161" i="18"/>
  <c r="Z161" i="18" s="1"/>
  <c r="L161" i="18"/>
  <c r="N161" i="18" s="1"/>
  <c r="B161" i="18"/>
  <c r="X160" i="18"/>
  <c r="Z160" i="18" s="1"/>
  <c r="N160" i="18"/>
  <c r="L160" i="18"/>
  <c r="B160" i="18"/>
  <c r="Z159" i="18"/>
  <c r="X159" i="18"/>
  <c r="L159" i="18"/>
  <c r="N159" i="18" s="1"/>
  <c r="B159" i="18"/>
  <c r="X158" i="18"/>
  <c r="Z158" i="18" s="1"/>
  <c r="T158" i="18"/>
  <c r="P158" i="18"/>
  <c r="L158" i="18"/>
  <c r="N158" i="18" s="1"/>
  <c r="H158" i="18"/>
  <c r="D158" i="18"/>
  <c r="B158" i="18"/>
  <c r="X157" i="18"/>
  <c r="Z157" i="18" s="1"/>
  <c r="L157" i="18"/>
  <c r="N157" i="18" s="1"/>
  <c r="B157" i="18"/>
  <c r="X156" i="18"/>
  <c r="Z156" i="18" s="1"/>
  <c r="N156" i="18"/>
  <c r="L156" i="18"/>
  <c r="B156" i="18"/>
  <c r="Z155" i="18"/>
  <c r="X155" i="18"/>
  <c r="L155" i="18"/>
  <c r="N155" i="18" s="1"/>
  <c r="B155" i="18"/>
  <c r="X154" i="18"/>
  <c r="Z154" i="18" s="1"/>
  <c r="N154" i="18"/>
  <c r="L154" i="18"/>
  <c r="B154" i="18"/>
  <c r="Z153" i="18"/>
  <c r="X153" i="18"/>
  <c r="N153" i="18"/>
  <c r="L153" i="18"/>
  <c r="B153" i="18"/>
  <c r="Z152" i="18"/>
  <c r="X152" i="18"/>
  <c r="L152" i="18"/>
  <c r="N152" i="18" s="1"/>
  <c r="B152" i="18"/>
  <c r="X151" i="18"/>
  <c r="Z151" i="18" s="1"/>
  <c r="N151" i="18"/>
  <c r="L151" i="18"/>
  <c r="B151" i="18"/>
  <c r="Z150" i="18"/>
  <c r="X150" i="18"/>
  <c r="L150" i="18"/>
  <c r="N150" i="18" s="1"/>
  <c r="B150" i="18"/>
  <c r="X149" i="18"/>
  <c r="Z149" i="18" s="1"/>
  <c r="L149" i="18"/>
  <c r="N149" i="18" s="1"/>
  <c r="B149" i="18"/>
  <c r="X148" i="18"/>
  <c r="Z148" i="18" s="1"/>
  <c r="N148" i="18"/>
  <c r="L148" i="18"/>
  <c r="B148" i="18"/>
  <c r="T147" i="18"/>
  <c r="P147" i="18"/>
  <c r="X147" i="18" s="1"/>
  <c r="Z147" i="18" s="1"/>
  <c r="L147" i="18"/>
  <c r="H147" i="18"/>
  <c r="N147" i="18" s="1"/>
  <c r="D147" i="18"/>
  <c r="B147" i="18"/>
  <c r="T146" i="18"/>
  <c r="P146" i="18"/>
  <c r="X146" i="18" s="1"/>
  <c r="H146" i="18"/>
  <c r="D146" i="18"/>
  <c r="L146" i="18" s="1"/>
  <c r="N146" i="18" s="1"/>
  <c r="Z142" i="18"/>
  <c r="X142" i="18"/>
  <c r="N142" i="18"/>
  <c r="L142" i="18"/>
  <c r="B142" i="18"/>
  <c r="X141" i="18"/>
  <c r="Z141" i="18" s="1"/>
  <c r="N141" i="18"/>
  <c r="L141" i="18"/>
  <c r="B141" i="18"/>
  <c r="X140" i="18"/>
  <c r="Z140" i="18" s="1"/>
  <c r="N140" i="18"/>
  <c r="L140" i="18"/>
  <c r="B140" i="18"/>
  <c r="Z139" i="18"/>
  <c r="X139" i="18"/>
  <c r="N139" i="18"/>
  <c r="L139" i="18"/>
  <c r="B139" i="18"/>
  <c r="X138" i="18"/>
  <c r="Z138" i="18" s="1"/>
  <c r="N138" i="18"/>
  <c r="L138" i="18"/>
  <c r="B138" i="18"/>
  <c r="X137" i="18"/>
  <c r="Z137" i="18" s="1"/>
  <c r="L137" i="18"/>
  <c r="N137" i="18" s="1"/>
  <c r="B137" i="18"/>
  <c r="Z136" i="18"/>
  <c r="X136" i="18"/>
  <c r="N136" i="18"/>
  <c r="L136" i="18"/>
  <c r="B136" i="18"/>
  <c r="X135" i="18"/>
  <c r="Z135" i="18" s="1"/>
  <c r="N135" i="18"/>
  <c r="L135" i="18"/>
  <c r="B135" i="18"/>
  <c r="Z134" i="18"/>
  <c r="X134" i="18"/>
  <c r="N134" i="18"/>
  <c r="L134" i="18"/>
  <c r="B134" i="18"/>
  <c r="X133" i="18"/>
  <c r="Z133" i="18" s="1"/>
  <c r="N133" i="18"/>
  <c r="L133" i="18"/>
  <c r="B133" i="18"/>
  <c r="X132" i="18"/>
  <c r="Z132" i="18" s="1"/>
  <c r="N132" i="18"/>
  <c r="L132" i="18"/>
  <c r="B132" i="18"/>
  <c r="Z131" i="18"/>
  <c r="X131" i="18"/>
  <c r="L131" i="18"/>
  <c r="N131" i="18" s="1"/>
  <c r="B131" i="18"/>
  <c r="X130" i="18"/>
  <c r="Z130" i="18" s="1"/>
  <c r="N130" i="18"/>
  <c r="L130" i="18"/>
  <c r="B130" i="18"/>
  <c r="Z129" i="18"/>
  <c r="X129" i="18"/>
  <c r="N129" i="18"/>
  <c r="L129" i="18"/>
  <c r="B129" i="18"/>
  <c r="Z128" i="18"/>
  <c r="X128" i="18"/>
  <c r="N128" i="18"/>
  <c r="L128" i="18"/>
  <c r="B128" i="18"/>
  <c r="Z127" i="18"/>
  <c r="X127" i="18"/>
  <c r="N127" i="18"/>
  <c r="L127" i="18"/>
  <c r="B127" i="18"/>
  <c r="Z126" i="18"/>
  <c r="X126" i="18"/>
  <c r="N126" i="18"/>
  <c r="L126" i="18"/>
  <c r="B126" i="18"/>
  <c r="X125" i="18"/>
  <c r="Z125" i="18" s="1"/>
  <c r="N125" i="18"/>
  <c r="L125" i="18"/>
  <c r="B125" i="18"/>
  <c r="X124" i="18"/>
  <c r="Z124" i="18" s="1"/>
  <c r="N124" i="18"/>
  <c r="L124" i="18"/>
  <c r="B124" i="18"/>
  <c r="Z123" i="18"/>
  <c r="X123" i="18"/>
  <c r="L123" i="18"/>
  <c r="N123" i="18" s="1"/>
  <c r="B123" i="18"/>
  <c r="Z122" i="18"/>
  <c r="X122" i="18"/>
  <c r="N122" i="18"/>
  <c r="L122" i="18"/>
  <c r="B122" i="18"/>
  <c r="Z121" i="18"/>
  <c r="X121" i="18"/>
  <c r="L121" i="18"/>
  <c r="N121" i="18" s="1"/>
  <c r="B121" i="18"/>
  <c r="Z120" i="18"/>
  <c r="X120" i="18"/>
  <c r="L120" i="18"/>
  <c r="N120" i="18" s="1"/>
  <c r="B120" i="18"/>
  <c r="Z119" i="18"/>
  <c r="X119" i="18"/>
  <c r="N119" i="18"/>
  <c r="L119" i="18"/>
  <c r="B119" i="18"/>
  <c r="Z118" i="18"/>
  <c r="X118" i="18"/>
  <c r="N118" i="18"/>
  <c r="L118" i="18"/>
  <c r="B118" i="18"/>
  <c r="X117" i="18"/>
  <c r="Z117" i="18" s="1"/>
  <c r="N117" i="18"/>
  <c r="L117" i="18"/>
  <c r="B117" i="18"/>
  <c r="X116" i="18"/>
  <c r="Z116" i="18" s="1"/>
  <c r="N116" i="18"/>
  <c r="L116" i="18"/>
  <c r="B116" i="18"/>
  <c r="Z115" i="18"/>
  <c r="X115" i="18"/>
  <c r="L115" i="18"/>
  <c r="N115" i="18" s="1"/>
  <c r="B115" i="18"/>
  <c r="X114" i="18"/>
  <c r="Z114" i="18" s="1"/>
  <c r="N114" i="18"/>
  <c r="L114" i="18"/>
  <c r="B114" i="18"/>
  <c r="Z113" i="18"/>
  <c r="X113" i="18"/>
  <c r="L113" i="18"/>
  <c r="N113" i="18" s="1"/>
  <c r="B113" i="18"/>
  <c r="Z112" i="18"/>
  <c r="X112" i="18"/>
  <c r="N112" i="18"/>
  <c r="L112" i="18"/>
  <c r="B112" i="18"/>
  <c r="X111" i="18"/>
  <c r="Z111" i="18" s="1"/>
  <c r="N111" i="18"/>
  <c r="L111" i="18"/>
  <c r="B111" i="18"/>
  <c r="Z110" i="18"/>
  <c r="X110" i="18"/>
  <c r="L110" i="18"/>
  <c r="N110" i="18" s="1"/>
  <c r="B110" i="18"/>
  <c r="X109" i="18"/>
  <c r="Z109" i="18" s="1"/>
  <c r="N109" i="18"/>
  <c r="L109" i="18"/>
  <c r="B109" i="18"/>
  <c r="X108" i="18"/>
  <c r="Z108" i="18" s="1"/>
  <c r="N108" i="18"/>
  <c r="L108" i="18"/>
  <c r="B108" i="18"/>
  <c r="Z107" i="18"/>
  <c r="X107" i="18"/>
  <c r="L107" i="18"/>
  <c r="N107" i="18" s="1"/>
  <c r="B107" i="18"/>
  <c r="X106" i="18"/>
  <c r="Z106" i="18" s="1"/>
  <c r="N106" i="18"/>
  <c r="L106" i="18"/>
  <c r="B106" i="18"/>
  <c r="Z105" i="18"/>
  <c r="X105" i="18"/>
  <c r="N105" i="18"/>
  <c r="L105" i="18"/>
  <c r="B105" i="18"/>
  <c r="Z104" i="18"/>
  <c r="X104" i="18"/>
  <c r="L104" i="18"/>
  <c r="N104" i="18" s="1"/>
  <c r="B104" i="18"/>
  <c r="X103" i="18"/>
  <c r="Z103" i="18" s="1"/>
  <c r="N103" i="18"/>
  <c r="L103" i="18"/>
  <c r="B103" i="18"/>
  <c r="Z102" i="18"/>
  <c r="X102" i="18"/>
  <c r="N102" i="18"/>
  <c r="L102" i="18"/>
  <c r="B102" i="18"/>
  <c r="X101" i="18"/>
  <c r="Z101" i="18" s="1"/>
  <c r="N101" i="18"/>
  <c r="L101" i="18"/>
  <c r="B101" i="18"/>
  <c r="X100" i="18"/>
  <c r="Z100" i="18" s="1"/>
  <c r="N100" i="18"/>
  <c r="L100" i="18"/>
  <c r="B100" i="18"/>
  <c r="Z99" i="18"/>
  <c r="X99" i="18"/>
  <c r="N99" i="18"/>
  <c r="L99" i="18"/>
  <c r="B99" i="18"/>
  <c r="X98" i="18"/>
  <c r="Z98" i="18" s="1"/>
  <c r="N98" i="18"/>
  <c r="L98" i="18"/>
  <c r="B98" i="18"/>
  <c r="X97" i="18"/>
  <c r="Z97" i="18" s="1"/>
  <c r="N97" i="18"/>
  <c r="L97" i="18"/>
  <c r="B97" i="18"/>
  <c r="Z96" i="18"/>
  <c r="X96" i="18"/>
  <c r="L96" i="18"/>
  <c r="N96" i="18" s="1"/>
  <c r="B96" i="18"/>
  <c r="X95" i="18"/>
  <c r="Z95" i="18" s="1"/>
  <c r="N95" i="18"/>
  <c r="L95" i="18"/>
  <c r="B95" i="18"/>
  <c r="Z94" i="18"/>
  <c r="X94" i="18"/>
  <c r="N94" i="18"/>
  <c r="L94" i="18"/>
  <c r="B94" i="18"/>
  <c r="T93" i="18"/>
  <c r="P93" i="18"/>
  <c r="X93" i="18" s="1"/>
  <c r="Z93" i="18" s="1"/>
  <c r="H93" i="18"/>
  <c r="D93" i="18"/>
  <c r="Z91" i="18"/>
  <c r="X91" i="18"/>
  <c r="T91" i="18"/>
  <c r="P91" i="18"/>
  <c r="H91" i="18"/>
  <c r="L91" i="18" s="1"/>
  <c r="D91" i="18"/>
  <c r="B91" i="18"/>
  <c r="T90" i="18"/>
  <c r="P90" i="18"/>
  <c r="X90" i="18" s="1"/>
  <c r="Z90" i="18" s="1"/>
  <c r="N90" i="18"/>
  <c r="L90" i="18"/>
  <c r="H90" i="18"/>
  <c r="D90" i="18"/>
  <c r="B90" i="18"/>
  <c r="T89" i="18"/>
  <c r="Z89" i="18" s="1"/>
  <c r="P89" i="18"/>
  <c r="X89" i="18" s="1"/>
  <c r="N89" i="18"/>
  <c r="H89" i="18"/>
  <c r="D89" i="18"/>
  <c r="L89" i="18" s="1"/>
  <c r="B89" i="18"/>
  <c r="T88" i="18"/>
  <c r="P88" i="18"/>
  <c r="X88" i="18" s="1"/>
  <c r="H88" i="18"/>
  <c r="D88" i="18"/>
  <c r="B88" i="18"/>
  <c r="T87" i="18"/>
  <c r="X87" i="18" s="1"/>
  <c r="P87" i="18"/>
  <c r="L87" i="18"/>
  <c r="N87" i="18" s="1"/>
  <c r="H87" i="18"/>
  <c r="D87" i="18"/>
  <c r="B87" i="18"/>
  <c r="X86" i="18"/>
  <c r="Z86" i="18" s="1"/>
  <c r="T86" i="18"/>
  <c r="P86" i="18"/>
  <c r="H86" i="18"/>
  <c r="D86" i="18"/>
  <c r="L86" i="18" s="1"/>
  <c r="N86" i="18" s="1"/>
  <c r="B86" i="18"/>
  <c r="T85" i="18"/>
  <c r="P85" i="18"/>
  <c r="X85" i="18" s="1"/>
  <c r="Z85" i="18" s="1"/>
  <c r="H85" i="18"/>
  <c r="D85" i="18"/>
  <c r="L85" i="18" s="1"/>
  <c r="B85" i="18"/>
  <c r="T84" i="18"/>
  <c r="P84" i="18"/>
  <c r="H84" i="18"/>
  <c r="D84" i="18"/>
  <c r="L84" i="18" s="1"/>
  <c r="B84" i="18"/>
  <c r="Z83" i="18"/>
  <c r="X83" i="18"/>
  <c r="T83" i="18"/>
  <c r="P83" i="18"/>
  <c r="H83" i="18"/>
  <c r="L83" i="18" s="1"/>
  <c r="D83" i="18"/>
  <c r="B83" i="18"/>
  <c r="T82" i="18"/>
  <c r="P82" i="18"/>
  <c r="X82" i="18" s="1"/>
  <c r="Z82" i="18" s="1"/>
  <c r="L82" i="18"/>
  <c r="N82" i="18" s="1"/>
  <c r="H82" i="18"/>
  <c r="D82" i="18"/>
  <c r="B82" i="18"/>
  <c r="T81" i="18"/>
  <c r="Z81" i="18" s="1"/>
  <c r="P81" i="18"/>
  <c r="X81" i="18" s="1"/>
  <c r="N81" i="18"/>
  <c r="H81" i="18"/>
  <c r="D81" i="18"/>
  <c r="L81" i="18" s="1"/>
  <c r="B81" i="18"/>
  <c r="T80" i="18"/>
  <c r="P80" i="18"/>
  <c r="X80" i="18" s="1"/>
  <c r="H80" i="18"/>
  <c r="D80" i="18"/>
  <c r="B80" i="18"/>
  <c r="T79" i="18"/>
  <c r="X79" i="18" s="1"/>
  <c r="P79" i="18"/>
  <c r="L79" i="18"/>
  <c r="N79" i="18" s="1"/>
  <c r="H79" i="18"/>
  <c r="D79" i="18"/>
  <c r="B79" i="18"/>
  <c r="X78" i="18"/>
  <c r="Z78" i="18" s="1"/>
  <c r="T78" i="18"/>
  <c r="P78" i="18"/>
  <c r="N78" i="18"/>
  <c r="H78" i="18"/>
  <c r="D78" i="18"/>
  <c r="L78" i="18" s="1"/>
  <c r="B78" i="18"/>
  <c r="T77" i="18"/>
  <c r="P77" i="18"/>
  <c r="X77" i="18" s="1"/>
  <c r="Z77" i="18" s="1"/>
  <c r="H77" i="18"/>
  <c r="N77" i="18" s="1"/>
  <c r="D77" i="18"/>
  <c r="L77" i="18" s="1"/>
  <c r="B77" i="18"/>
  <c r="T76" i="18"/>
  <c r="P76" i="18"/>
  <c r="H76" i="18"/>
  <c r="N76" i="18" s="1"/>
  <c r="D76" i="18"/>
  <c r="L76" i="18" s="1"/>
  <c r="B76" i="18"/>
  <c r="X75" i="18"/>
  <c r="Z75" i="18" s="1"/>
  <c r="T75" i="18"/>
  <c r="P75" i="18"/>
  <c r="H75" i="18"/>
  <c r="L75" i="18" s="1"/>
  <c r="D75" i="18"/>
  <c r="B75" i="18"/>
  <c r="T74" i="18"/>
  <c r="P74" i="18"/>
  <c r="X74" i="18" s="1"/>
  <c r="Z74" i="18" s="1"/>
  <c r="L74" i="18"/>
  <c r="N74" i="18" s="1"/>
  <c r="H74" i="18"/>
  <c r="D74" i="18"/>
  <c r="B74" i="18"/>
  <c r="T73" i="18"/>
  <c r="P73" i="18"/>
  <c r="X73" i="18" s="1"/>
  <c r="H73" i="18"/>
  <c r="D73" i="18"/>
  <c r="L73" i="18" s="1"/>
  <c r="N73" i="18" s="1"/>
  <c r="B73" i="18"/>
  <c r="T72" i="18"/>
  <c r="P72" i="18"/>
  <c r="X72" i="18" s="1"/>
  <c r="H72" i="18"/>
  <c r="D72" i="18"/>
  <c r="B72" i="18"/>
  <c r="T71" i="18"/>
  <c r="X71" i="18" s="1"/>
  <c r="P71" i="18"/>
  <c r="N71" i="18"/>
  <c r="L71" i="18"/>
  <c r="H71" i="18"/>
  <c r="D71" i="18"/>
  <c r="B71" i="18"/>
  <c r="X70" i="18"/>
  <c r="Z70" i="18" s="1"/>
  <c r="T70" i="18"/>
  <c r="P70" i="18"/>
  <c r="H70" i="18"/>
  <c r="D70" i="18"/>
  <c r="L70" i="18" s="1"/>
  <c r="N70" i="18" s="1"/>
  <c r="B70" i="18"/>
  <c r="T69" i="18"/>
  <c r="P69" i="18"/>
  <c r="X69" i="18" s="1"/>
  <c r="Z69" i="18" s="1"/>
  <c r="H69" i="18"/>
  <c r="N69" i="18" s="1"/>
  <c r="D69" i="18"/>
  <c r="L69" i="18" s="1"/>
  <c r="B69" i="18"/>
  <c r="T68" i="18"/>
  <c r="P68" i="18"/>
  <c r="H68" i="18"/>
  <c r="N68" i="18" s="1"/>
  <c r="D68" i="18"/>
  <c r="L68" i="18" s="1"/>
  <c r="B68" i="18"/>
  <c r="Z67" i="18"/>
  <c r="X67" i="18"/>
  <c r="T67" i="18"/>
  <c r="P67" i="18"/>
  <c r="H67" i="18"/>
  <c r="L67" i="18" s="1"/>
  <c r="D67" i="18"/>
  <c r="B67" i="18"/>
  <c r="T66" i="18"/>
  <c r="P66" i="18"/>
  <c r="X66" i="18" s="1"/>
  <c r="Z66" i="18" s="1"/>
  <c r="L66" i="18"/>
  <c r="N66" i="18" s="1"/>
  <c r="H66" i="18"/>
  <c r="D66" i="18"/>
  <c r="B66" i="18"/>
  <c r="T65" i="18"/>
  <c r="Z65" i="18" s="1"/>
  <c r="P65" i="18"/>
  <c r="X65" i="18" s="1"/>
  <c r="N65" i="18"/>
  <c r="H65" i="18"/>
  <c r="D65" i="18"/>
  <c r="L65" i="18" s="1"/>
  <c r="B65" i="18"/>
  <c r="T64" i="18"/>
  <c r="Z64" i="18" s="1"/>
  <c r="P64" i="18"/>
  <c r="X64" i="18" s="1"/>
  <c r="L64" i="18"/>
  <c r="H64" i="18"/>
  <c r="N64" i="18" s="1"/>
  <c r="D64" i="18"/>
  <c r="B64" i="18"/>
  <c r="T63" i="18"/>
  <c r="X63" i="18" s="1"/>
  <c r="P63" i="18"/>
  <c r="N63" i="18"/>
  <c r="L63" i="18"/>
  <c r="H63" i="18"/>
  <c r="D63" i="18"/>
  <c r="B63" i="18"/>
  <c r="X62" i="18"/>
  <c r="Z62" i="18" s="1"/>
  <c r="T62" i="18"/>
  <c r="P62" i="18"/>
  <c r="H62" i="18"/>
  <c r="D62" i="18"/>
  <c r="L62" i="18" s="1"/>
  <c r="N62" i="18" s="1"/>
  <c r="B62" i="18"/>
  <c r="T61" i="18"/>
  <c r="P61" i="18"/>
  <c r="X61" i="18" s="1"/>
  <c r="Z61" i="18" s="1"/>
  <c r="H61" i="18"/>
  <c r="N61" i="18" s="1"/>
  <c r="D61" i="18"/>
  <c r="L61" i="18" s="1"/>
  <c r="B61" i="18"/>
  <c r="X60" i="18"/>
  <c r="T60" i="18"/>
  <c r="Z60" i="18" s="1"/>
  <c r="P60" i="18"/>
  <c r="H60" i="18"/>
  <c r="N60" i="18" s="1"/>
  <c r="D60" i="18"/>
  <c r="L60" i="18" s="1"/>
  <c r="B60" i="18"/>
  <c r="Z59" i="18"/>
  <c r="X59" i="18"/>
  <c r="T59" i="18"/>
  <c r="P59" i="18"/>
  <c r="H59" i="18"/>
  <c r="L59" i="18" s="1"/>
  <c r="D59" i="18"/>
  <c r="B59" i="18"/>
  <c r="T58" i="18"/>
  <c r="P58" i="18"/>
  <c r="X58" i="18" s="1"/>
  <c r="Z58" i="18" s="1"/>
  <c r="L58" i="18"/>
  <c r="N58" i="18" s="1"/>
  <c r="H58" i="18"/>
  <c r="D58" i="18"/>
  <c r="B58" i="18"/>
  <c r="T57" i="18"/>
  <c r="Z57" i="18" s="1"/>
  <c r="P57" i="18"/>
  <c r="X57" i="18" s="1"/>
  <c r="H57" i="18"/>
  <c r="D57" i="18"/>
  <c r="L57" i="18" s="1"/>
  <c r="N57" i="18" s="1"/>
  <c r="B57" i="18"/>
  <c r="T56" i="18"/>
  <c r="Z56" i="18" s="1"/>
  <c r="P56" i="18"/>
  <c r="X56" i="18" s="1"/>
  <c r="L56" i="18"/>
  <c r="H56" i="18"/>
  <c r="N56" i="18" s="1"/>
  <c r="D56" i="18"/>
  <c r="B56" i="18"/>
  <c r="T55" i="18"/>
  <c r="X55" i="18" s="1"/>
  <c r="P55" i="18"/>
  <c r="N55" i="18"/>
  <c r="L55" i="18"/>
  <c r="H55" i="18"/>
  <c r="D55" i="18"/>
  <c r="B55" i="18"/>
  <c r="X54" i="18"/>
  <c r="Z54" i="18" s="1"/>
  <c r="T54" i="18"/>
  <c r="P54" i="18"/>
  <c r="N54" i="18"/>
  <c r="H54" i="18"/>
  <c r="D54" i="18"/>
  <c r="L54" i="18" s="1"/>
  <c r="B54" i="18"/>
  <c r="T53" i="18"/>
  <c r="P53" i="18"/>
  <c r="X53" i="18" s="1"/>
  <c r="Z53" i="18" s="1"/>
  <c r="H53" i="18"/>
  <c r="N53" i="18" s="1"/>
  <c r="D53" i="18"/>
  <c r="L53" i="18" s="1"/>
  <c r="B53" i="18"/>
  <c r="X52" i="18"/>
  <c r="T52" i="18"/>
  <c r="Z52" i="18" s="1"/>
  <c r="P52" i="18"/>
  <c r="H52" i="18"/>
  <c r="D52" i="18"/>
  <c r="L52" i="18" s="1"/>
  <c r="B52" i="18"/>
  <c r="Z51" i="18"/>
  <c r="X51" i="18"/>
  <c r="T51" i="18"/>
  <c r="P51" i="18"/>
  <c r="H51" i="18"/>
  <c r="L51" i="18" s="1"/>
  <c r="D51" i="18"/>
  <c r="B51" i="18"/>
  <c r="T50" i="18"/>
  <c r="P50" i="18"/>
  <c r="X50" i="18" s="1"/>
  <c r="Z50" i="18" s="1"/>
  <c r="N50" i="18"/>
  <c r="L50" i="18"/>
  <c r="H50" i="18"/>
  <c r="D50" i="18"/>
  <c r="B50" i="18"/>
  <c r="T49" i="18"/>
  <c r="Z49" i="18" s="1"/>
  <c r="P49" i="18"/>
  <c r="X49" i="18" s="1"/>
  <c r="N49" i="18"/>
  <c r="H49" i="18"/>
  <c r="D49" i="18"/>
  <c r="L49" i="18" s="1"/>
  <c r="B49" i="18"/>
  <c r="T48" i="18"/>
  <c r="Z48" i="18" s="1"/>
  <c r="P48" i="18"/>
  <c r="X48" i="18" s="1"/>
  <c r="L48" i="18"/>
  <c r="H48" i="18"/>
  <c r="N48" i="18" s="1"/>
  <c r="D48" i="18"/>
  <c r="B48" i="18"/>
  <c r="T47" i="18"/>
  <c r="X47" i="18" s="1"/>
  <c r="P47" i="18"/>
  <c r="N47" i="18"/>
  <c r="L47" i="18"/>
  <c r="H47" i="18"/>
  <c r="D47" i="18"/>
  <c r="B47" i="18"/>
  <c r="X46" i="18"/>
  <c r="Z46" i="18" s="1"/>
  <c r="T46" i="18"/>
  <c r="P46" i="18"/>
  <c r="N46" i="18"/>
  <c r="H46" i="18"/>
  <c r="D46" i="18"/>
  <c r="L46" i="18" s="1"/>
  <c r="B46" i="18"/>
  <c r="T45" i="18"/>
  <c r="P45" i="18"/>
  <c r="X45" i="18" s="1"/>
  <c r="Z45" i="18" s="1"/>
  <c r="H45" i="18"/>
  <c r="D45" i="18"/>
  <c r="L45" i="18" s="1"/>
  <c r="B45" i="18"/>
  <c r="X44" i="18"/>
  <c r="T44" i="18"/>
  <c r="Z44" i="18" s="1"/>
  <c r="P44" i="18"/>
  <c r="H44" i="18"/>
  <c r="N44" i="18" s="1"/>
  <c r="D44" i="18"/>
  <c r="L44" i="18" s="1"/>
  <c r="B44" i="18"/>
  <c r="Z43" i="18"/>
  <c r="X43" i="18"/>
  <c r="T43" i="18"/>
  <c r="P43" i="18"/>
  <c r="H43" i="18"/>
  <c r="L43" i="18" s="1"/>
  <c r="D43" i="18"/>
  <c r="B43" i="18"/>
  <c r="T42" i="18"/>
  <c r="P42" i="18"/>
  <c r="X42" i="18" s="1"/>
  <c r="Z42" i="18" s="1"/>
  <c r="L42" i="18"/>
  <c r="N42" i="18" s="1"/>
  <c r="H42" i="18"/>
  <c r="D42" i="18"/>
  <c r="B42" i="18"/>
  <c r="T41" i="18"/>
  <c r="P41" i="18"/>
  <c r="X41" i="18" s="1"/>
  <c r="H41" i="18"/>
  <c r="D41" i="18"/>
  <c r="L41" i="18" s="1"/>
  <c r="N41" i="18" s="1"/>
  <c r="B41" i="18"/>
  <c r="T40" i="18"/>
  <c r="P40" i="18"/>
  <c r="X40" i="18" s="1"/>
  <c r="L40" i="18"/>
  <c r="H40" i="18"/>
  <c r="N40" i="18" s="1"/>
  <c r="D40" i="18"/>
  <c r="B40" i="18"/>
  <c r="T39" i="18"/>
  <c r="X39" i="18" s="1"/>
  <c r="P39" i="18"/>
  <c r="N39" i="18"/>
  <c r="L39" i="18"/>
  <c r="H39" i="18"/>
  <c r="D39" i="18"/>
  <c r="B39" i="18"/>
  <c r="X38" i="18"/>
  <c r="Z38" i="18" s="1"/>
  <c r="T38" i="18"/>
  <c r="P38" i="18"/>
  <c r="H38" i="18"/>
  <c r="D38" i="18"/>
  <c r="L38" i="18" s="1"/>
  <c r="N38" i="18" s="1"/>
  <c r="B38" i="18"/>
  <c r="T37" i="18"/>
  <c r="P37" i="18"/>
  <c r="X37" i="18" s="1"/>
  <c r="Z37" i="18" s="1"/>
  <c r="H37" i="18"/>
  <c r="D37" i="18"/>
  <c r="L37" i="18" s="1"/>
  <c r="B37" i="18"/>
  <c r="X36" i="18"/>
  <c r="T36" i="18"/>
  <c r="Z36" i="18" s="1"/>
  <c r="P36" i="18"/>
  <c r="H36" i="18"/>
  <c r="D36" i="18"/>
  <c r="L36" i="18" s="1"/>
  <c r="B36" i="18"/>
  <c r="Z35" i="18"/>
  <c r="X35" i="18"/>
  <c r="T35" i="18"/>
  <c r="P35" i="18"/>
  <c r="H35" i="18"/>
  <c r="L35" i="18" s="1"/>
  <c r="D35" i="18"/>
  <c r="B35" i="18"/>
  <c r="T34" i="18"/>
  <c r="P34" i="18"/>
  <c r="X34" i="18" s="1"/>
  <c r="Z34" i="18" s="1"/>
  <c r="L34" i="18"/>
  <c r="N34" i="18" s="1"/>
  <c r="H34" i="18"/>
  <c r="D34" i="18"/>
  <c r="B34" i="18"/>
  <c r="T33" i="18"/>
  <c r="P33" i="18"/>
  <c r="X33" i="18" s="1"/>
  <c r="H33" i="18"/>
  <c r="D33" i="18"/>
  <c r="L33" i="18" s="1"/>
  <c r="N33" i="18" s="1"/>
  <c r="B33" i="18"/>
  <c r="T32" i="18"/>
  <c r="P32" i="18"/>
  <c r="X32" i="18" s="1"/>
  <c r="L32" i="18"/>
  <c r="H32" i="18"/>
  <c r="N32" i="18" s="1"/>
  <c r="D32" i="18"/>
  <c r="B32" i="18"/>
  <c r="T31" i="18"/>
  <c r="X31" i="18" s="1"/>
  <c r="P31" i="18"/>
  <c r="N31" i="18"/>
  <c r="L31" i="18"/>
  <c r="H31" i="18"/>
  <c r="D31" i="18"/>
  <c r="B31" i="18"/>
  <c r="X30" i="18"/>
  <c r="Z30" i="18" s="1"/>
  <c r="T30" i="18"/>
  <c r="P30" i="18"/>
  <c r="H30" i="18"/>
  <c r="D30" i="18"/>
  <c r="L30" i="18" s="1"/>
  <c r="N30" i="18" s="1"/>
  <c r="B30" i="18"/>
  <c r="T29" i="18"/>
  <c r="P29" i="18"/>
  <c r="X29" i="18" s="1"/>
  <c r="Z29" i="18" s="1"/>
  <c r="H29" i="18"/>
  <c r="D29" i="18"/>
  <c r="L29" i="18" s="1"/>
  <c r="B29" i="18"/>
  <c r="X28" i="18"/>
  <c r="T28" i="18"/>
  <c r="Z28" i="18" s="1"/>
  <c r="P28" i="18"/>
  <c r="H28" i="18"/>
  <c r="D28" i="18"/>
  <c r="L28" i="18" s="1"/>
  <c r="B28" i="18"/>
  <c r="Z27" i="18"/>
  <c r="X27" i="18"/>
  <c r="T27" i="18"/>
  <c r="P27" i="18"/>
  <c r="H27" i="18"/>
  <c r="L27" i="18" s="1"/>
  <c r="D27" i="18"/>
  <c r="B27" i="18"/>
  <c r="T26" i="18"/>
  <c r="P26" i="18"/>
  <c r="X26" i="18" s="1"/>
  <c r="Z26" i="18" s="1"/>
  <c r="L26" i="18"/>
  <c r="N26" i="18" s="1"/>
  <c r="H26" i="18"/>
  <c r="D26" i="18"/>
  <c r="B26" i="18"/>
  <c r="T25" i="18"/>
  <c r="P25" i="18"/>
  <c r="X25" i="18" s="1"/>
  <c r="N25" i="18"/>
  <c r="H25" i="18"/>
  <c r="D25" i="18"/>
  <c r="L25" i="18" s="1"/>
  <c r="B25" i="18"/>
  <c r="T24" i="18"/>
  <c r="Z24" i="18" s="1"/>
  <c r="P24" i="18"/>
  <c r="X24" i="18" s="1"/>
  <c r="L24" i="18"/>
  <c r="H24" i="18"/>
  <c r="N24" i="18" s="1"/>
  <c r="D24" i="18"/>
  <c r="B24" i="18"/>
  <c r="T23" i="18"/>
  <c r="X23" i="18" s="1"/>
  <c r="P23" i="18"/>
  <c r="N23" i="18"/>
  <c r="L23" i="18"/>
  <c r="H23" i="18"/>
  <c r="D23" i="18"/>
  <c r="B23" i="18"/>
  <c r="X22" i="18"/>
  <c r="Z22" i="18" s="1"/>
  <c r="T22" i="18"/>
  <c r="P22" i="18"/>
  <c r="H22" i="18"/>
  <c r="D22" i="18"/>
  <c r="L22" i="18" s="1"/>
  <c r="N22" i="18" s="1"/>
  <c r="B22" i="18"/>
  <c r="T21" i="18"/>
  <c r="P21" i="18"/>
  <c r="X21" i="18" s="1"/>
  <c r="Z21" i="18" s="1"/>
  <c r="H21" i="18"/>
  <c r="N21" i="18" s="1"/>
  <c r="D21" i="18"/>
  <c r="L21" i="18" s="1"/>
  <c r="B21" i="18"/>
  <c r="X20" i="18"/>
  <c r="T20" i="18"/>
  <c r="Z20" i="18" s="1"/>
  <c r="P20" i="18"/>
  <c r="H20" i="18"/>
  <c r="N20" i="18" s="1"/>
  <c r="D20" i="18"/>
  <c r="L20" i="18" s="1"/>
  <c r="B20" i="18"/>
  <c r="Z19" i="18"/>
  <c r="X19" i="18"/>
  <c r="T19" i="18"/>
  <c r="P19" i="18"/>
  <c r="H19" i="18"/>
  <c r="L19" i="18" s="1"/>
  <c r="D19" i="18"/>
  <c r="B19" i="18"/>
  <c r="T18" i="18"/>
  <c r="P18" i="18"/>
  <c r="X18" i="18" s="1"/>
  <c r="Z18" i="18" s="1"/>
  <c r="L18" i="18"/>
  <c r="N18" i="18" s="1"/>
  <c r="H18" i="18"/>
  <c r="D18" i="18"/>
  <c r="B18" i="18"/>
  <c r="T17" i="18"/>
  <c r="Z17" i="18" s="1"/>
  <c r="P17" i="18"/>
  <c r="X17" i="18" s="1"/>
  <c r="N17" i="18"/>
  <c r="H17" i="18"/>
  <c r="H12" i="18" s="1"/>
  <c r="D17" i="18"/>
  <c r="L17" i="18" s="1"/>
  <c r="B17" i="18"/>
  <c r="T16" i="18"/>
  <c r="Z16" i="18" s="1"/>
  <c r="P16" i="18"/>
  <c r="X16" i="18" s="1"/>
  <c r="L16" i="18"/>
  <c r="H16" i="18"/>
  <c r="N16" i="18" s="1"/>
  <c r="D16" i="18"/>
  <c r="B16" i="18"/>
  <c r="T15" i="18"/>
  <c r="X15" i="18" s="1"/>
  <c r="P15" i="18"/>
  <c r="N15" i="18"/>
  <c r="L15" i="18"/>
  <c r="H15" i="18"/>
  <c r="D15" i="18"/>
  <c r="B15" i="18"/>
  <c r="X14" i="18"/>
  <c r="Z14" i="18" s="1"/>
  <c r="T14" i="18"/>
  <c r="P14" i="18"/>
  <c r="H14" i="18"/>
  <c r="D14" i="18"/>
  <c r="L14" i="18" s="1"/>
  <c r="N14" i="18" s="1"/>
  <c r="B14" i="18"/>
  <c r="T13" i="18"/>
  <c r="T12" i="18" s="1"/>
  <c r="P13" i="18"/>
  <c r="X13" i="18" s="1"/>
  <c r="Z13" i="18" s="1"/>
  <c r="H13" i="18"/>
  <c r="N13" i="18" s="1"/>
  <c r="D13" i="18"/>
  <c r="L13" i="18" s="1"/>
  <c r="B13" i="18"/>
  <c r="D12" i="18"/>
  <c r="F240" i="18" s="1"/>
  <c r="D4" i="18"/>
  <c r="B39" i="17"/>
  <c r="B38" i="17"/>
  <c r="T34" i="17"/>
  <c r="Z34" i="17" s="1"/>
  <c r="P34" i="17"/>
  <c r="H34" i="17"/>
  <c r="N34" i="17" s="1"/>
  <c r="D34" i="17"/>
  <c r="T33" i="17"/>
  <c r="Z33" i="17" s="1"/>
  <c r="P33" i="17"/>
  <c r="H33" i="17"/>
  <c r="N33" i="17" s="1"/>
  <c r="D33" i="17"/>
  <c r="T29" i="17"/>
  <c r="Z29" i="17" s="1"/>
  <c r="P29" i="17"/>
  <c r="H29" i="17"/>
  <c r="N29" i="17" s="1"/>
  <c r="D29" i="17"/>
  <c r="T25" i="17"/>
  <c r="Z25" i="17" s="1"/>
  <c r="P25" i="17"/>
  <c r="H25" i="17"/>
  <c r="N25" i="17" s="1"/>
  <c r="D25" i="17"/>
  <c r="B25" i="17"/>
  <c r="T24" i="17"/>
  <c r="Z24" i="17" s="1"/>
  <c r="P24" i="17"/>
  <c r="H24" i="17"/>
  <c r="N24" i="17" s="1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N21" i="17" s="1"/>
  <c r="D21" i="17"/>
  <c r="B21" i="17"/>
  <c r="T20" i="17"/>
  <c r="Z20" i="17" s="1"/>
  <c r="P20" i="17"/>
  <c r="H20" i="17"/>
  <c r="N20" i="17" s="1"/>
  <c r="D20" i="17"/>
  <c r="L20" i="17" s="1"/>
  <c r="T16" i="17"/>
  <c r="Z16" i="17" s="1"/>
  <c r="P16" i="17"/>
  <c r="H16" i="17"/>
  <c r="N16" i="17" s="1"/>
  <c r="D16" i="17"/>
  <c r="B16" i="17"/>
  <c r="T15" i="17"/>
  <c r="Z15" i="17" s="1"/>
  <c r="P15" i="17"/>
  <c r="H15" i="17"/>
  <c r="N15" i="17" s="1"/>
  <c r="D15" i="17"/>
  <c r="T13" i="17"/>
  <c r="Z13" i="17" s="1"/>
  <c r="P13" i="17"/>
  <c r="H13" i="17"/>
  <c r="N13" i="17" s="1"/>
  <c r="D13" i="17"/>
  <c r="B13" i="17"/>
  <c r="T12" i="17"/>
  <c r="V22" i="17" s="1"/>
  <c r="P12" i="17"/>
  <c r="R22" i="17" s="1"/>
  <c r="H12" i="17"/>
  <c r="J20" i="17" s="1"/>
  <c r="D12" i="17"/>
  <c r="D5" i="17"/>
  <c r="D4" i="17"/>
  <c r="B39" i="16"/>
  <c r="B38" i="16"/>
  <c r="T34" i="16"/>
  <c r="Z34" i="16" s="1"/>
  <c r="P34" i="16"/>
  <c r="H34" i="16"/>
  <c r="N34" i="16" s="1"/>
  <c r="D34" i="16"/>
  <c r="T33" i="16"/>
  <c r="Z33" i="16" s="1"/>
  <c r="P33" i="16"/>
  <c r="H33" i="16"/>
  <c r="N33" i="16" s="1"/>
  <c r="D33" i="16"/>
  <c r="T29" i="16"/>
  <c r="Z29" i="16" s="1"/>
  <c r="P29" i="16"/>
  <c r="H29" i="16"/>
  <c r="N29" i="16" s="1"/>
  <c r="D29" i="16"/>
  <c r="T25" i="16"/>
  <c r="Z25" i="16" s="1"/>
  <c r="P25" i="16"/>
  <c r="H25" i="16"/>
  <c r="N25" i="16" s="1"/>
  <c r="D25" i="16"/>
  <c r="B25" i="16"/>
  <c r="T24" i="16"/>
  <c r="Z24" i="16" s="1"/>
  <c r="P24" i="16"/>
  <c r="H24" i="16"/>
  <c r="N24" i="16" s="1"/>
  <c r="D24" i="16"/>
  <c r="T22" i="16"/>
  <c r="Z22" i="16" s="1"/>
  <c r="P22" i="16"/>
  <c r="H22" i="16"/>
  <c r="N22" i="16" s="1"/>
  <c r="D22" i="16"/>
  <c r="B22" i="16"/>
  <c r="T21" i="16"/>
  <c r="Z21" i="16" s="1"/>
  <c r="P21" i="16"/>
  <c r="H21" i="16"/>
  <c r="N21" i="16" s="1"/>
  <c r="D21" i="16"/>
  <c r="B21" i="16"/>
  <c r="T20" i="16"/>
  <c r="Z20" i="16" s="1"/>
  <c r="P20" i="16"/>
  <c r="H20" i="16"/>
  <c r="N20" i="16" s="1"/>
  <c r="D20" i="16"/>
  <c r="T16" i="16"/>
  <c r="Z16" i="16" s="1"/>
  <c r="P16" i="16"/>
  <c r="H16" i="16"/>
  <c r="N16" i="16" s="1"/>
  <c r="D16" i="16"/>
  <c r="B16" i="16"/>
  <c r="T15" i="16"/>
  <c r="P15" i="16"/>
  <c r="H15" i="16"/>
  <c r="N15" i="16" s="1"/>
  <c r="D15" i="16"/>
  <c r="T13" i="16"/>
  <c r="Z13" i="16" s="1"/>
  <c r="P13" i="16"/>
  <c r="H13" i="16"/>
  <c r="N13" i="16" s="1"/>
  <c r="D13" i="16"/>
  <c r="B13" i="16"/>
  <c r="T12" i="16"/>
  <c r="V36" i="16" s="1"/>
  <c r="P12" i="16"/>
  <c r="R36" i="16" s="1"/>
  <c r="H12" i="16"/>
  <c r="J20" i="16" s="1"/>
  <c r="D12" i="16"/>
  <c r="F36" i="16" s="1"/>
  <c r="D5" i="16"/>
  <c r="D4" i="16"/>
  <c r="X220" i="15"/>
  <c r="Z220" i="15" s="1"/>
  <c r="N220" i="15"/>
  <c r="L220" i="15"/>
  <c r="T216" i="15"/>
  <c r="P216" i="15"/>
  <c r="X216" i="15" s="1"/>
  <c r="Z216" i="15" s="1"/>
  <c r="H216" i="15"/>
  <c r="N216" i="15" s="1"/>
  <c r="D216" i="15"/>
  <c r="L216" i="15" s="1"/>
  <c r="B216" i="15"/>
  <c r="T215" i="15"/>
  <c r="P215" i="15"/>
  <c r="H215" i="15"/>
  <c r="D215" i="15"/>
  <c r="L215" i="15" s="1"/>
  <c r="N215" i="15" s="1"/>
  <c r="B215" i="15"/>
  <c r="Z214" i="15"/>
  <c r="X214" i="15"/>
  <c r="T214" i="15"/>
  <c r="P214" i="15"/>
  <c r="P212" i="15" s="1"/>
  <c r="H214" i="15"/>
  <c r="L214" i="15" s="1"/>
  <c r="D214" i="15"/>
  <c r="B214" i="15"/>
  <c r="X213" i="15"/>
  <c r="T213" i="15"/>
  <c r="P213" i="15"/>
  <c r="H213" i="15"/>
  <c r="D213" i="15"/>
  <c r="B213" i="15"/>
  <c r="Z210" i="15"/>
  <c r="X210" i="15"/>
  <c r="L210" i="15"/>
  <c r="N210" i="15" s="1"/>
  <c r="B210" i="15"/>
  <c r="X209" i="15"/>
  <c r="Z209" i="15" s="1"/>
  <c r="T209" i="15"/>
  <c r="P209" i="15"/>
  <c r="H209" i="15"/>
  <c r="D209" i="15"/>
  <c r="B209" i="15"/>
  <c r="X208" i="15"/>
  <c r="Z208" i="15" s="1"/>
  <c r="N208" i="15"/>
  <c r="L208" i="15"/>
  <c r="B208" i="15"/>
  <c r="Z207" i="15"/>
  <c r="X207" i="15"/>
  <c r="N207" i="15"/>
  <c r="L207" i="15"/>
  <c r="B207" i="15"/>
  <c r="Z206" i="15"/>
  <c r="X206" i="15"/>
  <c r="N206" i="15"/>
  <c r="L206" i="15"/>
  <c r="B206" i="15"/>
  <c r="X205" i="15"/>
  <c r="Z205" i="15" s="1"/>
  <c r="T205" i="15"/>
  <c r="P205" i="15"/>
  <c r="H205" i="15"/>
  <c r="N205" i="15" s="1"/>
  <c r="D205" i="15"/>
  <c r="B205" i="15"/>
  <c r="X204" i="15"/>
  <c r="Z204" i="15" s="1"/>
  <c r="N204" i="15"/>
  <c r="L204" i="15"/>
  <c r="B204" i="15"/>
  <c r="T203" i="15"/>
  <c r="P203" i="15"/>
  <c r="H203" i="15"/>
  <c r="N203" i="15" s="1"/>
  <c r="D203" i="15"/>
  <c r="L203" i="15" s="1"/>
  <c r="B203" i="15"/>
  <c r="X202" i="15"/>
  <c r="Z202" i="15" s="1"/>
  <c r="N202" i="15"/>
  <c r="L202" i="15"/>
  <c r="B202" i="15"/>
  <c r="X201" i="15"/>
  <c r="Z201" i="15" s="1"/>
  <c r="N201" i="15"/>
  <c r="L201" i="15"/>
  <c r="B201" i="15"/>
  <c r="T200" i="15"/>
  <c r="P200" i="15"/>
  <c r="X200" i="15" s="1"/>
  <c r="Z200" i="15" s="1"/>
  <c r="L200" i="15"/>
  <c r="H200" i="15"/>
  <c r="N200" i="15" s="1"/>
  <c r="D200" i="15"/>
  <c r="B200" i="15"/>
  <c r="Z199" i="15"/>
  <c r="X199" i="15"/>
  <c r="L199" i="15"/>
  <c r="N199" i="15" s="1"/>
  <c r="B199" i="15"/>
  <c r="X198" i="15"/>
  <c r="Z198" i="15" s="1"/>
  <c r="N198" i="15"/>
  <c r="L198" i="15"/>
  <c r="B198" i="15"/>
  <c r="Z197" i="15"/>
  <c r="X197" i="15"/>
  <c r="N197" i="15"/>
  <c r="L197" i="15"/>
  <c r="B197" i="15"/>
  <c r="Z196" i="15"/>
  <c r="X196" i="15"/>
  <c r="L196" i="15"/>
  <c r="N196" i="15" s="1"/>
  <c r="B196" i="15"/>
  <c r="X195" i="15"/>
  <c r="Z195" i="15" s="1"/>
  <c r="N195" i="15"/>
  <c r="L195" i="15"/>
  <c r="B195" i="15"/>
  <c r="Z194" i="15"/>
  <c r="X194" i="15"/>
  <c r="L194" i="15"/>
  <c r="N194" i="15" s="1"/>
  <c r="B194" i="15"/>
  <c r="Z193" i="15"/>
  <c r="X193" i="15"/>
  <c r="N193" i="15"/>
  <c r="L193" i="15"/>
  <c r="B193" i="15"/>
  <c r="T192" i="15"/>
  <c r="P192" i="15"/>
  <c r="N192" i="15"/>
  <c r="H192" i="15"/>
  <c r="D192" i="15"/>
  <c r="L192" i="15" s="1"/>
  <c r="B192" i="15"/>
  <c r="X191" i="15"/>
  <c r="Z191" i="15" s="1"/>
  <c r="N191" i="15"/>
  <c r="L191" i="15"/>
  <c r="B191" i="15"/>
  <c r="Z190" i="15"/>
  <c r="X190" i="15"/>
  <c r="L190" i="15"/>
  <c r="N190" i="15" s="1"/>
  <c r="B190" i="15"/>
  <c r="T189" i="15"/>
  <c r="P189" i="15"/>
  <c r="X189" i="15" s="1"/>
  <c r="Z189" i="15" s="1"/>
  <c r="L189" i="15"/>
  <c r="H189" i="15"/>
  <c r="D189" i="15"/>
  <c r="B189" i="15"/>
  <c r="Z188" i="15"/>
  <c r="X188" i="15"/>
  <c r="L188" i="15"/>
  <c r="N188" i="15" s="1"/>
  <c r="B188" i="15"/>
  <c r="X187" i="15"/>
  <c r="Z187" i="15" s="1"/>
  <c r="N187" i="15"/>
  <c r="L187" i="15"/>
  <c r="B187" i="15"/>
  <c r="Z186" i="15"/>
  <c r="X186" i="15"/>
  <c r="N186" i="15"/>
  <c r="L186" i="15"/>
  <c r="B186" i="15"/>
  <c r="Z185" i="15"/>
  <c r="X185" i="15"/>
  <c r="N185" i="15"/>
  <c r="L185" i="15"/>
  <c r="B185" i="15"/>
  <c r="T184" i="15"/>
  <c r="P184" i="15"/>
  <c r="N184" i="15"/>
  <c r="H184" i="15"/>
  <c r="D184" i="15"/>
  <c r="L184" i="15" s="1"/>
  <c r="B184" i="15"/>
  <c r="X183" i="15"/>
  <c r="Z183" i="15" s="1"/>
  <c r="N183" i="15"/>
  <c r="L183" i="15"/>
  <c r="B183" i="15"/>
  <c r="Z182" i="15"/>
  <c r="X182" i="15"/>
  <c r="N182" i="15"/>
  <c r="L182" i="15"/>
  <c r="B182" i="15"/>
  <c r="Z181" i="15"/>
  <c r="X181" i="15"/>
  <c r="N181" i="15"/>
  <c r="L181" i="15"/>
  <c r="B181" i="15"/>
  <c r="T180" i="15"/>
  <c r="P180" i="15"/>
  <c r="H180" i="15"/>
  <c r="D180" i="15"/>
  <c r="L180" i="15" s="1"/>
  <c r="N180" i="15" s="1"/>
  <c r="B180" i="15"/>
  <c r="X179" i="15"/>
  <c r="Z179" i="15" s="1"/>
  <c r="N179" i="15"/>
  <c r="L179" i="15"/>
  <c r="B179" i="15"/>
  <c r="Z178" i="15"/>
  <c r="X178" i="15"/>
  <c r="L178" i="15"/>
  <c r="N178" i="15" s="1"/>
  <c r="B178" i="15"/>
  <c r="Z177" i="15"/>
  <c r="X177" i="15"/>
  <c r="N177" i="15"/>
  <c r="L177" i="15"/>
  <c r="B177" i="15"/>
  <c r="X176" i="15"/>
  <c r="Z176" i="15" s="1"/>
  <c r="N176" i="15"/>
  <c r="L176" i="15"/>
  <c r="B176" i="15"/>
  <c r="T175" i="15"/>
  <c r="Z175" i="15" s="1"/>
  <c r="P175" i="15"/>
  <c r="X175" i="15" s="1"/>
  <c r="H175" i="15"/>
  <c r="D175" i="15"/>
  <c r="L175" i="15" s="1"/>
  <c r="N175" i="15" s="1"/>
  <c r="B175" i="15"/>
  <c r="Z174" i="15"/>
  <c r="X174" i="15"/>
  <c r="L174" i="15"/>
  <c r="N174" i="15" s="1"/>
  <c r="B174" i="15"/>
  <c r="T173" i="15"/>
  <c r="P173" i="15"/>
  <c r="X173" i="15" s="1"/>
  <c r="Z173" i="15" s="1"/>
  <c r="L173" i="15"/>
  <c r="N173" i="15" s="1"/>
  <c r="H173" i="15"/>
  <c r="D173" i="15"/>
  <c r="B173" i="15"/>
  <c r="Z172" i="15"/>
  <c r="X172" i="15"/>
  <c r="N172" i="15"/>
  <c r="L172" i="15"/>
  <c r="B172" i="15"/>
  <c r="Z171" i="15"/>
  <c r="X171" i="15"/>
  <c r="T171" i="15"/>
  <c r="P171" i="15"/>
  <c r="H171" i="15"/>
  <c r="D171" i="15"/>
  <c r="B171" i="15"/>
  <c r="Z170" i="15"/>
  <c r="X170" i="15"/>
  <c r="N170" i="15"/>
  <c r="L170" i="15"/>
  <c r="B170" i="15"/>
  <c r="Z169" i="15"/>
  <c r="X169" i="15"/>
  <c r="N169" i="15"/>
  <c r="L169" i="15"/>
  <c r="B169" i="15"/>
  <c r="X168" i="15"/>
  <c r="Z168" i="15" s="1"/>
  <c r="T168" i="15"/>
  <c r="P168" i="15"/>
  <c r="L168" i="15"/>
  <c r="H168" i="15"/>
  <c r="N168" i="15" s="1"/>
  <c r="D168" i="15"/>
  <c r="B168" i="15"/>
  <c r="Z167" i="15"/>
  <c r="X167" i="15"/>
  <c r="L167" i="15"/>
  <c r="N167" i="15" s="1"/>
  <c r="B167" i="15"/>
  <c r="X166" i="15"/>
  <c r="T166" i="15"/>
  <c r="Z166" i="15" s="1"/>
  <c r="P166" i="15"/>
  <c r="H166" i="15"/>
  <c r="N166" i="15" s="1"/>
  <c r="D166" i="15"/>
  <c r="L166" i="15" s="1"/>
  <c r="B166" i="15"/>
  <c r="Z165" i="15"/>
  <c r="X165" i="15"/>
  <c r="N165" i="15"/>
  <c r="L165" i="15"/>
  <c r="B165" i="15"/>
  <c r="T164" i="15"/>
  <c r="P164" i="15"/>
  <c r="X164" i="15" s="1"/>
  <c r="H164" i="15"/>
  <c r="D164" i="15"/>
  <c r="L164" i="15" s="1"/>
  <c r="N164" i="15" s="1"/>
  <c r="B164" i="15"/>
  <c r="X163" i="15"/>
  <c r="Z163" i="15" s="1"/>
  <c r="N163" i="15"/>
  <c r="L163" i="15"/>
  <c r="B163" i="15"/>
  <c r="Z162" i="15"/>
  <c r="X162" i="15"/>
  <c r="L162" i="15"/>
  <c r="N162" i="15" s="1"/>
  <c r="B162" i="15"/>
  <c r="T161" i="15"/>
  <c r="P161" i="15"/>
  <c r="X161" i="15" s="1"/>
  <c r="Z161" i="15" s="1"/>
  <c r="L161" i="15"/>
  <c r="N161" i="15" s="1"/>
  <c r="H161" i="15"/>
  <c r="D161" i="15"/>
  <c r="B161" i="15"/>
  <c r="X160" i="15"/>
  <c r="Z160" i="15" s="1"/>
  <c r="L160" i="15"/>
  <c r="N160" i="15" s="1"/>
  <c r="B160" i="15"/>
  <c r="X159" i="15"/>
  <c r="Z159" i="15" s="1"/>
  <c r="T159" i="15"/>
  <c r="P159" i="15"/>
  <c r="H159" i="15"/>
  <c r="D159" i="15"/>
  <c r="B159" i="15"/>
  <c r="X158" i="15"/>
  <c r="Z158" i="15" s="1"/>
  <c r="N158" i="15"/>
  <c r="L158" i="15"/>
  <c r="B158" i="15"/>
  <c r="T157" i="15"/>
  <c r="P157" i="15"/>
  <c r="H157" i="15"/>
  <c r="N157" i="15" s="1"/>
  <c r="D157" i="15"/>
  <c r="L157" i="15" s="1"/>
  <c r="B157" i="15"/>
  <c r="Z156" i="15"/>
  <c r="X156" i="15"/>
  <c r="N156" i="15"/>
  <c r="L156" i="15"/>
  <c r="B156" i="15"/>
  <c r="T155" i="15"/>
  <c r="Z155" i="15" s="1"/>
  <c r="P155" i="15"/>
  <c r="X155" i="15" s="1"/>
  <c r="N155" i="15"/>
  <c r="H155" i="15"/>
  <c r="D155" i="15"/>
  <c r="L155" i="15" s="1"/>
  <c r="B155" i="15"/>
  <c r="Z154" i="15"/>
  <c r="X154" i="15"/>
  <c r="N154" i="15"/>
  <c r="L154" i="15"/>
  <c r="B154" i="15"/>
  <c r="Z153" i="15"/>
  <c r="X153" i="15"/>
  <c r="N153" i="15"/>
  <c r="L153" i="15"/>
  <c r="B153" i="15"/>
  <c r="T152" i="15"/>
  <c r="Z152" i="15" s="1"/>
  <c r="P152" i="15"/>
  <c r="X152" i="15" s="1"/>
  <c r="N152" i="15"/>
  <c r="H152" i="15"/>
  <c r="D152" i="15"/>
  <c r="L152" i="15" s="1"/>
  <c r="B152" i="15"/>
  <c r="X151" i="15"/>
  <c r="Z151" i="15" s="1"/>
  <c r="N151" i="15"/>
  <c r="L151" i="15"/>
  <c r="B151" i="15"/>
  <c r="Z150" i="15"/>
  <c r="X150" i="15"/>
  <c r="L150" i="15"/>
  <c r="N150" i="15" s="1"/>
  <c r="B150" i="15"/>
  <c r="T149" i="15"/>
  <c r="P149" i="15"/>
  <c r="X149" i="15" s="1"/>
  <c r="Z149" i="15" s="1"/>
  <c r="L149" i="15"/>
  <c r="N149" i="15" s="1"/>
  <c r="H149" i="15"/>
  <c r="D149" i="15"/>
  <c r="B149" i="15"/>
  <c r="X148" i="15"/>
  <c r="Z148" i="15" s="1"/>
  <c r="L148" i="15"/>
  <c r="N148" i="15" s="1"/>
  <c r="B148" i="15"/>
  <c r="X147" i="15"/>
  <c r="Z147" i="15" s="1"/>
  <c r="T147" i="15"/>
  <c r="P147" i="15"/>
  <c r="H147" i="15"/>
  <c r="D147" i="15"/>
  <c r="B147" i="15"/>
  <c r="X146" i="15"/>
  <c r="Z146" i="15" s="1"/>
  <c r="N146" i="15"/>
  <c r="L146" i="15"/>
  <c r="B146" i="15"/>
  <c r="T145" i="15"/>
  <c r="P145" i="15"/>
  <c r="H145" i="15"/>
  <c r="D145" i="15"/>
  <c r="L145" i="15" s="1"/>
  <c r="B145" i="15"/>
  <c r="X144" i="15"/>
  <c r="Z144" i="15" s="1"/>
  <c r="L144" i="15"/>
  <c r="N144" i="15" s="1"/>
  <c r="B144" i="15"/>
  <c r="T143" i="15"/>
  <c r="Z143" i="15" s="1"/>
  <c r="P143" i="15"/>
  <c r="X143" i="15" s="1"/>
  <c r="H143" i="15"/>
  <c r="D143" i="15"/>
  <c r="L143" i="15" s="1"/>
  <c r="N143" i="15" s="1"/>
  <c r="B143" i="15"/>
  <c r="Z142" i="15"/>
  <c r="X142" i="15"/>
  <c r="L142" i="15"/>
  <c r="N142" i="15" s="1"/>
  <c r="B142" i="15"/>
  <c r="Z141" i="15"/>
  <c r="X141" i="15"/>
  <c r="N141" i="15"/>
  <c r="L141" i="15"/>
  <c r="B141" i="15"/>
  <c r="Z140" i="15"/>
  <c r="X140" i="15"/>
  <c r="L140" i="15"/>
  <c r="N140" i="15" s="1"/>
  <c r="B140" i="15"/>
  <c r="Z139" i="15"/>
  <c r="X139" i="15"/>
  <c r="L139" i="15"/>
  <c r="N139" i="15" s="1"/>
  <c r="B139" i="15"/>
  <c r="X138" i="15"/>
  <c r="Z138" i="15" s="1"/>
  <c r="N138" i="15"/>
  <c r="L138" i="15"/>
  <c r="B138" i="15"/>
  <c r="Z137" i="15"/>
  <c r="X137" i="15"/>
  <c r="N137" i="15"/>
  <c r="L137" i="15"/>
  <c r="B137" i="15"/>
  <c r="X136" i="15"/>
  <c r="Z136" i="15" s="1"/>
  <c r="N136" i="15"/>
  <c r="L136" i="15"/>
  <c r="B136" i="15"/>
  <c r="X135" i="15"/>
  <c r="Z135" i="15" s="1"/>
  <c r="T135" i="15"/>
  <c r="P135" i="15"/>
  <c r="H135" i="15"/>
  <c r="D135" i="15"/>
  <c r="B135" i="15"/>
  <c r="X134" i="15"/>
  <c r="Z134" i="15" s="1"/>
  <c r="N134" i="15"/>
  <c r="L134" i="15"/>
  <c r="B134" i="15"/>
  <c r="Z133" i="15"/>
  <c r="X133" i="15"/>
  <c r="N133" i="15"/>
  <c r="L133" i="15"/>
  <c r="B133" i="15"/>
  <c r="X132" i="15"/>
  <c r="Z132" i="15" s="1"/>
  <c r="N132" i="15"/>
  <c r="L132" i="15"/>
  <c r="B132" i="15"/>
  <c r="X131" i="15"/>
  <c r="Z131" i="15" s="1"/>
  <c r="N131" i="15"/>
  <c r="L131" i="15"/>
  <c r="B131" i="15"/>
  <c r="Z130" i="15"/>
  <c r="X130" i="15"/>
  <c r="N130" i="15"/>
  <c r="L130" i="15"/>
  <c r="B130" i="15"/>
  <c r="Z129" i="15"/>
  <c r="X129" i="15"/>
  <c r="N129" i="15"/>
  <c r="L129" i="15"/>
  <c r="B129" i="15"/>
  <c r="X128" i="15"/>
  <c r="Z128" i="15" s="1"/>
  <c r="N128" i="15"/>
  <c r="L128" i="15"/>
  <c r="B128" i="15"/>
  <c r="Z127" i="15"/>
  <c r="X127" i="15"/>
  <c r="L127" i="15"/>
  <c r="N127" i="15" s="1"/>
  <c r="B127" i="15"/>
  <c r="X126" i="15"/>
  <c r="Z126" i="15" s="1"/>
  <c r="N126" i="15"/>
  <c r="L126" i="15"/>
  <c r="B126" i="15"/>
  <c r="Z125" i="15"/>
  <c r="X125" i="15"/>
  <c r="N125" i="15"/>
  <c r="L125" i="15"/>
  <c r="B125" i="15"/>
  <c r="X124" i="15"/>
  <c r="Z124" i="15" s="1"/>
  <c r="T124" i="15"/>
  <c r="P124" i="15"/>
  <c r="H124" i="15"/>
  <c r="D124" i="15"/>
  <c r="B124" i="15"/>
  <c r="T123" i="15"/>
  <c r="Z123" i="15" s="1"/>
  <c r="P123" i="15"/>
  <c r="X123" i="15" s="1"/>
  <c r="H123" i="15"/>
  <c r="N123" i="15" s="1"/>
  <c r="D123" i="15"/>
  <c r="L123" i="15" s="1"/>
  <c r="Z119" i="15"/>
  <c r="X119" i="15"/>
  <c r="N119" i="15"/>
  <c r="L119" i="15"/>
  <c r="B119" i="15"/>
  <c r="X118" i="15"/>
  <c r="Z118" i="15" s="1"/>
  <c r="N118" i="15"/>
  <c r="L118" i="15"/>
  <c r="B118" i="15"/>
  <c r="Z117" i="15"/>
  <c r="X117" i="15"/>
  <c r="N117" i="15"/>
  <c r="L117" i="15"/>
  <c r="B117" i="15"/>
  <c r="X116" i="15"/>
  <c r="Z116" i="15" s="1"/>
  <c r="L116" i="15"/>
  <c r="N116" i="15" s="1"/>
  <c r="B116" i="15"/>
  <c r="X115" i="15"/>
  <c r="Z115" i="15" s="1"/>
  <c r="N115" i="15"/>
  <c r="L115" i="15"/>
  <c r="B115" i="15"/>
  <c r="Z114" i="15"/>
  <c r="X114" i="15"/>
  <c r="L114" i="15"/>
  <c r="N114" i="15" s="1"/>
  <c r="B114" i="15"/>
  <c r="Z113" i="15"/>
  <c r="X113" i="15"/>
  <c r="L113" i="15"/>
  <c r="N113" i="15" s="1"/>
  <c r="B113" i="15"/>
  <c r="X112" i="15"/>
  <c r="Z112" i="15" s="1"/>
  <c r="L112" i="15"/>
  <c r="N112" i="15" s="1"/>
  <c r="B112" i="15"/>
  <c r="X111" i="15"/>
  <c r="Z111" i="15" s="1"/>
  <c r="L111" i="15"/>
  <c r="N111" i="15" s="1"/>
  <c r="B111" i="15"/>
  <c r="Z110" i="15"/>
  <c r="X110" i="15"/>
  <c r="N110" i="15"/>
  <c r="L110" i="15"/>
  <c r="B110" i="15"/>
  <c r="X109" i="15"/>
  <c r="Z109" i="15" s="1"/>
  <c r="N109" i="15"/>
  <c r="L109" i="15"/>
  <c r="B109" i="15"/>
  <c r="Z108" i="15"/>
  <c r="X108" i="15"/>
  <c r="N108" i="15"/>
  <c r="L108" i="15"/>
  <c r="B108" i="15"/>
  <c r="X107" i="15"/>
  <c r="Z107" i="15" s="1"/>
  <c r="N107" i="15"/>
  <c r="L107" i="15"/>
  <c r="B107" i="15"/>
  <c r="Z106" i="15"/>
  <c r="X106" i="15"/>
  <c r="N106" i="15"/>
  <c r="L106" i="15"/>
  <c r="B106" i="15"/>
  <c r="Z105" i="15"/>
  <c r="X105" i="15"/>
  <c r="L105" i="15"/>
  <c r="N105" i="15" s="1"/>
  <c r="B105" i="15"/>
  <c r="X104" i="15"/>
  <c r="Z104" i="15" s="1"/>
  <c r="L104" i="15"/>
  <c r="N104" i="15" s="1"/>
  <c r="B104" i="15"/>
  <c r="Z103" i="15"/>
  <c r="X103" i="15"/>
  <c r="N103" i="15"/>
  <c r="L103" i="15"/>
  <c r="B103" i="15"/>
  <c r="X102" i="15"/>
  <c r="Z102" i="15" s="1"/>
  <c r="N102" i="15"/>
  <c r="L102" i="15"/>
  <c r="B102" i="15"/>
  <c r="X101" i="15"/>
  <c r="Z101" i="15" s="1"/>
  <c r="N101" i="15"/>
  <c r="L101" i="15"/>
  <c r="B101" i="15"/>
  <c r="Z100" i="15"/>
  <c r="X100" i="15"/>
  <c r="N100" i="15"/>
  <c r="L100" i="15"/>
  <c r="B100" i="15"/>
  <c r="X99" i="15"/>
  <c r="Z99" i="15" s="1"/>
  <c r="L99" i="15"/>
  <c r="N99" i="15" s="1"/>
  <c r="B99" i="15"/>
  <c r="Z98" i="15"/>
  <c r="X98" i="15"/>
  <c r="N98" i="15"/>
  <c r="L98" i="15"/>
  <c r="B98" i="15"/>
  <c r="Z97" i="15"/>
  <c r="X97" i="15"/>
  <c r="L97" i="15"/>
  <c r="N97" i="15" s="1"/>
  <c r="B97" i="15"/>
  <c r="X96" i="15"/>
  <c r="Z96" i="15" s="1"/>
  <c r="L96" i="15"/>
  <c r="N96" i="15" s="1"/>
  <c r="B96" i="15"/>
  <c r="X95" i="15"/>
  <c r="Z95" i="15" s="1"/>
  <c r="L95" i="15"/>
  <c r="N95" i="15" s="1"/>
  <c r="B95" i="15"/>
  <c r="X94" i="15"/>
  <c r="Z94" i="15" s="1"/>
  <c r="N94" i="15"/>
  <c r="L94" i="15"/>
  <c r="B94" i="15"/>
  <c r="X93" i="15"/>
  <c r="Z93" i="15" s="1"/>
  <c r="N93" i="15"/>
  <c r="L93" i="15"/>
  <c r="B93" i="15"/>
  <c r="X92" i="15"/>
  <c r="Z92" i="15" s="1"/>
  <c r="N92" i="15"/>
  <c r="L92" i="15"/>
  <c r="B92" i="15"/>
  <c r="X91" i="15"/>
  <c r="Z91" i="15" s="1"/>
  <c r="N91" i="15"/>
  <c r="L91" i="15"/>
  <c r="B91" i="15"/>
  <c r="Z90" i="15"/>
  <c r="X90" i="15"/>
  <c r="L90" i="15"/>
  <c r="N90" i="15" s="1"/>
  <c r="B90" i="15"/>
  <c r="Z89" i="15"/>
  <c r="X89" i="15"/>
  <c r="N89" i="15"/>
  <c r="L89" i="15"/>
  <c r="B89" i="15"/>
  <c r="X88" i="15"/>
  <c r="Z88" i="15" s="1"/>
  <c r="N88" i="15"/>
  <c r="L88" i="15"/>
  <c r="B88" i="15"/>
  <c r="X87" i="15"/>
  <c r="Z87" i="15" s="1"/>
  <c r="N87" i="15"/>
  <c r="L87" i="15"/>
  <c r="B87" i="15"/>
  <c r="X86" i="15"/>
  <c r="Z86" i="15" s="1"/>
  <c r="N86" i="15"/>
  <c r="L86" i="15"/>
  <c r="B86" i="15"/>
  <c r="X85" i="15"/>
  <c r="Z85" i="15" s="1"/>
  <c r="N85" i="15"/>
  <c r="L85" i="15"/>
  <c r="B85" i="15"/>
  <c r="X84" i="15"/>
  <c r="Z84" i="15" s="1"/>
  <c r="L84" i="15"/>
  <c r="N84" i="15" s="1"/>
  <c r="B84" i="15"/>
  <c r="X83" i="15"/>
  <c r="Z83" i="15" s="1"/>
  <c r="N83" i="15"/>
  <c r="L83" i="15"/>
  <c r="B83" i="15"/>
  <c r="Z82" i="15"/>
  <c r="X82" i="15"/>
  <c r="L82" i="15"/>
  <c r="N82" i="15" s="1"/>
  <c r="B82" i="15"/>
  <c r="Z81" i="15"/>
  <c r="X81" i="15"/>
  <c r="L81" i="15"/>
  <c r="N81" i="15" s="1"/>
  <c r="B81" i="15"/>
  <c r="Z80" i="15"/>
  <c r="X80" i="15"/>
  <c r="N80" i="15"/>
  <c r="L80" i="15"/>
  <c r="B80" i="15"/>
  <c r="T79" i="15"/>
  <c r="Z79" i="15" s="1"/>
  <c r="P79" i="15"/>
  <c r="X79" i="15" s="1"/>
  <c r="H79" i="15"/>
  <c r="N79" i="15" s="1"/>
  <c r="D79" i="15"/>
  <c r="L79" i="15" s="1"/>
  <c r="Z77" i="15"/>
  <c r="X77" i="15"/>
  <c r="T77" i="15"/>
  <c r="P77" i="15"/>
  <c r="H77" i="15"/>
  <c r="N77" i="15" s="1"/>
  <c r="D77" i="15"/>
  <c r="L77" i="15" s="1"/>
  <c r="B77" i="15"/>
  <c r="Z76" i="15"/>
  <c r="X76" i="15"/>
  <c r="T76" i="15"/>
  <c r="P76" i="15"/>
  <c r="H76" i="15"/>
  <c r="N76" i="15" s="1"/>
  <c r="D76" i="15"/>
  <c r="L76" i="15" s="1"/>
  <c r="B76" i="15"/>
  <c r="T75" i="15"/>
  <c r="P75" i="15"/>
  <c r="X75" i="15" s="1"/>
  <c r="Z75" i="15" s="1"/>
  <c r="H75" i="15"/>
  <c r="N75" i="15" s="1"/>
  <c r="D75" i="15"/>
  <c r="L75" i="15" s="1"/>
  <c r="B75" i="15"/>
  <c r="T74" i="15"/>
  <c r="P74" i="15"/>
  <c r="X74" i="15" s="1"/>
  <c r="H74" i="15"/>
  <c r="D74" i="15"/>
  <c r="B74" i="15"/>
  <c r="T73" i="15"/>
  <c r="Z73" i="15" s="1"/>
  <c r="P73" i="15"/>
  <c r="X73" i="15" s="1"/>
  <c r="L73" i="15"/>
  <c r="N73" i="15" s="1"/>
  <c r="H73" i="15"/>
  <c r="D73" i="15"/>
  <c r="B73" i="15"/>
  <c r="T72" i="15"/>
  <c r="P72" i="15"/>
  <c r="X72" i="15" s="1"/>
  <c r="N72" i="15"/>
  <c r="L72" i="15"/>
  <c r="H72" i="15"/>
  <c r="D72" i="15"/>
  <c r="B72" i="15"/>
  <c r="T71" i="15"/>
  <c r="Z71" i="15" s="1"/>
  <c r="P71" i="15"/>
  <c r="X71" i="15" s="1"/>
  <c r="H71" i="15"/>
  <c r="D71" i="15"/>
  <c r="L71" i="15" s="1"/>
  <c r="N71" i="15" s="1"/>
  <c r="B71" i="15"/>
  <c r="T70" i="15"/>
  <c r="P70" i="15"/>
  <c r="H70" i="15"/>
  <c r="N70" i="15" s="1"/>
  <c r="D70" i="15"/>
  <c r="L70" i="15" s="1"/>
  <c r="B70" i="15"/>
  <c r="X69" i="15"/>
  <c r="Z69" i="15" s="1"/>
  <c r="T69" i="15"/>
  <c r="P69" i="15"/>
  <c r="H69" i="15"/>
  <c r="N69" i="15" s="1"/>
  <c r="D69" i="15"/>
  <c r="L69" i="15" s="1"/>
  <c r="B69" i="15"/>
  <c r="Z68" i="15"/>
  <c r="X68" i="15"/>
  <c r="T68" i="15"/>
  <c r="P68" i="15"/>
  <c r="H68" i="15"/>
  <c r="D68" i="15"/>
  <c r="L68" i="15" s="1"/>
  <c r="B68" i="15"/>
  <c r="T67" i="15"/>
  <c r="P67" i="15"/>
  <c r="X67" i="15" s="1"/>
  <c r="Z67" i="15" s="1"/>
  <c r="H67" i="15"/>
  <c r="D67" i="15"/>
  <c r="L67" i="15" s="1"/>
  <c r="B67" i="15"/>
  <c r="T66" i="15"/>
  <c r="P66" i="15"/>
  <c r="X66" i="15" s="1"/>
  <c r="H66" i="15"/>
  <c r="D66" i="15"/>
  <c r="B66" i="15"/>
  <c r="T65" i="15"/>
  <c r="P65" i="15"/>
  <c r="X65" i="15" s="1"/>
  <c r="L65" i="15"/>
  <c r="N65" i="15" s="1"/>
  <c r="H65" i="15"/>
  <c r="D65" i="15"/>
  <c r="B65" i="15"/>
  <c r="T64" i="15"/>
  <c r="Z64" i="15" s="1"/>
  <c r="P64" i="15"/>
  <c r="X64" i="15" s="1"/>
  <c r="N64" i="15"/>
  <c r="L64" i="15"/>
  <c r="H64" i="15"/>
  <c r="D64" i="15"/>
  <c r="B64" i="15"/>
  <c r="T63" i="15"/>
  <c r="P63" i="15"/>
  <c r="X63" i="15" s="1"/>
  <c r="N63" i="15"/>
  <c r="H63" i="15"/>
  <c r="D63" i="15"/>
  <c r="L63" i="15" s="1"/>
  <c r="B63" i="15"/>
  <c r="T62" i="15"/>
  <c r="P62" i="15"/>
  <c r="H62" i="15"/>
  <c r="D62" i="15"/>
  <c r="L62" i="15" s="1"/>
  <c r="B62" i="15"/>
  <c r="X61" i="15"/>
  <c r="Z61" i="15" s="1"/>
  <c r="T61" i="15"/>
  <c r="P61" i="15"/>
  <c r="H61" i="15"/>
  <c r="N61" i="15" s="1"/>
  <c r="D61" i="15"/>
  <c r="L61" i="15" s="1"/>
  <c r="B61" i="15"/>
  <c r="Z60" i="15"/>
  <c r="X60" i="15"/>
  <c r="T60" i="15"/>
  <c r="P60" i="15"/>
  <c r="H60" i="15"/>
  <c r="N60" i="15" s="1"/>
  <c r="D60" i="15"/>
  <c r="L60" i="15" s="1"/>
  <c r="B60" i="15"/>
  <c r="T59" i="15"/>
  <c r="P59" i="15"/>
  <c r="X59" i="15" s="1"/>
  <c r="Z59" i="15" s="1"/>
  <c r="H59" i="15"/>
  <c r="N59" i="15" s="1"/>
  <c r="D59" i="15"/>
  <c r="L59" i="15" s="1"/>
  <c r="B59" i="15"/>
  <c r="T58" i="15"/>
  <c r="Z58" i="15" s="1"/>
  <c r="P58" i="15"/>
  <c r="X58" i="15" s="1"/>
  <c r="H58" i="15"/>
  <c r="D58" i="15"/>
  <c r="B58" i="15"/>
  <c r="T57" i="15"/>
  <c r="Z57" i="15" s="1"/>
  <c r="P57" i="15"/>
  <c r="X57" i="15" s="1"/>
  <c r="N57" i="15"/>
  <c r="L57" i="15"/>
  <c r="H57" i="15"/>
  <c r="D57" i="15"/>
  <c r="B57" i="15"/>
  <c r="T56" i="15"/>
  <c r="Z56" i="15" s="1"/>
  <c r="P56" i="15"/>
  <c r="X56" i="15" s="1"/>
  <c r="N56" i="15"/>
  <c r="L56" i="15"/>
  <c r="H56" i="15"/>
  <c r="D56" i="15"/>
  <c r="B56" i="15"/>
  <c r="T55" i="15"/>
  <c r="P55" i="15"/>
  <c r="X55" i="15" s="1"/>
  <c r="H55" i="15"/>
  <c r="D55" i="15"/>
  <c r="L55" i="15" s="1"/>
  <c r="N55" i="15" s="1"/>
  <c r="B55" i="15"/>
  <c r="T54" i="15"/>
  <c r="P54" i="15"/>
  <c r="H54" i="15"/>
  <c r="N54" i="15" s="1"/>
  <c r="D54" i="15"/>
  <c r="L54" i="15" s="1"/>
  <c r="B54" i="15"/>
  <c r="X53" i="15"/>
  <c r="Z53" i="15" s="1"/>
  <c r="T53" i="15"/>
  <c r="P53" i="15"/>
  <c r="H53" i="15"/>
  <c r="N53" i="15" s="1"/>
  <c r="D53" i="15"/>
  <c r="L53" i="15" s="1"/>
  <c r="B53" i="15"/>
  <c r="Z52" i="15"/>
  <c r="X52" i="15"/>
  <c r="T52" i="15"/>
  <c r="P52" i="15"/>
  <c r="H52" i="15"/>
  <c r="D52" i="15"/>
  <c r="L52" i="15" s="1"/>
  <c r="B52" i="15"/>
  <c r="T51" i="15"/>
  <c r="P51" i="15"/>
  <c r="X51" i="15" s="1"/>
  <c r="Z51" i="15" s="1"/>
  <c r="H51" i="15"/>
  <c r="N51" i="15" s="1"/>
  <c r="D51" i="15"/>
  <c r="L51" i="15" s="1"/>
  <c r="B51" i="15"/>
  <c r="T50" i="15"/>
  <c r="P50" i="15"/>
  <c r="X50" i="15" s="1"/>
  <c r="H50" i="15"/>
  <c r="D50" i="15"/>
  <c r="B50" i="15"/>
  <c r="T49" i="15"/>
  <c r="Z49" i="15" s="1"/>
  <c r="P49" i="15"/>
  <c r="X49" i="15" s="1"/>
  <c r="L49" i="15"/>
  <c r="N49" i="15" s="1"/>
  <c r="H49" i="15"/>
  <c r="D49" i="15"/>
  <c r="B49" i="15"/>
  <c r="T48" i="15"/>
  <c r="Z48" i="15" s="1"/>
  <c r="P48" i="15"/>
  <c r="X48" i="15" s="1"/>
  <c r="N48" i="15"/>
  <c r="L48" i="15"/>
  <c r="H48" i="15"/>
  <c r="D48" i="15"/>
  <c r="B48" i="15"/>
  <c r="T47" i="15"/>
  <c r="Z47" i="15" s="1"/>
  <c r="P47" i="15"/>
  <c r="X47" i="15" s="1"/>
  <c r="N47" i="15"/>
  <c r="H47" i="15"/>
  <c r="D47" i="15"/>
  <c r="L47" i="15" s="1"/>
  <c r="B47" i="15"/>
  <c r="T46" i="15"/>
  <c r="P46" i="15"/>
  <c r="H46" i="15"/>
  <c r="N46" i="15" s="1"/>
  <c r="D46" i="15"/>
  <c r="L46" i="15" s="1"/>
  <c r="B46" i="15"/>
  <c r="X45" i="15"/>
  <c r="Z45" i="15" s="1"/>
  <c r="T45" i="15"/>
  <c r="P45" i="15"/>
  <c r="H45" i="15"/>
  <c r="N45" i="15" s="1"/>
  <c r="D45" i="15"/>
  <c r="L45" i="15" s="1"/>
  <c r="B45" i="15"/>
  <c r="Z44" i="15"/>
  <c r="X44" i="15"/>
  <c r="T44" i="15"/>
  <c r="P44" i="15"/>
  <c r="H44" i="15"/>
  <c r="N44" i="15" s="1"/>
  <c r="D44" i="15"/>
  <c r="L44" i="15" s="1"/>
  <c r="B44" i="15"/>
  <c r="T43" i="15"/>
  <c r="P43" i="15"/>
  <c r="X43" i="15" s="1"/>
  <c r="Z43" i="15" s="1"/>
  <c r="H43" i="15"/>
  <c r="N43" i="15" s="1"/>
  <c r="D43" i="15"/>
  <c r="L43" i="15" s="1"/>
  <c r="B43" i="15"/>
  <c r="T42" i="15"/>
  <c r="Z42" i="15" s="1"/>
  <c r="P42" i="15"/>
  <c r="X42" i="15" s="1"/>
  <c r="H42" i="15"/>
  <c r="D42" i="15"/>
  <c r="B42" i="15"/>
  <c r="T41" i="15"/>
  <c r="P41" i="15"/>
  <c r="X41" i="15" s="1"/>
  <c r="N41" i="15"/>
  <c r="L41" i="15"/>
  <c r="H41" i="15"/>
  <c r="D41" i="15"/>
  <c r="B41" i="15"/>
  <c r="T40" i="15"/>
  <c r="Z40" i="15" s="1"/>
  <c r="P40" i="15"/>
  <c r="X40" i="15" s="1"/>
  <c r="N40" i="15"/>
  <c r="L40" i="15"/>
  <c r="H40" i="15"/>
  <c r="D40" i="15"/>
  <c r="B40" i="15"/>
  <c r="T39" i="15"/>
  <c r="P39" i="15"/>
  <c r="X39" i="15" s="1"/>
  <c r="H39" i="15"/>
  <c r="D39" i="15"/>
  <c r="L39" i="15" s="1"/>
  <c r="N39" i="15" s="1"/>
  <c r="B39" i="15"/>
  <c r="T38" i="15"/>
  <c r="P38" i="15"/>
  <c r="H38" i="15"/>
  <c r="N38" i="15" s="1"/>
  <c r="D38" i="15"/>
  <c r="L38" i="15" s="1"/>
  <c r="B38" i="15"/>
  <c r="X37" i="15"/>
  <c r="Z37" i="15" s="1"/>
  <c r="T37" i="15"/>
  <c r="P37" i="15"/>
  <c r="H37" i="15"/>
  <c r="N37" i="15" s="1"/>
  <c r="D37" i="15"/>
  <c r="L37" i="15" s="1"/>
  <c r="B37" i="15"/>
  <c r="Z36" i="15"/>
  <c r="X36" i="15"/>
  <c r="T36" i="15"/>
  <c r="P36" i="15"/>
  <c r="H36" i="15"/>
  <c r="N36" i="15" s="1"/>
  <c r="D36" i="15"/>
  <c r="L36" i="15" s="1"/>
  <c r="B36" i="15"/>
  <c r="T35" i="15"/>
  <c r="P35" i="15"/>
  <c r="X35" i="15" s="1"/>
  <c r="Z35" i="15" s="1"/>
  <c r="H35" i="15"/>
  <c r="N35" i="15" s="1"/>
  <c r="D35" i="15"/>
  <c r="L35" i="15" s="1"/>
  <c r="B35" i="15"/>
  <c r="T34" i="15"/>
  <c r="Z34" i="15" s="1"/>
  <c r="P34" i="15"/>
  <c r="X34" i="15" s="1"/>
  <c r="H34" i="15"/>
  <c r="D34" i="15"/>
  <c r="B34" i="15"/>
  <c r="T33" i="15"/>
  <c r="Z33" i="15" s="1"/>
  <c r="P33" i="15"/>
  <c r="X33" i="15" s="1"/>
  <c r="N33" i="15"/>
  <c r="L33" i="15"/>
  <c r="H33" i="15"/>
  <c r="D33" i="15"/>
  <c r="B33" i="15"/>
  <c r="T32" i="15"/>
  <c r="P32" i="15"/>
  <c r="X32" i="15" s="1"/>
  <c r="N32" i="15"/>
  <c r="L32" i="15"/>
  <c r="H32" i="15"/>
  <c r="D32" i="15"/>
  <c r="B32" i="15"/>
  <c r="T31" i="15"/>
  <c r="P31" i="15"/>
  <c r="X31" i="15" s="1"/>
  <c r="H31" i="15"/>
  <c r="D31" i="15"/>
  <c r="L31" i="15" s="1"/>
  <c r="N31" i="15" s="1"/>
  <c r="B31" i="15"/>
  <c r="T30" i="15"/>
  <c r="P30" i="15"/>
  <c r="H30" i="15"/>
  <c r="D30" i="15"/>
  <c r="L30" i="15" s="1"/>
  <c r="B30" i="15"/>
  <c r="X29" i="15"/>
  <c r="Z29" i="15" s="1"/>
  <c r="T29" i="15"/>
  <c r="P29" i="15"/>
  <c r="H29" i="15"/>
  <c r="N29" i="15" s="1"/>
  <c r="D29" i="15"/>
  <c r="L29" i="15" s="1"/>
  <c r="B29" i="15"/>
  <c r="Z28" i="15"/>
  <c r="X28" i="15"/>
  <c r="T28" i="15"/>
  <c r="P28" i="15"/>
  <c r="H28" i="15"/>
  <c r="N28" i="15" s="1"/>
  <c r="D28" i="15"/>
  <c r="L28" i="15" s="1"/>
  <c r="B28" i="15"/>
  <c r="T27" i="15"/>
  <c r="P27" i="15"/>
  <c r="X27" i="15" s="1"/>
  <c r="Z27" i="15" s="1"/>
  <c r="H27" i="15"/>
  <c r="D27" i="15"/>
  <c r="L27" i="15" s="1"/>
  <c r="B27" i="15"/>
  <c r="T26" i="15"/>
  <c r="Z26" i="15" s="1"/>
  <c r="P26" i="15"/>
  <c r="X26" i="15" s="1"/>
  <c r="H26" i="15"/>
  <c r="D26" i="15"/>
  <c r="B26" i="15"/>
  <c r="T25" i="15"/>
  <c r="P25" i="15"/>
  <c r="X25" i="15" s="1"/>
  <c r="N25" i="15"/>
  <c r="L25" i="15"/>
  <c r="H25" i="15"/>
  <c r="D25" i="15"/>
  <c r="B25" i="15"/>
  <c r="T24" i="15"/>
  <c r="P24" i="15"/>
  <c r="X24" i="15" s="1"/>
  <c r="N24" i="15"/>
  <c r="L24" i="15"/>
  <c r="H24" i="15"/>
  <c r="D24" i="15"/>
  <c r="B24" i="15"/>
  <c r="T23" i="15"/>
  <c r="P23" i="15"/>
  <c r="X23" i="15" s="1"/>
  <c r="H23" i="15"/>
  <c r="D23" i="15"/>
  <c r="L23" i="15" s="1"/>
  <c r="N23" i="15" s="1"/>
  <c r="B23" i="15"/>
  <c r="T22" i="15"/>
  <c r="P22" i="15"/>
  <c r="H22" i="15"/>
  <c r="N22" i="15" s="1"/>
  <c r="D22" i="15"/>
  <c r="L22" i="15" s="1"/>
  <c r="B22" i="15"/>
  <c r="X21" i="15"/>
  <c r="Z21" i="15" s="1"/>
  <c r="T21" i="15"/>
  <c r="P21" i="15"/>
  <c r="H21" i="15"/>
  <c r="N21" i="15" s="1"/>
  <c r="D21" i="15"/>
  <c r="L21" i="15" s="1"/>
  <c r="B21" i="15"/>
  <c r="Z20" i="15"/>
  <c r="X20" i="15"/>
  <c r="T20" i="15"/>
  <c r="P20" i="15"/>
  <c r="H20" i="15"/>
  <c r="D20" i="15"/>
  <c r="L20" i="15" s="1"/>
  <c r="B20" i="15"/>
  <c r="T19" i="15"/>
  <c r="P19" i="15"/>
  <c r="X19" i="15" s="1"/>
  <c r="Z19" i="15" s="1"/>
  <c r="H19" i="15"/>
  <c r="D19" i="15"/>
  <c r="B19" i="15"/>
  <c r="T18" i="15"/>
  <c r="P18" i="15"/>
  <c r="X18" i="15" s="1"/>
  <c r="H18" i="15"/>
  <c r="D18" i="15"/>
  <c r="B18" i="15"/>
  <c r="T17" i="15"/>
  <c r="Z17" i="15" s="1"/>
  <c r="P17" i="15"/>
  <c r="X17" i="15" s="1"/>
  <c r="N17" i="15"/>
  <c r="L17" i="15"/>
  <c r="H17" i="15"/>
  <c r="D17" i="15"/>
  <c r="B17" i="15"/>
  <c r="T16" i="15"/>
  <c r="P16" i="15"/>
  <c r="X16" i="15" s="1"/>
  <c r="N16" i="15"/>
  <c r="L16" i="15"/>
  <c r="H16" i="15"/>
  <c r="D16" i="15"/>
  <c r="B16" i="15"/>
  <c r="T15" i="15"/>
  <c r="P15" i="15"/>
  <c r="X15" i="15" s="1"/>
  <c r="H15" i="15"/>
  <c r="D15" i="15"/>
  <c r="L15" i="15" s="1"/>
  <c r="N15" i="15" s="1"/>
  <c r="B15" i="15"/>
  <c r="T14" i="15"/>
  <c r="P14" i="15"/>
  <c r="P12" i="15" s="1"/>
  <c r="R166" i="15" s="1"/>
  <c r="H14" i="15"/>
  <c r="N14" i="15" s="1"/>
  <c r="D14" i="15"/>
  <c r="L14" i="15" s="1"/>
  <c r="B14" i="15"/>
  <c r="X13" i="15"/>
  <c r="Z13" i="15" s="1"/>
  <c r="T13" i="15"/>
  <c r="P13" i="15"/>
  <c r="H13" i="15"/>
  <c r="D13" i="15"/>
  <c r="L13" i="15" s="1"/>
  <c r="B13" i="15"/>
  <c r="D4" i="15"/>
  <c r="B39" i="14"/>
  <c r="B38" i="14"/>
  <c r="T34" i="14"/>
  <c r="Z34" i="14" s="1"/>
  <c r="P34" i="14"/>
  <c r="X34" i="14" s="1"/>
  <c r="H34" i="14"/>
  <c r="D34" i="14"/>
  <c r="T33" i="14"/>
  <c r="Z33" i="14" s="1"/>
  <c r="P33" i="14"/>
  <c r="H33" i="14"/>
  <c r="N33" i="14" s="1"/>
  <c r="D33" i="14"/>
  <c r="T29" i="14"/>
  <c r="Z29" i="14" s="1"/>
  <c r="P29" i="14"/>
  <c r="X29" i="14" s="1"/>
  <c r="H29" i="14"/>
  <c r="N29" i="14" s="1"/>
  <c r="D29" i="14"/>
  <c r="T25" i="14"/>
  <c r="Z25" i="14" s="1"/>
  <c r="P25" i="14"/>
  <c r="H25" i="14"/>
  <c r="N25" i="14" s="1"/>
  <c r="D25" i="14"/>
  <c r="B25" i="14"/>
  <c r="T24" i="14"/>
  <c r="Z24" i="14" s="1"/>
  <c r="P24" i="14"/>
  <c r="H24" i="14"/>
  <c r="N24" i="14" s="1"/>
  <c r="D24" i="14"/>
  <c r="T22" i="14"/>
  <c r="Z22" i="14" s="1"/>
  <c r="P22" i="14"/>
  <c r="H22" i="14"/>
  <c r="N22" i="14" s="1"/>
  <c r="D22" i="14"/>
  <c r="B22" i="14"/>
  <c r="T21" i="14"/>
  <c r="Z21" i="14" s="1"/>
  <c r="P21" i="14"/>
  <c r="H21" i="14"/>
  <c r="N21" i="14" s="1"/>
  <c r="D21" i="14"/>
  <c r="B21" i="14"/>
  <c r="T20" i="14"/>
  <c r="Z20" i="14" s="1"/>
  <c r="P20" i="14"/>
  <c r="H20" i="14"/>
  <c r="N20" i="14" s="1"/>
  <c r="D20" i="14"/>
  <c r="T16" i="14"/>
  <c r="Z16" i="14" s="1"/>
  <c r="P16" i="14"/>
  <c r="H16" i="14"/>
  <c r="N16" i="14" s="1"/>
  <c r="D16" i="14"/>
  <c r="B16" i="14"/>
  <c r="T15" i="14"/>
  <c r="Z15" i="14" s="1"/>
  <c r="P15" i="14"/>
  <c r="H15" i="14"/>
  <c r="N15" i="14" s="1"/>
  <c r="D15" i="14"/>
  <c r="T13" i="14"/>
  <c r="Z13" i="14" s="1"/>
  <c r="P13" i="14"/>
  <c r="H13" i="14"/>
  <c r="N13" i="14" s="1"/>
  <c r="D13" i="14"/>
  <c r="B13" i="14"/>
  <c r="T12" i="14"/>
  <c r="V34" i="14" s="1"/>
  <c r="P12" i="14"/>
  <c r="R20" i="14" s="1"/>
  <c r="H12" i="14"/>
  <c r="J21" i="14" s="1"/>
  <c r="D12" i="14"/>
  <c r="F34" i="14" s="1"/>
  <c r="D5" i="14"/>
  <c r="D4" i="14"/>
  <c r="B39" i="13"/>
  <c r="B38" i="13"/>
  <c r="T34" i="13"/>
  <c r="Z34" i="13" s="1"/>
  <c r="P34" i="13"/>
  <c r="H34" i="13"/>
  <c r="D34" i="13"/>
  <c r="T33" i="13"/>
  <c r="Z33" i="13" s="1"/>
  <c r="P33" i="13"/>
  <c r="H33" i="13"/>
  <c r="N33" i="13" s="1"/>
  <c r="D33" i="13"/>
  <c r="T29" i="13"/>
  <c r="Z29" i="13" s="1"/>
  <c r="P29" i="13"/>
  <c r="H29" i="13"/>
  <c r="N29" i="13" s="1"/>
  <c r="D29" i="13"/>
  <c r="T25" i="13"/>
  <c r="Z25" i="13" s="1"/>
  <c r="P25" i="13"/>
  <c r="H25" i="13"/>
  <c r="N25" i="13" s="1"/>
  <c r="D25" i="13"/>
  <c r="B25" i="13"/>
  <c r="T24" i="13"/>
  <c r="Z24" i="13" s="1"/>
  <c r="P24" i="13"/>
  <c r="H24" i="13"/>
  <c r="N24" i="13" s="1"/>
  <c r="D24" i="13"/>
  <c r="T22" i="13"/>
  <c r="P22" i="13"/>
  <c r="H22" i="13"/>
  <c r="N22" i="13" s="1"/>
  <c r="D22" i="13"/>
  <c r="B22" i="13"/>
  <c r="T21" i="13"/>
  <c r="Z21" i="13" s="1"/>
  <c r="P21" i="13"/>
  <c r="H21" i="13"/>
  <c r="N21" i="13" s="1"/>
  <c r="D21" i="13"/>
  <c r="B21" i="13"/>
  <c r="T20" i="13"/>
  <c r="Z20" i="13" s="1"/>
  <c r="P20" i="13"/>
  <c r="X20" i="13" s="1"/>
  <c r="H20" i="13"/>
  <c r="D20" i="13"/>
  <c r="T16" i="13"/>
  <c r="Z16" i="13" s="1"/>
  <c r="P16" i="13"/>
  <c r="H16" i="13"/>
  <c r="D16" i="13"/>
  <c r="B16" i="13"/>
  <c r="T15" i="13"/>
  <c r="Z15" i="13" s="1"/>
  <c r="P15" i="13"/>
  <c r="H15" i="13"/>
  <c r="N15" i="13" s="1"/>
  <c r="D15" i="13"/>
  <c r="T13" i="13"/>
  <c r="Z13" i="13" s="1"/>
  <c r="P13" i="13"/>
  <c r="H13" i="13"/>
  <c r="N13" i="13" s="1"/>
  <c r="D13" i="13"/>
  <c r="B13" i="13"/>
  <c r="T12" i="13"/>
  <c r="V34" i="13" s="1"/>
  <c r="P12" i="13"/>
  <c r="R22" i="13" s="1"/>
  <c r="H12" i="13"/>
  <c r="J24" i="13" s="1"/>
  <c r="D12" i="13"/>
  <c r="D5" i="13"/>
  <c r="D4" i="13"/>
  <c r="X228" i="12"/>
  <c r="Z228" i="12" s="1"/>
  <c r="L228" i="12"/>
  <c r="N228" i="12" s="1"/>
  <c r="X224" i="12"/>
  <c r="Z224" i="12" s="1"/>
  <c r="T224" i="12"/>
  <c r="P224" i="12"/>
  <c r="H224" i="12"/>
  <c r="D224" i="12"/>
  <c r="B224" i="12"/>
  <c r="T223" i="12"/>
  <c r="Z223" i="12" s="1"/>
  <c r="P223" i="12"/>
  <c r="X223" i="12" s="1"/>
  <c r="H223" i="12"/>
  <c r="D223" i="12"/>
  <c r="L223" i="12" s="1"/>
  <c r="B223" i="12"/>
  <c r="T222" i="12"/>
  <c r="P222" i="12"/>
  <c r="X222" i="12" s="1"/>
  <c r="Z222" i="12" s="1"/>
  <c r="N222" i="12"/>
  <c r="L222" i="12"/>
  <c r="H222" i="12"/>
  <c r="D222" i="12"/>
  <c r="B222" i="12"/>
  <c r="X221" i="12"/>
  <c r="Z221" i="12" s="1"/>
  <c r="T221" i="12"/>
  <c r="P221" i="12"/>
  <c r="H221" i="12"/>
  <c r="N221" i="12" s="1"/>
  <c r="D221" i="12"/>
  <c r="L221" i="12" s="1"/>
  <c r="B221" i="12"/>
  <c r="P220" i="12"/>
  <c r="X218" i="12"/>
  <c r="Z218" i="12" s="1"/>
  <c r="L218" i="12"/>
  <c r="N218" i="12" s="1"/>
  <c r="B218" i="12"/>
  <c r="Z217" i="12"/>
  <c r="X217" i="12"/>
  <c r="T217" i="12"/>
  <c r="P217" i="12"/>
  <c r="L217" i="12"/>
  <c r="N217" i="12" s="1"/>
  <c r="H217" i="12"/>
  <c r="D217" i="12"/>
  <c r="B217" i="12"/>
  <c r="X216" i="12"/>
  <c r="Z216" i="12" s="1"/>
  <c r="N216" i="12"/>
  <c r="L216" i="12"/>
  <c r="B216" i="12"/>
  <c r="X215" i="12"/>
  <c r="Z215" i="12" s="1"/>
  <c r="N215" i="12"/>
  <c r="L215" i="12"/>
  <c r="B215" i="12"/>
  <c r="X214" i="12"/>
  <c r="Z214" i="12" s="1"/>
  <c r="N214" i="12"/>
  <c r="L214" i="12"/>
  <c r="B214" i="12"/>
  <c r="Z213" i="12"/>
  <c r="X213" i="12"/>
  <c r="T213" i="12"/>
  <c r="P213" i="12"/>
  <c r="N213" i="12"/>
  <c r="L213" i="12"/>
  <c r="H213" i="12"/>
  <c r="D213" i="12"/>
  <c r="B213" i="12"/>
  <c r="X212" i="12"/>
  <c r="Z212" i="12" s="1"/>
  <c r="N212" i="12"/>
  <c r="L212" i="12"/>
  <c r="B212" i="12"/>
  <c r="X211" i="12"/>
  <c r="Z211" i="12" s="1"/>
  <c r="T211" i="12"/>
  <c r="P211" i="12"/>
  <c r="H211" i="12"/>
  <c r="N211" i="12" s="1"/>
  <c r="D211" i="12"/>
  <c r="L211" i="12" s="1"/>
  <c r="B211" i="12"/>
  <c r="X210" i="12"/>
  <c r="Z210" i="12" s="1"/>
  <c r="L210" i="12"/>
  <c r="N210" i="12" s="1"/>
  <c r="B210" i="12"/>
  <c r="X209" i="12"/>
  <c r="Z209" i="12" s="1"/>
  <c r="N209" i="12"/>
  <c r="L209" i="12"/>
  <c r="B209" i="12"/>
  <c r="T208" i="12"/>
  <c r="P208" i="12"/>
  <c r="H208" i="12"/>
  <c r="N208" i="12" s="1"/>
  <c r="D208" i="12"/>
  <c r="L208" i="12" s="1"/>
  <c r="B208" i="12"/>
  <c r="X207" i="12"/>
  <c r="Z207" i="12" s="1"/>
  <c r="L207" i="12"/>
  <c r="N207" i="12" s="1"/>
  <c r="B207" i="12"/>
  <c r="X206" i="12"/>
  <c r="Z206" i="12" s="1"/>
  <c r="N206" i="12"/>
  <c r="L206" i="12"/>
  <c r="B206" i="12"/>
  <c r="Z205" i="12"/>
  <c r="X205" i="12"/>
  <c r="N205" i="12"/>
  <c r="L205" i="12"/>
  <c r="B205" i="12"/>
  <c r="X204" i="12"/>
  <c r="Z204" i="12" s="1"/>
  <c r="N204" i="12"/>
  <c r="L204" i="12"/>
  <c r="B204" i="12"/>
  <c r="X203" i="12"/>
  <c r="Z203" i="12" s="1"/>
  <c r="N203" i="12"/>
  <c r="L203" i="12"/>
  <c r="B203" i="12"/>
  <c r="X202" i="12"/>
  <c r="Z202" i="12" s="1"/>
  <c r="L202" i="12"/>
  <c r="N202" i="12" s="1"/>
  <c r="B202" i="12"/>
  <c r="Z201" i="12"/>
  <c r="X201" i="12"/>
  <c r="N201" i="12"/>
  <c r="L201" i="12"/>
  <c r="B201" i="12"/>
  <c r="T200" i="12"/>
  <c r="Z200" i="12" s="1"/>
  <c r="P200" i="12"/>
  <c r="X200" i="12" s="1"/>
  <c r="L200" i="12"/>
  <c r="N200" i="12" s="1"/>
  <c r="H200" i="12"/>
  <c r="D200" i="12"/>
  <c r="B200" i="12"/>
  <c r="X199" i="12"/>
  <c r="Z199" i="12" s="1"/>
  <c r="N199" i="12"/>
  <c r="L199" i="12"/>
  <c r="B199" i="12"/>
  <c r="X198" i="12"/>
  <c r="Z198" i="12" s="1"/>
  <c r="L198" i="12"/>
  <c r="N198" i="12" s="1"/>
  <c r="B198" i="12"/>
  <c r="Z197" i="12"/>
  <c r="T197" i="12"/>
  <c r="P197" i="12"/>
  <c r="X197" i="12" s="1"/>
  <c r="L197" i="12"/>
  <c r="N197" i="12" s="1"/>
  <c r="H197" i="12"/>
  <c r="D197" i="12"/>
  <c r="B197" i="12"/>
  <c r="Z196" i="12"/>
  <c r="X196" i="12"/>
  <c r="N196" i="12"/>
  <c r="L196" i="12"/>
  <c r="B196" i="12"/>
  <c r="X195" i="12"/>
  <c r="Z195" i="12" s="1"/>
  <c r="L195" i="12"/>
  <c r="N195" i="12" s="1"/>
  <c r="B195" i="12"/>
  <c r="X194" i="12"/>
  <c r="Z194" i="12" s="1"/>
  <c r="L194" i="12"/>
  <c r="N194" i="12" s="1"/>
  <c r="B194" i="12"/>
  <c r="Z193" i="12"/>
  <c r="X193" i="12"/>
  <c r="N193" i="12"/>
  <c r="L193" i="12"/>
  <c r="B193" i="12"/>
  <c r="Z192" i="12"/>
  <c r="X192" i="12"/>
  <c r="L192" i="12"/>
  <c r="N192" i="12" s="1"/>
  <c r="B192" i="12"/>
  <c r="T191" i="12"/>
  <c r="P191" i="12"/>
  <c r="X191" i="12" s="1"/>
  <c r="N191" i="12"/>
  <c r="H191" i="12"/>
  <c r="D191" i="12"/>
  <c r="L191" i="12" s="1"/>
  <c r="B191" i="12"/>
  <c r="X190" i="12"/>
  <c r="Z190" i="12" s="1"/>
  <c r="L190" i="12"/>
  <c r="N190" i="12" s="1"/>
  <c r="B190" i="12"/>
  <c r="Z189" i="12"/>
  <c r="X189" i="12"/>
  <c r="N189" i="12"/>
  <c r="L189" i="12"/>
  <c r="B189" i="12"/>
  <c r="Z188" i="12"/>
  <c r="X188" i="12"/>
  <c r="N188" i="12"/>
  <c r="L188" i="12"/>
  <c r="B188" i="12"/>
  <c r="T187" i="12"/>
  <c r="P187" i="12"/>
  <c r="X187" i="12" s="1"/>
  <c r="N187" i="12"/>
  <c r="H187" i="12"/>
  <c r="D187" i="12"/>
  <c r="L187" i="12" s="1"/>
  <c r="B187" i="12"/>
  <c r="X186" i="12"/>
  <c r="Z186" i="12" s="1"/>
  <c r="L186" i="12"/>
  <c r="N186" i="12" s="1"/>
  <c r="B186" i="12"/>
  <c r="Z185" i="12"/>
  <c r="X185" i="12"/>
  <c r="L185" i="12"/>
  <c r="N185" i="12" s="1"/>
  <c r="B185" i="12"/>
  <c r="Z184" i="12"/>
  <c r="X184" i="12"/>
  <c r="N184" i="12"/>
  <c r="L184" i="12"/>
  <c r="B184" i="12"/>
  <c r="X183" i="12"/>
  <c r="Z183" i="12" s="1"/>
  <c r="N183" i="12"/>
  <c r="L183" i="12"/>
  <c r="B183" i="12"/>
  <c r="T182" i="12"/>
  <c r="P182" i="12"/>
  <c r="X182" i="12" s="1"/>
  <c r="H182" i="12"/>
  <c r="D182" i="12"/>
  <c r="L182" i="12" s="1"/>
  <c r="N182" i="12" s="1"/>
  <c r="B182" i="12"/>
  <c r="Z181" i="12"/>
  <c r="X181" i="12"/>
  <c r="L181" i="12"/>
  <c r="N181" i="12" s="1"/>
  <c r="B181" i="12"/>
  <c r="T180" i="12"/>
  <c r="P180" i="12"/>
  <c r="X180" i="12" s="1"/>
  <c r="Z180" i="12" s="1"/>
  <c r="L180" i="12"/>
  <c r="N180" i="12" s="1"/>
  <c r="H180" i="12"/>
  <c r="D180" i="12"/>
  <c r="B180" i="12"/>
  <c r="Z179" i="12"/>
  <c r="X179" i="12"/>
  <c r="N179" i="12"/>
  <c r="L179" i="12"/>
  <c r="B179" i="12"/>
  <c r="Z178" i="12"/>
  <c r="X178" i="12"/>
  <c r="T178" i="12"/>
  <c r="P178" i="12"/>
  <c r="H178" i="12"/>
  <c r="D178" i="12"/>
  <c r="B178" i="12"/>
  <c r="Z177" i="12"/>
  <c r="X177" i="12"/>
  <c r="N177" i="12"/>
  <c r="L177" i="12"/>
  <c r="B177" i="12"/>
  <c r="X176" i="12"/>
  <c r="Z176" i="12" s="1"/>
  <c r="N176" i="12"/>
  <c r="L176" i="12"/>
  <c r="B176" i="12"/>
  <c r="X175" i="12"/>
  <c r="Z175" i="12" s="1"/>
  <c r="T175" i="12"/>
  <c r="P175" i="12"/>
  <c r="H175" i="12"/>
  <c r="D175" i="12"/>
  <c r="B175" i="12"/>
  <c r="X174" i="12"/>
  <c r="Z174" i="12" s="1"/>
  <c r="L174" i="12"/>
  <c r="N174" i="12" s="1"/>
  <c r="B174" i="12"/>
  <c r="T173" i="12"/>
  <c r="P173" i="12"/>
  <c r="H173" i="12"/>
  <c r="D173" i="12"/>
  <c r="L173" i="12" s="1"/>
  <c r="B173" i="12"/>
  <c r="Z172" i="12"/>
  <c r="X172" i="12"/>
  <c r="L172" i="12"/>
  <c r="N172" i="12" s="1"/>
  <c r="B172" i="12"/>
  <c r="T171" i="12"/>
  <c r="P171" i="12"/>
  <c r="X171" i="12" s="1"/>
  <c r="N171" i="12"/>
  <c r="H171" i="12"/>
  <c r="D171" i="12"/>
  <c r="L171" i="12" s="1"/>
  <c r="B171" i="12"/>
  <c r="X170" i="12"/>
  <c r="Z170" i="12" s="1"/>
  <c r="L170" i="12"/>
  <c r="N170" i="12" s="1"/>
  <c r="B170" i="12"/>
  <c r="Z169" i="12"/>
  <c r="T169" i="12"/>
  <c r="P169" i="12"/>
  <c r="X169" i="12" s="1"/>
  <c r="L169" i="12"/>
  <c r="N169" i="12" s="1"/>
  <c r="H169" i="12"/>
  <c r="D169" i="12"/>
  <c r="B169" i="12"/>
  <c r="X168" i="12"/>
  <c r="Z168" i="12" s="1"/>
  <c r="N168" i="12"/>
  <c r="L168" i="12"/>
  <c r="B168" i="12"/>
  <c r="X167" i="12"/>
  <c r="Z167" i="12" s="1"/>
  <c r="L167" i="12"/>
  <c r="N167" i="12" s="1"/>
  <c r="B167" i="12"/>
  <c r="X166" i="12"/>
  <c r="Z166" i="12" s="1"/>
  <c r="T166" i="12"/>
  <c r="P166" i="12"/>
  <c r="H166" i="12"/>
  <c r="D166" i="12"/>
  <c r="B166" i="12"/>
  <c r="X165" i="12"/>
  <c r="Z165" i="12" s="1"/>
  <c r="N165" i="12"/>
  <c r="L165" i="12"/>
  <c r="B165" i="12"/>
  <c r="T164" i="12"/>
  <c r="P164" i="12"/>
  <c r="H164" i="12"/>
  <c r="N164" i="12" s="1"/>
  <c r="D164" i="12"/>
  <c r="L164" i="12" s="1"/>
  <c r="B164" i="12"/>
  <c r="X163" i="12"/>
  <c r="Z163" i="12" s="1"/>
  <c r="N163" i="12"/>
  <c r="L163" i="12"/>
  <c r="B163" i="12"/>
  <c r="T162" i="12"/>
  <c r="Z162" i="12" s="1"/>
  <c r="P162" i="12"/>
  <c r="X162" i="12" s="1"/>
  <c r="N162" i="12"/>
  <c r="H162" i="12"/>
  <c r="D162" i="12"/>
  <c r="L162" i="12" s="1"/>
  <c r="B162" i="12"/>
  <c r="Z161" i="12"/>
  <c r="X161" i="12"/>
  <c r="N161" i="12"/>
  <c r="L161" i="12"/>
  <c r="B161" i="12"/>
  <c r="Z160" i="12"/>
  <c r="T160" i="12"/>
  <c r="P160" i="12"/>
  <c r="X160" i="12" s="1"/>
  <c r="N160" i="12"/>
  <c r="L160" i="12"/>
  <c r="H160" i="12"/>
  <c r="D160" i="12"/>
  <c r="B160" i="12"/>
  <c r="Z159" i="12"/>
  <c r="X159" i="12"/>
  <c r="N159" i="12"/>
  <c r="L159" i="12"/>
  <c r="B159" i="12"/>
  <c r="Z158" i="12"/>
  <c r="X158" i="12"/>
  <c r="N158" i="12"/>
  <c r="L158" i="12"/>
  <c r="B158" i="12"/>
  <c r="Z157" i="12"/>
  <c r="X157" i="12"/>
  <c r="T157" i="12"/>
  <c r="P157" i="12"/>
  <c r="N157" i="12"/>
  <c r="L157" i="12"/>
  <c r="H157" i="12"/>
  <c r="D157" i="12"/>
  <c r="B157" i="12"/>
  <c r="X156" i="12"/>
  <c r="Z156" i="12" s="1"/>
  <c r="N156" i="12"/>
  <c r="L156" i="12"/>
  <c r="B156" i="12"/>
  <c r="X155" i="12"/>
  <c r="Z155" i="12" s="1"/>
  <c r="L155" i="12"/>
  <c r="N155" i="12" s="1"/>
  <c r="B155" i="12"/>
  <c r="X154" i="12"/>
  <c r="Z154" i="12" s="1"/>
  <c r="T154" i="12"/>
  <c r="P154" i="12"/>
  <c r="H154" i="12"/>
  <c r="D154" i="12"/>
  <c r="B154" i="12"/>
  <c r="X153" i="12"/>
  <c r="Z153" i="12" s="1"/>
  <c r="N153" i="12"/>
  <c r="L153" i="12"/>
  <c r="B153" i="12"/>
  <c r="T152" i="12"/>
  <c r="P152" i="12"/>
  <c r="H152" i="12"/>
  <c r="N152" i="12" s="1"/>
  <c r="D152" i="12"/>
  <c r="L152" i="12" s="1"/>
  <c r="B152" i="12"/>
  <c r="X151" i="12"/>
  <c r="Z151" i="12" s="1"/>
  <c r="L151" i="12"/>
  <c r="N151" i="12" s="1"/>
  <c r="B151" i="12"/>
  <c r="T150" i="12"/>
  <c r="Z150" i="12" s="1"/>
  <c r="P150" i="12"/>
  <c r="X150" i="12" s="1"/>
  <c r="H150" i="12"/>
  <c r="D150" i="12"/>
  <c r="L150" i="12" s="1"/>
  <c r="N150" i="12" s="1"/>
  <c r="B150" i="12"/>
  <c r="Z149" i="12"/>
  <c r="X149" i="12"/>
  <c r="N149" i="12"/>
  <c r="L149" i="12"/>
  <c r="B149" i="12"/>
  <c r="T148" i="12"/>
  <c r="P148" i="12"/>
  <c r="X148" i="12" s="1"/>
  <c r="Z148" i="12" s="1"/>
  <c r="L148" i="12"/>
  <c r="N148" i="12" s="1"/>
  <c r="H148" i="12"/>
  <c r="D148" i="12"/>
  <c r="B148" i="12"/>
  <c r="X147" i="12"/>
  <c r="Z147" i="12" s="1"/>
  <c r="N147" i="12"/>
  <c r="L147" i="12"/>
  <c r="B147" i="12"/>
  <c r="X146" i="12"/>
  <c r="Z146" i="12" s="1"/>
  <c r="L146" i="12"/>
  <c r="N146" i="12" s="1"/>
  <c r="B146" i="12"/>
  <c r="Z145" i="12"/>
  <c r="X145" i="12"/>
  <c r="N145" i="12"/>
  <c r="L145" i="12"/>
  <c r="B145" i="12"/>
  <c r="Z144" i="12"/>
  <c r="X144" i="12"/>
  <c r="L144" i="12"/>
  <c r="N144" i="12" s="1"/>
  <c r="B144" i="12"/>
  <c r="Z143" i="12"/>
  <c r="X143" i="12"/>
  <c r="L143" i="12"/>
  <c r="N143" i="12" s="1"/>
  <c r="B143" i="12"/>
  <c r="X142" i="12"/>
  <c r="Z142" i="12" s="1"/>
  <c r="L142" i="12"/>
  <c r="N142" i="12" s="1"/>
  <c r="B142" i="12"/>
  <c r="Z141" i="12"/>
  <c r="X141" i="12"/>
  <c r="N141" i="12"/>
  <c r="L141" i="12"/>
  <c r="B141" i="12"/>
  <c r="T140" i="12"/>
  <c r="P140" i="12"/>
  <c r="H140" i="12"/>
  <c r="N140" i="12" s="1"/>
  <c r="D140" i="12"/>
  <c r="L140" i="12" s="1"/>
  <c r="B140" i="12"/>
  <c r="Z139" i="12"/>
  <c r="X139" i="12"/>
  <c r="L139" i="12"/>
  <c r="N139" i="12" s="1"/>
  <c r="B139" i="12"/>
  <c r="X138" i="12"/>
  <c r="Z138" i="12" s="1"/>
  <c r="L138" i="12"/>
  <c r="N138" i="12" s="1"/>
  <c r="B138" i="12"/>
  <c r="Z137" i="12"/>
  <c r="X137" i="12"/>
  <c r="N137" i="12"/>
  <c r="L137" i="12"/>
  <c r="B137" i="12"/>
  <c r="X136" i="12"/>
  <c r="Z136" i="12" s="1"/>
  <c r="N136" i="12"/>
  <c r="L136" i="12"/>
  <c r="B136" i="12"/>
  <c r="Z135" i="12"/>
  <c r="X135" i="12"/>
  <c r="N135" i="12"/>
  <c r="L135" i="12"/>
  <c r="B135" i="12"/>
  <c r="X134" i="12"/>
  <c r="Z134" i="12" s="1"/>
  <c r="L134" i="12"/>
  <c r="N134" i="12" s="1"/>
  <c r="B134" i="12"/>
  <c r="Z133" i="12"/>
  <c r="X133" i="12"/>
  <c r="N133" i="12"/>
  <c r="L133" i="12"/>
  <c r="B133" i="12"/>
  <c r="Z132" i="12"/>
  <c r="X132" i="12"/>
  <c r="L132" i="12"/>
  <c r="N132" i="12" s="1"/>
  <c r="B132" i="12"/>
  <c r="Z131" i="12"/>
  <c r="X131" i="12"/>
  <c r="L131" i="12"/>
  <c r="N131" i="12" s="1"/>
  <c r="B131" i="12"/>
  <c r="X130" i="12"/>
  <c r="Z130" i="12" s="1"/>
  <c r="L130" i="12"/>
  <c r="N130" i="12" s="1"/>
  <c r="B130" i="12"/>
  <c r="T129" i="12"/>
  <c r="P129" i="12"/>
  <c r="X129" i="12" s="1"/>
  <c r="H129" i="12"/>
  <c r="N129" i="12" s="1"/>
  <c r="D129" i="12"/>
  <c r="L129" i="12" s="1"/>
  <c r="B129" i="12"/>
  <c r="T128" i="12"/>
  <c r="P128" i="12"/>
  <c r="X128" i="12" s="1"/>
  <c r="L128" i="12"/>
  <c r="N128" i="12" s="1"/>
  <c r="H128" i="12"/>
  <c r="D128" i="12"/>
  <c r="Z124" i="12"/>
  <c r="X124" i="12"/>
  <c r="N124" i="12"/>
  <c r="L124" i="12"/>
  <c r="B124" i="12"/>
  <c r="Z123" i="12"/>
  <c r="X123" i="12"/>
  <c r="N123" i="12"/>
  <c r="L123" i="12"/>
  <c r="B123" i="12"/>
  <c r="Z122" i="12"/>
  <c r="X122" i="12"/>
  <c r="N122" i="12"/>
  <c r="L122" i="12"/>
  <c r="B122" i="12"/>
  <c r="Z121" i="12"/>
  <c r="X121" i="12"/>
  <c r="N121" i="12"/>
  <c r="L121" i="12"/>
  <c r="B121" i="12"/>
  <c r="X120" i="12"/>
  <c r="Z120" i="12" s="1"/>
  <c r="N120" i="12"/>
  <c r="L120" i="12"/>
  <c r="B120" i="12"/>
  <c r="Z119" i="12"/>
  <c r="X119" i="12"/>
  <c r="N119" i="12"/>
  <c r="L119" i="12"/>
  <c r="B119" i="12"/>
  <c r="X118" i="12"/>
  <c r="Z118" i="12" s="1"/>
  <c r="L118" i="12"/>
  <c r="N118" i="12" s="1"/>
  <c r="B118" i="12"/>
  <c r="Z117" i="12"/>
  <c r="X117" i="12"/>
  <c r="N117" i="12"/>
  <c r="L117" i="12"/>
  <c r="B117" i="12"/>
  <c r="X116" i="12"/>
  <c r="Z116" i="12" s="1"/>
  <c r="L116" i="12"/>
  <c r="N116" i="12" s="1"/>
  <c r="B116" i="12"/>
  <c r="Z115" i="12"/>
  <c r="X115" i="12"/>
  <c r="N115" i="12"/>
  <c r="L115" i="12"/>
  <c r="B115" i="12"/>
  <c r="X114" i="12"/>
  <c r="Z114" i="12" s="1"/>
  <c r="N114" i="12"/>
  <c r="L114" i="12"/>
  <c r="B114" i="12"/>
  <c r="Z113" i="12"/>
  <c r="X113" i="12"/>
  <c r="N113" i="12"/>
  <c r="L113" i="12"/>
  <c r="B113" i="12"/>
  <c r="X112" i="12"/>
  <c r="Z112" i="12" s="1"/>
  <c r="N112" i="12"/>
  <c r="L112" i="12"/>
  <c r="B112" i="12"/>
  <c r="Z111" i="12"/>
  <c r="X111" i="12"/>
  <c r="N111" i="12"/>
  <c r="L111" i="12"/>
  <c r="B111" i="12"/>
  <c r="X110" i="12"/>
  <c r="Z110" i="12" s="1"/>
  <c r="L110" i="12"/>
  <c r="N110" i="12" s="1"/>
  <c r="B110" i="12"/>
  <c r="Z109" i="12"/>
  <c r="X109" i="12"/>
  <c r="N109" i="12"/>
  <c r="L109" i="12"/>
  <c r="B109" i="12"/>
  <c r="Z108" i="12"/>
  <c r="X108" i="12"/>
  <c r="N108" i="12"/>
  <c r="L108" i="12"/>
  <c r="B108" i="12"/>
  <c r="Z107" i="12"/>
  <c r="X107" i="12"/>
  <c r="N107" i="12"/>
  <c r="L107" i="12"/>
  <c r="B107" i="12"/>
  <c r="X106" i="12"/>
  <c r="Z106" i="12" s="1"/>
  <c r="L106" i="12"/>
  <c r="N106" i="12" s="1"/>
  <c r="B106" i="12"/>
  <c r="Z105" i="12"/>
  <c r="X105" i="12"/>
  <c r="N105" i="12"/>
  <c r="L105" i="12"/>
  <c r="B105" i="12"/>
  <c r="X104" i="12"/>
  <c r="Z104" i="12" s="1"/>
  <c r="N104" i="12"/>
  <c r="L104" i="12"/>
  <c r="B104" i="12"/>
  <c r="Z103" i="12"/>
  <c r="X103" i="12"/>
  <c r="N103" i="12"/>
  <c r="L103" i="12"/>
  <c r="B103" i="12"/>
  <c r="X102" i="12"/>
  <c r="Z102" i="12" s="1"/>
  <c r="L102" i="12"/>
  <c r="N102" i="12" s="1"/>
  <c r="B102" i="12"/>
  <c r="Z101" i="12"/>
  <c r="X101" i="12"/>
  <c r="N101" i="12"/>
  <c r="L101" i="12"/>
  <c r="B101" i="12"/>
  <c r="X100" i="12"/>
  <c r="Z100" i="12" s="1"/>
  <c r="L100" i="12"/>
  <c r="N100" i="12" s="1"/>
  <c r="B100" i="12"/>
  <c r="Z99" i="12"/>
  <c r="X99" i="12"/>
  <c r="N99" i="12"/>
  <c r="L99" i="12"/>
  <c r="B99" i="12"/>
  <c r="X98" i="12"/>
  <c r="Z98" i="12" s="1"/>
  <c r="L98" i="12"/>
  <c r="N98" i="12" s="1"/>
  <c r="B98" i="12"/>
  <c r="Z97" i="12"/>
  <c r="X97" i="12"/>
  <c r="N97" i="12"/>
  <c r="L97" i="12"/>
  <c r="B97" i="12"/>
  <c r="X96" i="12"/>
  <c r="Z96" i="12" s="1"/>
  <c r="L96" i="12"/>
  <c r="N96" i="12" s="1"/>
  <c r="B96" i="12"/>
  <c r="Z95" i="12"/>
  <c r="X95" i="12"/>
  <c r="N95" i="12"/>
  <c r="L95" i="12"/>
  <c r="B95" i="12"/>
  <c r="X94" i="12"/>
  <c r="Z94" i="12" s="1"/>
  <c r="N94" i="12"/>
  <c r="L94" i="12"/>
  <c r="B94" i="12"/>
  <c r="Z93" i="12"/>
  <c r="X93" i="12"/>
  <c r="N93" i="12"/>
  <c r="L93" i="12"/>
  <c r="B93" i="12"/>
  <c r="X92" i="12"/>
  <c r="Z92" i="12" s="1"/>
  <c r="N92" i="12"/>
  <c r="L92" i="12"/>
  <c r="B92" i="12"/>
  <c r="Z91" i="12"/>
  <c r="X91" i="12"/>
  <c r="N91" i="12"/>
  <c r="L91" i="12"/>
  <c r="B91" i="12"/>
  <c r="X90" i="12"/>
  <c r="Z90" i="12" s="1"/>
  <c r="N90" i="12"/>
  <c r="L90" i="12"/>
  <c r="B90" i="12"/>
  <c r="Z89" i="12"/>
  <c r="X89" i="12"/>
  <c r="N89" i="12"/>
  <c r="L89" i="12"/>
  <c r="B89" i="12"/>
  <c r="X88" i="12"/>
  <c r="Z88" i="12" s="1"/>
  <c r="N88" i="12"/>
  <c r="L88" i="12"/>
  <c r="B88" i="12"/>
  <c r="Z87" i="12"/>
  <c r="X87" i="12"/>
  <c r="N87" i="12"/>
  <c r="L87" i="12"/>
  <c r="B87" i="12"/>
  <c r="X86" i="12"/>
  <c r="Z86" i="12" s="1"/>
  <c r="N86" i="12"/>
  <c r="L86" i="12"/>
  <c r="B86" i="12"/>
  <c r="Z85" i="12"/>
  <c r="X85" i="12"/>
  <c r="N85" i="12"/>
  <c r="L85" i="12"/>
  <c r="B85" i="12"/>
  <c r="X84" i="12"/>
  <c r="Z84" i="12" s="1"/>
  <c r="L84" i="12"/>
  <c r="N84" i="12" s="1"/>
  <c r="B84" i="12"/>
  <c r="Z83" i="12"/>
  <c r="X83" i="12"/>
  <c r="N83" i="12"/>
  <c r="L83" i="12"/>
  <c r="B83" i="12"/>
  <c r="T82" i="12"/>
  <c r="Z82" i="12" s="1"/>
  <c r="P82" i="12"/>
  <c r="X82" i="12" s="1"/>
  <c r="H82" i="12"/>
  <c r="D82" i="12"/>
  <c r="L82" i="12" s="1"/>
  <c r="Z80" i="12"/>
  <c r="X80" i="12"/>
  <c r="T80" i="12"/>
  <c r="P80" i="12"/>
  <c r="H80" i="12"/>
  <c r="N80" i="12" s="1"/>
  <c r="D80" i="12"/>
  <c r="L80" i="12" s="1"/>
  <c r="B80" i="12"/>
  <c r="Z79" i="12"/>
  <c r="X79" i="12"/>
  <c r="T79" i="12"/>
  <c r="P79" i="12"/>
  <c r="H79" i="12"/>
  <c r="N79" i="12" s="1"/>
  <c r="D79" i="12"/>
  <c r="L79" i="12" s="1"/>
  <c r="B79" i="12"/>
  <c r="T78" i="12"/>
  <c r="P78" i="12"/>
  <c r="X78" i="12" s="1"/>
  <c r="Z78" i="12" s="1"/>
  <c r="H78" i="12"/>
  <c r="D78" i="12"/>
  <c r="L78" i="12" s="1"/>
  <c r="B78" i="12"/>
  <c r="T77" i="12"/>
  <c r="P77" i="12"/>
  <c r="X77" i="12" s="1"/>
  <c r="H77" i="12"/>
  <c r="D77" i="12"/>
  <c r="B77" i="12"/>
  <c r="T76" i="12"/>
  <c r="P76" i="12"/>
  <c r="X76" i="12" s="1"/>
  <c r="L76" i="12"/>
  <c r="N76" i="12" s="1"/>
  <c r="H76" i="12"/>
  <c r="D76" i="12"/>
  <c r="B76" i="12"/>
  <c r="T75" i="12"/>
  <c r="P75" i="12"/>
  <c r="X75" i="12" s="1"/>
  <c r="N75" i="12"/>
  <c r="L75" i="12"/>
  <c r="H75" i="12"/>
  <c r="D75" i="12"/>
  <c r="B75" i="12"/>
  <c r="T74" i="12"/>
  <c r="Z74" i="12" s="1"/>
  <c r="P74" i="12"/>
  <c r="X74" i="12" s="1"/>
  <c r="H74" i="12"/>
  <c r="D74" i="12"/>
  <c r="L74" i="12" s="1"/>
  <c r="N74" i="12" s="1"/>
  <c r="B74" i="12"/>
  <c r="T73" i="12"/>
  <c r="P73" i="12"/>
  <c r="H73" i="12"/>
  <c r="N73" i="12" s="1"/>
  <c r="D73" i="12"/>
  <c r="L73" i="12" s="1"/>
  <c r="B73" i="12"/>
  <c r="X72" i="12"/>
  <c r="Z72" i="12" s="1"/>
  <c r="T72" i="12"/>
  <c r="P72" i="12"/>
  <c r="H72" i="12"/>
  <c r="N72" i="12" s="1"/>
  <c r="D72" i="12"/>
  <c r="L72" i="12" s="1"/>
  <c r="B72" i="12"/>
  <c r="Z71" i="12"/>
  <c r="X71" i="12"/>
  <c r="T71" i="12"/>
  <c r="P71" i="12"/>
  <c r="H71" i="12"/>
  <c r="N71" i="12" s="1"/>
  <c r="D71" i="12"/>
  <c r="L71" i="12" s="1"/>
  <c r="B71" i="12"/>
  <c r="T70" i="12"/>
  <c r="P70" i="12"/>
  <c r="X70" i="12" s="1"/>
  <c r="Z70" i="12" s="1"/>
  <c r="H70" i="12"/>
  <c r="D70" i="12"/>
  <c r="L70" i="12" s="1"/>
  <c r="B70" i="12"/>
  <c r="T69" i="12"/>
  <c r="Z69" i="12" s="1"/>
  <c r="P69" i="12"/>
  <c r="X69" i="12" s="1"/>
  <c r="H69" i="12"/>
  <c r="D69" i="12"/>
  <c r="B69" i="12"/>
  <c r="T68" i="12"/>
  <c r="P68" i="12"/>
  <c r="X68" i="12" s="1"/>
  <c r="L68" i="12"/>
  <c r="N68" i="12" s="1"/>
  <c r="H68" i="12"/>
  <c r="D68" i="12"/>
  <c r="B68" i="12"/>
  <c r="T67" i="12"/>
  <c r="Z67" i="12" s="1"/>
  <c r="P67" i="12"/>
  <c r="X67" i="12" s="1"/>
  <c r="N67" i="12"/>
  <c r="L67" i="12"/>
  <c r="H67" i="12"/>
  <c r="D67" i="12"/>
  <c r="B67" i="12"/>
  <c r="T66" i="12"/>
  <c r="P66" i="12"/>
  <c r="X66" i="12" s="1"/>
  <c r="N66" i="12"/>
  <c r="H66" i="12"/>
  <c r="D66" i="12"/>
  <c r="L66" i="12" s="1"/>
  <c r="B66" i="12"/>
  <c r="T65" i="12"/>
  <c r="P65" i="12"/>
  <c r="H65" i="12"/>
  <c r="D65" i="12"/>
  <c r="L65" i="12" s="1"/>
  <c r="B65" i="12"/>
  <c r="X64" i="12"/>
  <c r="Z64" i="12" s="1"/>
  <c r="T64" i="12"/>
  <c r="P64" i="12"/>
  <c r="H64" i="12"/>
  <c r="N64" i="12" s="1"/>
  <c r="D64" i="12"/>
  <c r="L64" i="12" s="1"/>
  <c r="B64" i="12"/>
  <c r="Z63" i="12"/>
  <c r="X63" i="12"/>
  <c r="T63" i="12"/>
  <c r="P63" i="12"/>
  <c r="H63" i="12"/>
  <c r="N63" i="12" s="1"/>
  <c r="D63" i="12"/>
  <c r="L63" i="12" s="1"/>
  <c r="B63" i="12"/>
  <c r="T62" i="12"/>
  <c r="P62" i="12"/>
  <c r="X62" i="12" s="1"/>
  <c r="Z62" i="12" s="1"/>
  <c r="H62" i="12"/>
  <c r="N62" i="12" s="1"/>
  <c r="D62" i="12"/>
  <c r="L62" i="12" s="1"/>
  <c r="B62" i="12"/>
  <c r="T61" i="12"/>
  <c r="P61" i="12"/>
  <c r="X61" i="12" s="1"/>
  <c r="H61" i="12"/>
  <c r="D61" i="12"/>
  <c r="B61" i="12"/>
  <c r="T60" i="12"/>
  <c r="Z60" i="12" s="1"/>
  <c r="P60" i="12"/>
  <c r="X60" i="12" s="1"/>
  <c r="N60" i="12"/>
  <c r="L60" i="12"/>
  <c r="H60" i="12"/>
  <c r="D60" i="12"/>
  <c r="B60" i="12"/>
  <c r="T59" i="12"/>
  <c r="Z59" i="12" s="1"/>
  <c r="P59" i="12"/>
  <c r="X59" i="12" s="1"/>
  <c r="N59" i="12"/>
  <c r="L59" i="12"/>
  <c r="H59" i="12"/>
  <c r="D59" i="12"/>
  <c r="B59" i="12"/>
  <c r="T58" i="12"/>
  <c r="P58" i="12"/>
  <c r="X58" i="12" s="1"/>
  <c r="H58" i="12"/>
  <c r="D58" i="12"/>
  <c r="L58" i="12" s="1"/>
  <c r="N58" i="12" s="1"/>
  <c r="B58" i="12"/>
  <c r="T57" i="12"/>
  <c r="P57" i="12"/>
  <c r="H57" i="12"/>
  <c r="N57" i="12" s="1"/>
  <c r="D57" i="12"/>
  <c r="L57" i="12" s="1"/>
  <c r="B57" i="12"/>
  <c r="X56" i="12"/>
  <c r="Z56" i="12" s="1"/>
  <c r="T56" i="12"/>
  <c r="P56" i="12"/>
  <c r="H56" i="12"/>
  <c r="D56" i="12"/>
  <c r="L56" i="12" s="1"/>
  <c r="B56" i="12"/>
  <c r="Z55" i="12"/>
  <c r="X55" i="12"/>
  <c r="T55" i="12"/>
  <c r="P55" i="12"/>
  <c r="H55" i="12"/>
  <c r="D55" i="12"/>
  <c r="L55" i="12" s="1"/>
  <c r="B55" i="12"/>
  <c r="T54" i="12"/>
  <c r="P54" i="12"/>
  <c r="X54" i="12" s="1"/>
  <c r="Z54" i="12" s="1"/>
  <c r="H54" i="12"/>
  <c r="N54" i="12" s="1"/>
  <c r="D54" i="12"/>
  <c r="L54" i="12" s="1"/>
  <c r="B54" i="12"/>
  <c r="T53" i="12"/>
  <c r="P53" i="12"/>
  <c r="X53" i="12" s="1"/>
  <c r="H53" i="12"/>
  <c r="D53" i="12"/>
  <c r="B53" i="12"/>
  <c r="T52" i="12"/>
  <c r="Z52" i="12" s="1"/>
  <c r="P52" i="12"/>
  <c r="X52" i="12" s="1"/>
  <c r="L52" i="12"/>
  <c r="N52" i="12" s="1"/>
  <c r="H52" i="12"/>
  <c r="D52" i="12"/>
  <c r="B52" i="12"/>
  <c r="T51" i="12"/>
  <c r="Z51" i="12" s="1"/>
  <c r="P51" i="12"/>
  <c r="X51" i="12" s="1"/>
  <c r="N51" i="12"/>
  <c r="L51" i="12"/>
  <c r="H51" i="12"/>
  <c r="D51" i="12"/>
  <c r="B51" i="12"/>
  <c r="T50" i="12"/>
  <c r="Z50" i="12" s="1"/>
  <c r="P50" i="12"/>
  <c r="X50" i="12" s="1"/>
  <c r="N50" i="12"/>
  <c r="H50" i="12"/>
  <c r="D50" i="12"/>
  <c r="L50" i="12" s="1"/>
  <c r="B50" i="12"/>
  <c r="T49" i="12"/>
  <c r="P49" i="12"/>
  <c r="H49" i="12"/>
  <c r="N49" i="12" s="1"/>
  <c r="D49" i="12"/>
  <c r="L49" i="12" s="1"/>
  <c r="B49" i="12"/>
  <c r="X48" i="12"/>
  <c r="Z48" i="12" s="1"/>
  <c r="T48" i="12"/>
  <c r="P48" i="12"/>
  <c r="H48" i="12"/>
  <c r="N48" i="12" s="1"/>
  <c r="D48" i="12"/>
  <c r="L48" i="12" s="1"/>
  <c r="B48" i="12"/>
  <c r="Z47" i="12"/>
  <c r="X47" i="12"/>
  <c r="T47" i="12"/>
  <c r="P47" i="12"/>
  <c r="H47" i="12"/>
  <c r="N47" i="12" s="1"/>
  <c r="D47" i="12"/>
  <c r="L47" i="12" s="1"/>
  <c r="B47" i="12"/>
  <c r="T46" i="12"/>
  <c r="P46" i="12"/>
  <c r="X46" i="12" s="1"/>
  <c r="Z46" i="12" s="1"/>
  <c r="H46" i="12"/>
  <c r="D46" i="12"/>
  <c r="L46" i="12" s="1"/>
  <c r="B46" i="12"/>
  <c r="T45" i="12"/>
  <c r="Z45" i="12" s="1"/>
  <c r="P45" i="12"/>
  <c r="X45" i="12" s="1"/>
  <c r="H45" i="12"/>
  <c r="D45" i="12"/>
  <c r="B45" i="12"/>
  <c r="T44" i="12"/>
  <c r="P44" i="12"/>
  <c r="X44" i="12" s="1"/>
  <c r="L44" i="12"/>
  <c r="N44" i="12" s="1"/>
  <c r="H44" i="12"/>
  <c r="D44" i="12"/>
  <c r="B44" i="12"/>
  <c r="T43" i="12"/>
  <c r="Z43" i="12" s="1"/>
  <c r="P43" i="12"/>
  <c r="X43" i="12" s="1"/>
  <c r="N43" i="12"/>
  <c r="L43" i="12"/>
  <c r="H43" i="12"/>
  <c r="D43" i="12"/>
  <c r="B43" i="12"/>
  <c r="T42" i="12"/>
  <c r="P42" i="12"/>
  <c r="X42" i="12" s="1"/>
  <c r="N42" i="12"/>
  <c r="H42" i="12"/>
  <c r="D42" i="12"/>
  <c r="L42" i="12" s="1"/>
  <c r="B42" i="12"/>
  <c r="T41" i="12"/>
  <c r="P41" i="12"/>
  <c r="H41" i="12"/>
  <c r="D41" i="12"/>
  <c r="L41" i="12" s="1"/>
  <c r="B41" i="12"/>
  <c r="X40" i="12"/>
  <c r="Z40" i="12" s="1"/>
  <c r="T40" i="12"/>
  <c r="P40" i="12"/>
  <c r="H40" i="12"/>
  <c r="N40" i="12" s="1"/>
  <c r="D40" i="12"/>
  <c r="L40" i="12" s="1"/>
  <c r="B40" i="12"/>
  <c r="Z39" i="12"/>
  <c r="X39" i="12"/>
  <c r="T39" i="12"/>
  <c r="P39" i="12"/>
  <c r="H39" i="12"/>
  <c r="N39" i="12" s="1"/>
  <c r="D39" i="12"/>
  <c r="L39" i="12" s="1"/>
  <c r="B39" i="12"/>
  <c r="T38" i="12"/>
  <c r="P38" i="12"/>
  <c r="X38" i="12" s="1"/>
  <c r="Z38" i="12" s="1"/>
  <c r="H38" i="12"/>
  <c r="N38" i="12" s="1"/>
  <c r="D38" i="12"/>
  <c r="L38" i="12" s="1"/>
  <c r="B38" i="12"/>
  <c r="T37" i="12"/>
  <c r="Z37" i="12" s="1"/>
  <c r="P37" i="12"/>
  <c r="X37" i="12" s="1"/>
  <c r="H37" i="12"/>
  <c r="D37" i="12"/>
  <c r="B37" i="12"/>
  <c r="T36" i="12"/>
  <c r="Z36" i="12" s="1"/>
  <c r="P36" i="12"/>
  <c r="X36" i="12" s="1"/>
  <c r="L36" i="12"/>
  <c r="N36" i="12" s="1"/>
  <c r="H36" i="12"/>
  <c r="D36" i="12"/>
  <c r="B36" i="12"/>
  <c r="T35" i="12"/>
  <c r="P35" i="12"/>
  <c r="X35" i="12" s="1"/>
  <c r="N35" i="12"/>
  <c r="L35" i="12"/>
  <c r="H35" i="12"/>
  <c r="D35" i="12"/>
  <c r="B35" i="12"/>
  <c r="T34" i="12"/>
  <c r="P34" i="12"/>
  <c r="X34" i="12" s="1"/>
  <c r="N34" i="12"/>
  <c r="H34" i="12"/>
  <c r="D34" i="12"/>
  <c r="L34" i="12" s="1"/>
  <c r="B34" i="12"/>
  <c r="T33" i="12"/>
  <c r="P33" i="12"/>
  <c r="H33" i="12"/>
  <c r="N33" i="12" s="1"/>
  <c r="D33" i="12"/>
  <c r="L33" i="12" s="1"/>
  <c r="B33" i="12"/>
  <c r="X32" i="12"/>
  <c r="Z32" i="12" s="1"/>
  <c r="T32" i="12"/>
  <c r="P32" i="12"/>
  <c r="H32" i="12"/>
  <c r="N32" i="12" s="1"/>
  <c r="D32" i="12"/>
  <c r="L32" i="12" s="1"/>
  <c r="B32" i="12"/>
  <c r="Z31" i="12"/>
  <c r="X31" i="12"/>
  <c r="T31" i="12"/>
  <c r="P31" i="12"/>
  <c r="H31" i="12"/>
  <c r="N31" i="12" s="1"/>
  <c r="D31" i="12"/>
  <c r="L31" i="12" s="1"/>
  <c r="B31" i="12"/>
  <c r="T30" i="12"/>
  <c r="P30" i="12"/>
  <c r="X30" i="12" s="1"/>
  <c r="Z30" i="12" s="1"/>
  <c r="H30" i="12"/>
  <c r="N30" i="12" s="1"/>
  <c r="D30" i="12"/>
  <c r="L30" i="12" s="1"/>
  <c r="B30" i="12"/>
  <c r="T29" i="12"/>
  <c r="Z29" i="12" s="1"/>
  <c r="P29" i="12"/>
  <c r="X29" i="12" s="1"/>
  <c r="H29" i="12"/>
  <c r="D29" i="12"/>
  <c r="B29" i="12"/>
  <c r="T28" i="12"/>
  <c r="Z28" i="12" s="1"/>
  <c r="P28" i="12"/>
  <c r="X28" i="12" s="1"/>
  <c r="L28" i="12"/>
  <c r="N28" i="12" s="1"/>
  <c r="H28" i="12"/>
  <c r="D28" i="12"/>
  <c r="B28" i="12"/>
  <c r="T27" i="12"/>
  <c r="P27" i="12"/>
  <c r="X27" i="12" s="1"/>
  <c r="N27" i="12"/>
  <c r="L27" i="12"/>
  <c r="H27" i="12"/>
  <c r="D27" i="12"/>
  <c r="B27" i="12"/>
  <c r="T26" i="12"/>
  <c r="Z26" i="12" s="1"/>
  <c r="P26" i="12"/>
  <c r="X26" i="12" s="1"/>
  <c r="N26" i="12"/>
  <c r="H26" i="12"/>
  <c r="D26" i="12"/>
  <c r="L26" i="12" s="1"/>
  <c r="B26" i="12"/>
  <c r="T25" i="12"/>
  <c r="P25" i="12"/>
  <c r="H25" i="12"/>
  <c r="N25" i="12" s="1"/>
  <c r="D25" i="12"/>
  <c r="L25" i="12" s="1"/>
  <c r="B25" i="12"/>
  <c r="X24" i="12"/>
  <c r="Z24" i="12" s="1"/>
  <c r="T24" i="12"/>
  <c r="P24" i="12"/>
  <c r="H24" i="12"/>
  <c r="N24" i="12" s="1"/>
  <c r="D24" i="12"/>
  <c r="L24" i="12" s="1"/>
  <c r="B24" i="12"/>
  <c r="Z23" i="12"/>
  <c r="X23" i="12"/>
  <c r="T23" i="12"/>
  <c r="P23" i="12"/>
  <c r="H23" i="12"/>
  <c r="D23" i="12"/>
  <c r="L23" i="12" s="1"/>
  <c r="B23" i="12"/>
  <c r="T22" i="12"/>
  <c r="P22" i="12"/>
  <c r="X22" i="12" s="1"/>
  <c r="Z22" i="12" s="1"/>
  <c r="H22" i="12"/>
  <c r="D22" i="12"/>
  <c r="L22" i="12" s="1"/>
  <c r="B22" i="12"/>
  <c r="T21" i="12"/>
  <c r="P21" i="12"/>
  <c r="X21" i="12" s="1"/>
  <c r="H21" i="12"/>
  <c r="D21" i="12"/>
  <c r="B21" i="12"/>
  <c r="T20" i="12"/>
  <c r="P20" i="12"/>
  <c r="X20" i="12" s="1"/>
  <c r="L20" i="12"/>
  <c r="N20" i="12" s="1"/>
  <c r="H20" i="12"/>
  <c r="D20" i="12"/>
  <c r="B20" i="12"/>
  <c r="T19" i="12"/>
  <c r="P19" i="12"/>
  <c r="X19" i="12" s="1"/>
  <c r="N19" i="12"/>
  <c r="L19" i="12"/>
  <c r="H19" i="12"/>
  <c r="D19" i="12"/>
  <c r="B19" i="12"/>
  <c r="T18" i="12"/>
  <c r="P18" i="12"/>
  <c r="H18" i="12"/>
  <c r="D18" i="12"/>
  <c r="L18" i="12" s="1"/>
  <c r="N18" i="12" s="1"/>
  <c r="B18" i="12"/>
  <c r="T17" i="12"/>
  <c r="P17" i="12"/>
  <c r="H17" i="12"/>
  <c r="N17" i="12" s="1"/>
  <c r="D17" i="12"/>
  <c r="L17" i="12" s="1"/>
  <c r="B17" i="12"/>
  <c r="X16" i="12"/>
  <c r="Z16" i="12" s="1"/>
  <c r="T16" i="12"/>
  <c r="P16" i="12"/>
  <c r="H16" i="12"/>
  <c r="N16" i="12" s="1"/>
  <c r="D16" i="12"/>
  <c r="L16" i="12" s="1"/>
  <c r="B16" i="12"/>
  <c r="Z15" i="12"/>
  <c r="X15" i="12"/>
  <c r="T15" i="12"/>
  <c r="P15" i="12"/>
  <c r="H15" i="12"/>
  <c r="N15" i="12" s="1"/>
  <c r="D15" i="12"/>
  <c r="L15" i="12" s="1"/>
  <c r="B15" i="12"/>
  <c r="T14" i="12"/>
  <c r="P14" i="12"/>
  <c r="X14" i="12" s="1"/>
  <c r="Z14" i="12" s="1"/>
  <c r="H14" i="12"/>
  <c r="D14" i="12"/>
  <c r="L14" i="12" s="1"/>
  <c r="B14" i="12"/>
  <c r="T13" i="12"/>
  <c r="Z13" i="12" s="1"/>
  <c r="P13" i="12"/>
  <c r="X13" i="12" s="1"/>
  <c r="H13" i="12"/>
  <c r="D13" i="12"/>
  <c r="D12" i="12" s="1"/>
  <c r="F175" i="12" s="1"/>
  <c r="B13" i="12"/>
  <c r="D4" i="12"/>
  <c r="B39" i="11"/>
  <c r="B38" i="11"/>
  <c r="T34" i="11"/>
  <c r="Z34" i="11" s="1"/>
  <c r="P34" i="11"/>
  <c r="H34" i="11"/>
  <c r="N34" i="11" s="1"/>
  <c r="D34" i="11"/>
  <c r="T33" i="11"/>
  <c r="P33" i="11"/>
  <c r="H33" i="11"/>
  <c r="N33" i="11" s="1"/>
  <c r="D33" i="11"/>
  <c r="T29" i="11"/>
  <c r="P29" i="11"/>
  <c r="H29" i="11"/>
  <c r="N29" i="11" s="1"/>
  <c r="D29" i="11"/>
  <c r="T25" i="11"/>
  <c r="Z25" i="11" s="1"/>
  <c r="P25" i="11"/>
  <c r="H25" i="11"/>
  <c r="N25" i="11" s="1"/>
  <c r="D25" i="11"/>
  <c r="B25" i="11"/>
  <c r="T24" i="11"/>
  <c r="Z24" i="11" s="1"/>
  <c r="P24" i="11"/>
  <c r="H24" i="11"/>
  <c r="N24" i="11" s="1"/>
  <c r="D24" i="11"/>
  <c r="T22" i="11"/>
  <c r="Z22" i="11" s="1"/>
  <c r="P22" i="11"/>
  <c r="H22" i="11"/>
  <c r="D22" i="11"/>
  <c r="B22" i="11"/>
  <c r="T21" i="11"/>
  <c r="Z21" i="11" s="1"/>
  <c r="P21" i="11"/>
  <c r="H21" i="11"/>
  <c r="N21" i="11" s="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P15" i="11"/>
  <c r="H15" i="11"/>
  <c r="N15" i="11" s="1"/>
  <c r="D15" i="11"/>
  <c r="T13" i="11"/>
  <c r="Z13" i="11" s="1"/>
  <c r="P13" i="11"/>
  <c r="H13" i="11"/>
  <c r="N13" i="11" s="1"/>
  <c r="D13" i="11"/>
  <c r="B13" i="11"/>
  <c r="T12" i="11"/>
  <c r="V22" i="11" s="1"/>
  <c r="P12" i="11"/>
  <c r="R18" i="11" s="1"/>
  <c r="H12" i="11"/>
  <c r="J20" i="11" s="1"/>
  <c r="D12" i="11"/>
  <c r="F20" i="11" s="1"/>
  <c r="D5" i="11"/>
  <c r="D4" i="11"/>
  <c r="B39" i="10"/>
  <c r="B38" i="10"/>
  <c r="T34" i="10"/>
  <c r="Z34" i="10" s="1"/>
  <c r="P34" i="10"/>
  <c r="H34" i="10"/>
  <c r="N34" i="10" s="1"/>
  <c r="D34" i="10"/>
  <c r="T33" i="10"/>
  <c r="Z33" i="10" s="1"/>
  <c r="P33" i="10"/>
  <c r="H33" i="10"/>
  <c r="D33" i="10"/>
  <c r="T29" i="10"/>
  <c r="Z29" i="10" s="1"/>
  <c r="P29" i="10"/>
  <c r="H29" i="10"/>
  <c r="D29" i="10"/>
  <c r="T25" i="10"/>
  <c r="Z25" i="10" s="1"/>
  <c r="P25" i="10"/>
  <c r="H25" i="10"/>
  <c r="D25" i="10"/>
  <c r="B25" i="10"/>
  <c r="T24" i="10"/>
  <c r="Z24" i="10" s="1"/>
  <c r="P24" i="10"/>
  <c r="H24" i="10"/>
  <c r="N24" i="10" s="1"/>
  <c r="D24" i="10"/>
  <c r="T22" i="10"/>
  <c r="Z22" i="10" s="1"/>
  <c r="P22" i="10"/>
  <c r="H22" i="10"/>
  <c r="D22" i="10"/>
  <c r="B22" i="10"/>
  <c r="T21" i="10"/>
  <c r="P21" i="10"/>
  <c r="H21" i="10"/>
  <c r="N21" i="10" s="1"/>
  <c r="D21" i="10"/>
  <c r="B21" i="10"/>
  <c r="T20" i="10"/>
  <c r="Z20" i="10" s="1"/>
  <c r="P20" i="10"/>
  <c r="H20" i="10"/>
  <c r="N20" i="10" s="1"/>
  <c r="D20" i="10"/>
  <c r="T16" i="10"/>
  <c r="Z16" i="10" s="1"/>
  <c r="P16" i="10"/>
  <c r="H16" i="10"/>
  <c r="N16" i="10" s="1"/>
  <c r="D16" i="10"/>
  <c r="B16" i="10"/>
  <c r="T15" i="10"/>
  <c r="Z15" i="10" s="1"/>
  <c r="P15" i="10"/>
  <c r="H15" i="10"/>
  <c r="D15" i="10"/>
  <c r="T13" i="10"/>
  <c r="Z13" i="10" s="1"/>
  <c r="P13" i="10"/>
  <c r="H13" i="10"/>
  <c r="N13" i="10" s="1"/>
  <c r="D13" i="10"/>
  <c r="B13" i="10"/>
  <c r="T12" i="10"/>
  <c r="V15" i="10" s="1"/>
  <c r="P12" i="10"/>
  <c r="R21" i="10" s="1"/>
  <c r="H12" i="10"/>
  <c r="J20" i="10" s="1"/>
  <c r="D12" i="10"/>
  <c r="F36" i="10" s="1"/>
  <c r="D5" i="10"/>
  <c r="D4" i="10"/>
  <c r="P93" i="9"/>
  <c r="Z91" i="9"/>
  <c r="X91" i="9"/>
  <c r="R91" i="9"/>
  <c r="N91" i="9"/>
  <c r="L91" i="9"/>
  <c r="T87" i="9"/>
  <c r="Z87" i="9" s="1"/>
  <c r="P87" i="9"/>
  <c r="N87" i="9"/>
  <c r="L87" i="9"/>
  <c r="H87" i="9"/>
  <c r="D87" i="9"/>
  <c r="Z85" i="9"/>
  <c r="X85" i="9"/>
  <c r="N85" i="9"/>
  <c r="L85" i="9"/>
  <c r="B85" i="9"/>
  <c r="X84" i="9"/>
  <c r="Z84" i="9" s="1"/>
  <c r="N84" i="9"/>
  <c r="L84" i="9"/>
  <c r="B84" i="9"/>
  <c r="X83" i="9"/>
  <c r="Z83" i="9" s="1"/>
  <c r="T83" i="9"/>
  <c r="P83" i="9"/>
  <c r="L83" i="9"/>
  <c r="H83" i="9"/>
  <c r="N83" i="9" s="1"/>
  <c r="D83" i="9"/>
  <c r="B83" i="9"/>
  <c r="Z82" i="9"/>
  <c r="X82" i="9"/>
  <c r="N82" i="9"/>
  <c r="L82" i="9"/>
  <c r="B82" i="9"/>
  <c r="X81" i="9"/>
  <c r="T81" i="9"/>
  <c r="Z81" i="9" s="1"/>
  <c r="P81" i="9"/>
  <c r="H81" i="9"/>
  <c r="D81" i="9"/>
  <c r="L81" i="9" s="1"/>
  <c r="B81" i="9"/>
  <c r="X80" i="9"/>
  <c r="Z80" i="9" s="1"/>
  <c r="N80" i="9"/>
  <c r="L80" i="9"/>
  <c r="B80" i="9"/>
  <c r="Z79" i="9"/>
  <c r="X79" i="9"/>
  <c r="R79" i="9"/>
  <c r="L79" i="9"/>
  <c r="N79" i="9" s="1"/>
  <c r="B79" i="9"/>
  <c r="T78" i="9"/>
  <c r="P78" i="9"/>
  <c r="X78" i="9" s="1"/>
  <c r="Z78" i="9" s="1"/>
  <c r="L78" i="9"/>
  <c r="N78" i="9" s="1"/>
  <c r="H78" i="9"/>
  <c r="F78" i="9"/>
  <c r="D78" i="9"/>
  <c r="B78" i="9"/>
  <c r="Z77" i="9"/>
  <c r="X77" i="9"/>
  <c r="N77" i="9"/>
  <c r="L77" i="9"/>
  <c r="B77" i="9"/>
  <c r="X76" i="9"/>
  <c r="Z76" i="9" s="1"/>
  <c r="N76" i="9"/>
  <c r="L76" i="9"/>
  <c r="B76" i="9"/>
  <c r="Z75" i="9"/>
  <c r="X75" i="9"/>
  <c r="R75" i="9"/>
  <c r="L75" i="9"/>
  <c r="N75" i="9" s="1"/>
  <c r="B75" i="9"/>
  <c r="Z74" i="9"/>
  <c r="X74" i="9"/>
  <c r="N74" i="9"/>
  <c r="L74" i="9"/>
  <c r="B74" i="9"/>
  <c r="Z73" i="9"/>
  <c r="X73" i="9"/>
  <c r="N73" i="9"/>
  <c r="L73" i="9"/>
  <c r="B73" i="9"/>
  <c r="T72" i="9"/>
  <c r="P72" i="9"/>
  <c r="X72" i="9" s="1"/>
  <c r="Z72" i="9" s="1"/>
  <c r="J72" i="9"/>
  <c r="H72" i="9"/>
  <c r="D72" i="9"/>
  <c r="L72" i="9" s="1"/>
  <c r="N72" i="9" s="1"/>
  <c r="B72" i="9"/>
  <c r="Z71" i="9"/>
  <c r="X71" i="9"/>
  <c r="R71" i="9"/>
  <c r="N71" i="9"/>
  <c r="L71" i="9"/>
  <c r="B71" i="9"/>
  <c r="T70" i="9"/>
  <c r="P70" i="9"/>
  <c r="X70" i="9" s="1"/>
  <c r="Z70" i="9" s="1"/>
  <c r="N70" i="9"/>
  <c r="L70" i="9"/>
  <c r="H70" i="9"/>
  <c r="F70" i="9"/>
  <c r="D70" i="9"/>
  <c r="B70" i="9"/>
  <c r="X69" i="9"/>
  <c r="Z69" i="9" s="1"/>
  <c r="L69" i="9"/>
  <c r="N69" i="9" s="1"/>
  <c r="B69" i="9"/>
  <c r="X68" i="9"/>
  <c r="Z68" i="9" s="1"/>
  <c r="T68" i="9"/>
  <c r="R68" i="9"/>
  <c r="P68" i="9"/>
  <c r="H68" i="9"/>
  <c r="D68" i="9"/>
  <c r="B68" i="9"/>
  <c r="X67" i="9"/>
  <c r="Z67" i="9" s="1"/>
  <c r="N67" i="9"/>
  <c r="L67" i="9"/>
  <c r="F67" i="9"/>
  <c r="B67" i="9"/>
  <c r="Z66" i="9"/>
  <c r="X66" i="9"/>
  <c r="N66" i="9"/>
  <c r="L66" i="9"/>
  <c r="J66" i="9"/>
  <c r="B66" i="9"/>
  <c r="Z65" i="9"/>
  <c r="X65" i="9"/>
  <c r="N65" i="9"/>
  <c r="L65" i="9"/>
  <c r="B65" i="9"/>
  <c r="X64" i="9"/>
  <c r="Z64" i="9" s="1"/>
  <c r="N64" i="9"/>
  <c r="L64" i="9"/>
  <c r="B64" i="9"/>
  <c r="T63" i="9"/>
  <c r="Z63" i="9" s="1"/>
  <c r="P63" i="9"/>
  <c r="X63" i="9" s="1"/>
  <c r="H63" i="9"/>
  <c r="D63" i="9"/>
  <c r="L63" i="9" s="1"/>
  <c r="B63" i="9"/>
  <c r="Z62" i="9"/>
  <c r="X62" i="9"/>
  <c r="N62" i="9"/>
  <c r="L62" i="9"/>
  <c r="J62" i="9"/>
  <c r="B62" i="9"/>
  <c r="X61" i="9"/>
  <c r="Z61" i="9" s="1"/>
  <c r="L61" i="9"/>
  <c r="N61" i="9" s="1"/>
  <c r="B61" i="9"/>
  <c r="X60" i="9"/>
  <c r="Z60" i="9" s="1"/>
  <c r="N60" i="9"/>
  <c r="L60" i="9"/>
  <c r="B60" i="9"/>
  <c r="T59" i="9"/>
  <c r="P59" i="9"/>
  <c r="X59" i="9" s="1"/>
  <c r="H59" i="9"/>
  <c r="D59" i="9"/>
  <c r="L59" i="9" s="1"/>
  <c r="N59" i="9" s="1"/>
  <c r="B59" i="9"/>
  <c r="Z58" i="9"/>
  <c r="X58" i="9"/>
  <c r="N58" i="9"/>
  <c r="L58" i="9"/>
  <c r="J58" i="9"/>
  <c r="B58" i="9"/>
  <c r="T57" i="9"/>
  <c r="P57" i="9"/>
  <c r="X57" i="9" s="1"/>
  <c r="Z57" i="9" s="1"/>
  <c r="L57" i="9"/>
  <c r="H57" i="9"/>
  <c r="N57" i="9" s="1"/>
  <c r="D57" i="9"/>
  <c r="B57" i="9"/>
  <c r="Z56" i="9"/>
  <c r="X56" i="9"/>
  <c r="N56" i="9"/>
  <c r="L56" i="9"/>
  <c r="B56" i="9"/>
  <c r="X55" i="9"/>
  <c r="T55" i="9"/>
  <c r="Z55" i="9" s="1"/>
  <c r="P55" i="9"/>
  <c r="L55" i="9"/>
  <c r="H55" i="9"/>
  <c r="N55" i="9" s="1"/>
  <c r="D55" i="9"/>
  <c r="B55" i="9"/>
  <c r="Z54" i="9"/>
  <c r="X54" i="9"/>
  <c r="N54" i="9"/>
  <c r="L54" i="9"/>
  <c r="B54" i="9"/>
  <c r="X53" i="9"/>
  <c r="Z53" i="9" s="1"/>
  <c r="N53" i="9"/>
  <c r="L53" i="9"/>
  <c r="B53" i="9"/>
  <c r="T52" i="9"/>
  <c r="P52" i="9"/>
  <c r="X52" i="9" s="1"/>
  <c r="Z52" i="9" s="1"/>
  <c r="J52" i="9"/>
  <c r="H52" i="9"/>
  <c r="D52" i="9"/>
  <c r="L52" i="9" s="1"/>
  <c r="N52" i="9" s="1"/>
  <c r="B52" i="9"/>
  <c r="Z51" i="9"/>
  <c r="X51" i="9"/>
  <c r="R51" i="9"/>
  <c r="L51" i="9"/>
  <c r="N51" i="9" s="1"/>
  <c r="B51" i="9"/>
  <c r="T50" i="9"/>
  <c r="P50" i="9"/>
  <c r="X50" i="9" s="1"/>
  <c r="Z50" i="9" s="1"/>
  <c r="L50" i="9"/>
  <c r="N50" i="9" s="1"/>
  <c r="H50" i="9"/>
  <c r="F50" i="9"/>
  <c r="D50" i="9"/>
  <c r="B50" i="9"/>
  <c r="X49" i="9"/>
  <c r="Z49" i="9" s="1"/>
  <c r="N49" i="9"/>
  <c r="L49" i="9"/>
  <c r="B49" i="9"/>
  <c r="X48" i="9"/>
  <c r="Z48" i="9" s="1"/>
  <c r="T48" i="9"/>
  <c r="R48" i="9"/>
  <c r="P48" i="9"/>
  <c r="H48" i="9"/>
  <c r="N48" i="9" s="1"/>
  <c r="D48" i="9"/>
  <c r="B48" i="9"/>
  <c r="X47" i="9"/>
  <c r="Z47" i="9" s="1"/>
  <c r="N47" i="9"/>
  <c r="L47" i="9"/>
  <c r="F47" i="9"/>
  <c r="B47" i="9"/>
  <c r="T46" i="9"/>
  <c r="P46" i="9"/>
  <c r="N46" i="9"/>
  <c r="H46" i="9"/>
  <c r="D46" i="9"/>
  <c r="L46" i="9" s="1"/>
  <c r="B46" i="9"/>
  <c r="X45" i="9"/>
  <c r="Z45" i="9" s="1"/>
  <c r="L45" i="9"/>
  <c r="N45" i="9" s="1"/>
  <c r="B45" i="9"/>
  <c r="T44" i="9"/>
  <c r="P44" i="9"/>
  <c r="X44" i="9" s="1"/>
  <c r="Z44" i="9" s="1"/>
  <c r="J44" i="9"/>
  <c r="H44" i="9"/>
  <c r="N44" i="9" s="1"/>
  <c r="D44" i="9"/>
  <c r="L44" i="9" s="1"/>
  <c r="B44" i="9"/>
  <c r="Z43" i="9"/>
  <c r="X43" i="9"/>
  <c r="R43" i="9"/>
  <c r="L43" i="9"/>
  <c r="N43" i="9" s="1"/>
  <c r="B43" i="9"/>
  <c r="T42" i="9"/>
  <c r="P42" i="9"/>
  <c r="X42" i="9" s="1"/>
  <c r="L42" i="9"/>
  <c r="N42" i="9" s="1"/>
  <c r="H42" i="9"/>
  <c r="F42" i="9"/>
  <c r="D42" i="9"/>
  <c r="B42" i="9"/>
  <c r="X41" i="9"/>
  <c r="Z41" i="9" s="1"/>
  <c r="L41" i="9"/>
  <c r="N41" i="9" s="1"/>
  <c r="B41" i="9"/>
  <c r="X40" i="9"/>
  <c r="Z40" i="9" s="1"/>
  <c r="T40" i="9"/>
  <c r="R40" i="9"/>
  <c r="P40" i="9"/>
  <c r="H40" i="9"/>
  <c r="D40" i="9"/>
  <c r="B40" i="9"/>
  <c r="X39" i="9"/>
  <c r="Z39" i="9" s="1"/>
  <c r="N39" i="9"/>
  <c r="L39" i="9"/>
  <c r="F39" i="9"/>
  <c r="B39" i="9"/>
  <c r="T38" i="9"/>
  <c r="P38" i="9"/>
  <c r="H38" i="9"/>
  <c r="D38" i="9"/>
  <c r="L38" i="9" s="1"/>
  <c r="N38" i="9" s="1"/>
  <c r="B38" i="9"/>
  <c r="X37" i="9"/>
  <c r="Z37" i="9" s="1"/>
  <c r="N37" i="9"/>
  <c r="L37" i="9"/>
  <c r="B37" i="9"/>
  <c r="Z36" i="9"/>
  <c r="X36" i="9"/>
  <c r="N36" i="9"/>
  <c r="L36" i="9"/>
  <c r="B36" i="9"/>
  <c r="Z35" i="9"/>
  <c r="X35" i="9"/>
  <c r="N35" i="9"/>
  <c r="L35" i="9"/>
  <c r="F35" i="9"/>
  <c r="B35" i="9"/>
  <c r="X34" i="9"/>
  <c r="Z34" i="9" s="1"/>
  <c r="N34" i="9"/>
  <c r="L34" i="9"/>
  <c r="J34" i="9"/>
  <c r="B34" i="9"/>
  <c r="Z33" i="9"/>
  <c r="X33" i="9"/>
  <c r="L33" i="9"/>
  <c r="N33" i="9" s="1"/>
  <c r="B33" i="9"/>
  <c r="X32" i="9"/>
  <c r="Z32" i="9" s="1"/>
  <c r="N32" i="9"/>
  <c r="L32" i="9"/>
  <c r="B32" i="9"/>
  <c r="T31" i="9"/>
  <c r="P31" i="9"/>
  <c r="X31" i="9" s="1"/>
  <c r="H31" i="9"/>
  <c r="D31" i="9"/>
  <c r="L31" i="9" s="1"/>
  <c r="N31" i="9" s="1"/>
  <c r="B31" i="9"/>
  <c r="X30" i="9"/>
  <c r="Z30" i="9" s="1"/>
  <c r="N30" i="9"/>
  <c r="L30" i="9"/>
  <c r="J30" i="9"/>
  <c r="B30" i="9"/>
  <c r="Z29" i="9"/>
  <c r="X29" i="9"/>
  <c r="L29" i="9"/>
  <c r="N29" i="9" s="1"/>
  <c r="B29" i="9"/>
  <c r="X28" i="9"/>
  <c r="Z28" i="9" s="1"/>
  <c r="N28" i="9"/>
  <c r="L28" i="9"/>
  <c r="B28" i="9"/>
  <c r="Z27" i="9"/>
  <c r="X27" i="9"/>
  <c r="R27" i="9"/>
  <c r="N27" i="9"/>
  <c r="L27" i="9"/>
  <c r="B27" i="9"/>
  <c r="Z26" i="9"/>
  <c r="X26" i="9"/>
  <c r="L26" i="9"/>
  <c r="N26" i="9" s="1"/>
  <c r="B26" i="9"/>
  <c r="Z25" i="9"/>
  <c r="X25" i="9"/>
  <c r="N25" i="9"/>
  <c r="L25" i="9"/>
  <c r="B25" i="9"/>
  <c r="Z24" i="9"/>
  <c r="X24" i="9"/>
  <c r="L24" i="9"/>
  <c r="N24" i="9" s="1"/>
  <c r="B24" i="9"/>
  <c r="Z23" i="9"/>
  <c r="X23" i="9"/>
  <c r="N23" i="9"/>
  <c r="L23" i="9"/>
  <c r="F23" i="9"/>
  <c r="B23" i="9"/>
  <c r="X22" i="9"/>
  <c r="Z22" i="9" s="1"/>
  <c r="N22" i="9"/>
  <c r="L22" i="9"/>
  <c r="J22" i="9"/>
  <c r="B22" i="9"/>
  <c r="Z21" i="9"/>
  <c r="X21" i="9"/>
  <c r="L21" i="9"/>
  <c r="N21" i="9" s="1"/>
  <c r="B21" i="9"/>
  <c r="X20" i="9"/>
  <c r="Z20" i="9" s="1"/>
  <c r="N20" i="9"/>
  <c r="L20" i="9"/>
  <c r="B20" i="9"/>
  <c r="T19" i="9"/>
  <c r="P19" i="9"/>
  <c r="X19" i="9" s="1"/>
  <c r="J19" i="9"/>
  <c r="H19" i="9"/>
  <c r="D19" i="9"/>
  <c r="L19" i="9" s="1"/>
  <c r="N19" i="9" s="1"/>
  <c r="B19" i="9"/>
  <c r="T18" i="9"/>
  <c r="P18" i="9"/>
  <c r="H18" i="9"/>
  <c r="D18" i="9"/>
  <c r="L18" i="9" s="1"/>
  <c r="N18" i="9" s="1"/>
  <c r="P16" i="9"/>
  <c r="P89" i="9" s="1"/>
  <c r="F16" i="9"/>
  <c r="T14" i="9"/>
  <c r="Z14" i="9" s="1"/>
  <c r="P14" i="9"/>
  <c r="N14" i="9"/>
  <c r="H14" i="9"/>
  <c r="D14" i="9"/>
  <c r="L14" i="9" s="1"/>
  <c r="T12" i="9"/>
  <c r="P12" i="9"/>
  <c r="R78" i="9" s="1"/>
  <c r="N12" i="9"/>
  <c r="H12" i="9"/>
  <c r="J73" i="9" s="1"/>
  <c r="D12" i="9"/>
  <c r="F81" i="9" s="1"/>
  <c r="D4" i="9"/>
  <c r="B39" i="8"/>
  <c r="B38" i="8"/>
  <c r="T34" i="8"/>
  <c r="Z34" i="8" s="1"/>
  <c r="P34" i="8"/>
  <c r="H34" i="8"/>
  <c r="N34" i="8" s="1"/>
  <c r="D34" i="8"/>
  <c r="T33" i="8"/>
  <c r="Z33" i="8" s="1"/>
  <c r="P33" i="8"/>
  <c r="H33" i="8"/>
  <c r="N33" i="8" s="1"/>
  <c r="D33" i="8"/>
  <c r="T29" i="8"/>
  <c r="Z29" i="8" s="1"/>
  <c r="P29" i="8"/>
  <c r="H29" i="8"/>
  <c r="N29" i="8" s="1"/>
  <c r="D29" i="8"/>
  <c r="T25" i="8"/>
  <c r="Z25" i="8" s="1"/>
  <c r="P25" i="8"/>
  <c r="H25" i="8"/>
  <c r="N25" i="8" s="1"/>
  <c r="D25" i="8"/>
  <c r="B25" i="8"/>
  <c r="T24" i="8"/>
  <c r="Z24" i="8" s="1"/>
  <c r="P24" i="8"/>
  <c r="H24" i="8"/>
  <c r="N24" i="8" s="1"/>
  <c r="D24" i="8"/>
  <c r="T22" i="8"/>
  <c r="Z22" i="8" s="1"/>
  <c r="P22" i="8"/>
  <c r="H22" i="8"/>
  <c r="N22" i="8" s="1"/>
  <c r="D22" i="8"/>
  <c r="B22" i="8"/>
  <c r="T21" i="8"/>
  <c r="Z21" i="8" s="1"/>
  <c r="P21" i="8"/>
  <c r="H21" i="8"/>
  <c r="D21" i="8"/>
  <c r="B21" i="8"/>
  <c r="T20" i="8"/>
  <c r="Z20" i="8" s="1"/>
  <c r="P20" i="8"/>
  <c r="H20" i="8"/>
  <c r="N20" i="8" s="1"/>
  <c r="D20" i="8"/>
  <c r="T16" i="8"/>
  <c r="Z16" i="8" s="1"/>
  <c r="P16" i="8"/>
  <c r="H16" i="8"/>
  <c r="N16" i="8" s="1"/>
  <c r="D16" i="8"/>
  <c r="B16" i="8"/>
  <c r="T15" i="8"/>
  <c r="Z15" i="8" s="1"/>
  <c r="P15" i="8"/>
  <c r="H15" i="8"/>
  <c r="N15" i="8" s="1"/>
  <c r="D15" i="8"/>
  <c r="T13" i="8"/>
  <c r="Z13" i="8" s="1"/>
  <c r="P13" i="8"/>
  <c r="H13" i="8"/>
  <c r="N13" i="8" s="1"/>
  <c r="D13" i="8"/>
  <c r="B13" i="8"/>
  <c r="T12" i="8"/>
  <c r="V24" i="8" s="1"/>
  <c r="P12" i="8"/>
  <c r="R34" i="8" s="1"/>
  <c r="H12" i="8"/>
  <c r="J36" i="8" s="1"/>
  <c r="D12" i="8"/>
  <c r="F21" i="8" s="1"/>
  <c r="D5" i="8"/>
  <c r="D4" i="8"/>
  <c r="B39" i="7"/>
  <c r="B38" i="7"/>
  <c r="T34" i="7"/>
  <c r="Z34" i="7" s="1"/>
  <c r="P34" i="7"/>
  <c r="H34" i="7"/>
  <c r="N34" i="7" s="1"/>
  <c r="D34" i="7"/>
  <c r="T33" i="7"/>
  <c r="Z33" i="7" s="1"/>
  <c r="P33" i="7"/>
  <c r="H33" i="7"/>
  <c r="N33" i="7" s="1"/>
  <c r="D33" i="7"/>
  <c r="T29" i="7"/>
  <c r="Z29" i="7" s="1"/>
  <c r="P29" i="7"/>
  <c r="H29" i="7"/>
  <c r="N29" i="7" s="1"/>
  <c r="D29" i="7"/>
  <c r="T25" i="7"/>
  <c r="Z25" i="7" s="1"/>
  <c r="P25" i="7"/>
  <c r="H25" i="7"/>
  <c r="N25" i="7" s="1"/>
  <c r="D25" i="7"/>
  <c r="B25" i="7"/>
  <c r="T24" i="7"/>
  <c r="Z24" i="7" s="1"/>
  <c r="P24" i="7"/>
  <c r="H24" i="7"/>
  <c r="D24" i="7"/>
  <c r="T22" i="7"/>
  <c r="Z22" i="7" s="1"/>
  <c r="P22" i="7"/>
  <c r="H22" i="7"/>
  <c r="N22" i="7" s="1"/>
  <c r="D22" i="7"/>
  <c r="B22" i="7"/>
  <c r="T21" i="7"/>
  <c r="Z21" i="7" s="1"/>
  <c r="P21" i="7"/>
  <c r="H21" i="7"/>
  <c r="N21" i="7" s="1"/>
  <c r="D21" i="7"/>
  <c r="B21" i="7"/>
  <c r="T20" i="7"/>
  <c r="P20" i="7"/>
  <c r="H20" i="7"/>
  <c r="N20" i="7" s="1"/>
  <c r="D20" i="7"/>
  <c r="T16" i="7"/>
  <c r="P16" i="7"/>
  <c r="H16" i="7"/>
  <c r="N16" i="7" s="1"/>
  <c r="D16" i="7"/>
  <c r="B16" i="7"/>
  <c r="T15" i="7"/>
  <c r="Z15" i="7" s="1"/>
  <c r="P15" i="7"/>
  <c r="H15" i="7"/>
  <c r="N15" i="7" s="1"/>
  <c r="D15" i="7"/>
  <c r="T13" i="7"/>
  <c r="Z13" i="7" s="1"/>
  <c r="P13" i="7"/>
  <c r="H13" i="7"/>
  <c r="N13" i="7" s="1"/>
  <c r="D13" i="7"/>
  <c r="B13" i="7"/>
  <c r="T12" i="7"/>
  <c r="V24" i="7" s="1"/>
  <c r="P12" i="7"/>
  <c r="R20" i="7" s="1"/>
  <c r="H12" i="7"/>
  <c r="J18" i="7" s="1"/>
  <c r="D12" i="7"/>
  <c r="F24" i="7" s="1"/>
  <c r="D5" i="7"/>
  <c r="D4" i="7"/>
  <c r="T29" i="6"/>
  <c r="P29" i="6"/>
  <c r="J29" i="6"/>
  <c r="H29" i="6"/>
  <c r="D29" i="6"/>
  <c r="L29" i="6" s="1"/>
  <c r="N29" i="6" s="1"/>
  <c r="T28" i="6"/>
  <c r="P28" i="6"/>
  <c r="X28" i="6" s="1"/>
  <c r="Z28" i="6" s="1"/>
  <c r="L28" i="6"/>
  <c r="N28" i="6" s="1"/>
  <c r="H28" i="6"/>
  <c r="D28" i="6"/>
  <c r="J26" i="6"/>
  <c r="Z24" i="6"/>
  <c r="X24" i="6"/>
  <c r="N24" i="6"/>
  <c r="L24" i="6"/>
  <c r="F24" i="6"/>
  <c r="T20" i="6"/>
  <c r="P20" i="6"/>
  <c r="J20" i="6"/>
  <c r="H20" i="6"/>
  <c r="N20" i="6" s="1"/>
  <c r="D20" i="6"/>
  <c r="L20" i="6" s="1"/>
  <c r="Z18" i="6"/>
  <c r="T18" i="6"/>
  <c r="P18" i="6"/>
  <c r="X18" i="6" s="1"/>
  <c r="N18" i="6"/>
  <c r="L18" i="6"/>
  <c r="H18" i="6"/>
  <c r="F18" i="6"/>
  <c r="D18" i="6"/>
  <c r="T16" i="6"/>
  <c r="J16" i="6"/>
  <c r="F16" i="6"/>
  <c r="D16" i="6"/>
  <c r="Z14" i="6"/>
  <c r="T14" i="6"/>
  <c r="P14" i="6"/>
  <c r="X14" i="6" s="1"/>
  <c r="N14" i="6"/>
  <c r="L14" i="6"/>
  <c r="H14" i="6"/>
  <c r="F14" i="6"/>
  <c r="D14" i="6"/>
  <c r="Z12" i="6"/>
  <c r="T12" i="6"/>
  <c r="V31" i="6" s="1"/>
  <c r="P12" i="6"/>
  <c r="H12" i="6"/>
  <c r="J31" i="6" s="1"/>
  <c r="D12" i="6"/>
  <c r="F31" i="6" s="1"/>
  <c r="D4" i="6"/>
  <c r="B39" i="5"/>
  <c r="B38" i="5"/>
  <c r="T34" i="5"/>
  <c r="Z34" i="5" s="1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P24" i="5"/>
  <c r="H24" i="5"/>
  <c r="N24" i="5" s="1"/>
  <c r="D24" i="5"/>
  <c r="T22" i="5"/>
  <c r="Z22" i="5" s="1"/>
  <c r="P22" i="5"/>
  <c r="H22" i="5"/>
  <c r="N22" i="5" s="1"/>
  <c r="D22" i="5"/>
  <c r="B22" i="5"/>
  <c r="T21" i="5"/>
  <c r="Z21" i="5" s="1"/>
  <c r="P21" i="5"/>
  <c r="H21" i="5"/>
  <c r="N21" i="5" s="1"/>
  <c r="D21" i="5"/>
  <c r="B21" i="5"/>
  <c r="T20" i="5"/>
  <c r="Z20" i="5" s="1"/>
  <c r="P20" i="5"/>
  <c r="H20" i="5"/>
  <c r="N20" i="5" s="1"/>
  <c r="D20" i="5"/>
  <c r="T16" i="5"/>
  <c r="Z16" i="5" s="1"/>
  <c r="P16" i="5"/>
  <c r="H16" i="5"/>
  <c r="N16" i="5" s="1"/>
  <c r="D16" i="5"/>
  <c r="B16" i="5"/>
  <c r="T15" i="5"/>
  <c r="Z15" i="5" s="1"/>
  <c r="P15" i="5"/>
  <c r="H15" i="5"/>
  <c r="N15" i="5" s="1"/>
  <c r="D15" i="5"/>
  <c r="T13" i="5"/>
  <c r="Z13" i="5" s="1"/>
  <c r="P13" i="5"/>
  <c r="H13" i="5"/>
  <c r="N13" i="5" s="1"/>
  <c r="D13" i="5"/>
  <c r="B13" i="5"/>
  <c r="T12" i="5"/>
  <c r="V18" i="5" s="1"/>
  <c r="P12" i="5"/>
  <c r="R31" i="5" s="1"/>
  <c r="H12" i="5"/>
  <c r="J22" i="5" s="1"/>
  <c r="D12" i="5"/>
  <c r="F18" i="5" s="1"/>
  <c r="D5" i="5"/>
  <c r="D4" i="5"/>
  <c r="B39" i="4"/>
  <c r="B38" i="4"/>
  <c r="T34" i="4"/>
  <c r="P34" i="4"/>
  <c r="H34" i="4"/>
  <c r="N34" i="4" s="1"/>
  <c r="D34" i="4"/>
  <c r="T33" i="4"/>
  <c r="Z33" i="4" s="1"/>
  <c r="P33" i="4"/>
  <c r="H33" i="4"/>
  <c r="N33" i="4" s="1"/>
  <c r="D33" i="4"/>
  <c r="T29" i="4"/>
  <c r="Z29" i="4" s="1"/>
  <c r="P29" i="4"/>
  <c r="H29" i="4"/>
  <c r="N29" i="4" s="1"/>
  <c r="D29" i="4"/>
  <c r="T25" i="4"/>
  <c r="Z25" i="4" s="1"/>
  <c r="P25" i="4"/>
  <c r="H25" i="4"/>
  <c r="N25" i="4" s="1"/>
  <c r="D25" i="4"/>
  <c r="B25" i="4"/>
  <c r="T24" i="4"/>
  <c r="Z24" i="4" s="1"/>
  <c r="P24" i="4"/>
  <c r="H24" i="4"/>
  <c r="N24" i="4" s="1"/>
  <c r="D24" i="4"/>
  <c r="T22" i="4"/>
  <c r="Z22" i="4" s="1"/>
  <c r="P22" i="4"/>
  <c r="H22" i="4"/>
  <c r="N22" i="4" s="1"/>
  <c r="D22" i="4"/>
  <c r="B22" i="4"/>
  <c r="T21" i="4"/>
  <c r="Z21" i="4" s="1"/>
  <c r="P21" i="4"/>
  <c r="H21" i="4"/>
  <c r="N21" i="4" s="1"/>
  <c r="D21" i="4"/>
  <c r="B21" i="4"/>
  <c r="T20" i="4"/>
  <c r="Z20" i="4" s="1"/>
  <c r="P20" i="4"/>
  <c r="H20" i="4"/>
  <c r="N20" i="4" s="1"/>
  <c r="D20" i="4"/>
  <c r="T16" i="4"/>
  <c r="Z16" i="4" s="1"/>
  <c r="P16" i="4"/>
  <c r="H16" i="4"/>
  <c r="N16" i="4" s="1"/>
  <c r="D16" i="4"/>
  <c r="B16" i="4"/>
  <c r="T15" i="4"/>
  <c r="Z15" i="4" s="1"/>
  <c r="P15" i="4"/>
  <c r="H15" i="4"/>
  <c r="N15" i="4" s="1"/>
  <c r="D15" i="4"/>
  <c r="T13" i="4"/>
  <c r="Z13" i="4" s="1"/>
  <c r="P13" i="4"/>
  <c r="H13" i="4"/>
  <c r="N13" i="4" s="1"/>
  <c r="D13" i="4"/>
  <c r="B13" i="4"/>
  <c r="T12" i="4"/>
  <c r="P12" i="4"/>
  <c r="R34" i="4" s="1"/>
  <c r="H12" i="4"/>
  <c r="J36" i="4" s="1"/>
  <c r="D12" i="4"/>
  <c r="F21" i="4" s="1"/>
  <c r="D5" i="4"/>
  <c r="D4" i="4"/>
  <c r="X268" i="3"/>
  <c r="T268" i="3"/>
  <c r="Z268" i="3" s="1"/>
  <c r="P268" i="3"/>
  <c r="H268" i="3"/>
  <c r="N268" i="3" s="1"/>
  <c r="D268" i="3"/>
  <c r="L268" i="3" s="1"/>
  <c r="T267" i="3"/>
  <c r="P267" i="3"/>
  <c r="X267" i="3" s="1"/>
  <c r="Z267" i="3" s="1"/>
  <c r="L267" i="3"/>
  <c r="N267" i="3" s="1"/>
  <c r="H267" i="3"/>
  <c r="D267" i="3"/>
  <c r="Z263" i="3"/>
  <c r="X263" i="3"/>
  <c r="L263" i="3"/>
  <c r="N263" i="3" s="1"/>
  <c r="X259" i="3"/>
  <c r="T259" i="3"/>
  <c r="Z259" i="3" s="1"/>
  <c r="P259" i="3"/>
  <c r="H259" i="3"/>
  <c r="D259" i="3"/>
  <c r="L259" i="3" s="1"/>
  <c r="B259" i="3"/>
  <c r="T258" i="3"/>
  <c r="P258" i="3"/>
  <c r="X258" i="3" s="1"/>
  <c r="N258" i="3"/>
  <c r="L258" i="3"/>
  <c r="H258" i="3"/>
  <c r="D258" i="3"/>
  <c r="B258" i="3"/>
  <c r="X257" i="3"/>
  <c r="Z257" i="3" s="1"/>
  <c r="T257" i="3"/>
  <c r="P257" i="3"/>
  <c r="L257" i="3"/>
  <c r="H257" i="3"/>
  <c r="N257" i="3" s="1"/>
  <c r="D257" i="3"/>
  <c r="B257" i="3"/>
  <c r="T256" i="3"/>
  <c r="P256" i="3"/>
  <c r="X256" i="3" s="1"/>
  <c r="H256" i="3"/>
  <c r="N256" i="3" s="1"/>
  <c r="D256" i="3"/>
  <c r="L256" i="3" s="1"/>
  <c r="B256" i="3"/>
  <c r="T255" i="3"/>
  <c r="P255" i="3"/>
  <c r="X255" i="3" s="1"/>
  <c r="Z255" i="3" s="1"/>
  <c r="N255" i="3"/>
  <c r="L255" i="3"/>
  <c r="H255" i="3"/>
  <c r="D255" i="3"/>
  <c r="B255" i="3"/>
  <c r="T254" i="3"/>
  <c r="P254" i="3"/>
  <c r="H254" i="3"/>
  <c r="D254" i="3"/>
  <c r="L254" i="3" s="1"/>
  <c r="B254" i="3"/>
  <c r="T253" i="3"/>
  <c r="Z253" i="3" s="1"/>
  <c r="P253" i="3"/>
  <c r="X253" i="3" s="1"/>
  <c r="N253" i="3"/>
  <c r="H253" i="3"/>
  <c r="D253" i="3"/>
  <c r="L253" i="3" s="1"/>
  <c r="B253" i="3"/>
  <c r="X252" i="3"/>
  <c r="Z252" i="3" s="1"/>
  <c r="T252" i="3"/>
  <c r="P252" i="3"/>
  <c r="H252" i="3"/>
  <c r="D252" i="3"/>
  <c r="B252" i="3"/>
  <c r="Z249" i="3"/>
  <c r="X249" i="3"/>
  <c r="L249" i="3"/>
  <c r="N249" i="3" s="1"/>
  <c r="B249" i="3"/>
  <c r="T248" i="3"/>
  <c r="P248" i="3"/>
  <c r="X248" i="3" s="1"/>
  <c r="L248" i="3"/>
  <c r="N248" i="3" s="1"/>
  <c r="H248" i="3"/>
  <c r="D248" i="3"/>
  <c r="B248" i="3"/>
  <c r="X247" i="3"/>
  <c r="Z247" i="3" s="1"/>
  <c r="N247" i="3"/>
  <c r="L247" i="3"/>
  <c r="B247" i="3"/>
  <c r="X246" i="3"/>
  <c r="Z246" i="3" s="1"/>
  <c r="N246" i="3"/>
  <c r="L246" i="3"/>
  <c r="B246" i="3"/>
  <c r="Z245" i="3"/>
  <c r="X245" i="3"/>
  <c r="N245" i="3"/>
  <c r="L245" i="3"/>
  <c r="B245" i="3"/>
  <c r="T244" i="3"/>
  <c r="P244" i="3"/>
  <c r="X244" i="3" s="1"/>
  <c r="N244" i="3"/>
  <c r="L244" i="3"/>
  <c r="H244" i="3"/>
  <c r="D244" i="3"/>
  <c r="B244" i="3"/>
  <c r="X243" i="3"/>
  <c r="Z243" i="3" s="1"/>
  <c r="N243" i="3"/>
  <c r="L243" i="3"/>
  <c r="B243" i="3"/>
  <c r="X242" i="3"/>
  <c r="Z242" i="3" s="1"/>
  <c r="T242" i="3"/>
  <c r="P242" i="3"/>
  <c r="H242" i="3"/>
  <c r="D242" i="3"/>
  <c r="B242" i="3"/>
  <c r="X241" i="3"/>
  <c r="Z241" i="3" s="1"/>
  <c r="N241" i="3"/>
  <c r="L241" i="3"/>
  <c r="B241" i="3"/>
  <c r="Z240" i="3"/>
  <c r="X240" i="3"/>
  <c r="N240" i="3"/>
  <c r="L240" i="3"/>
  <c r="B240" i="3"/>
  <c r="Z239" i="3"/>
  <c r="X239" i="3"/>
  <c r="T239" i="3"/>
  <c r="P239" i="3"/>
  <c r="L239" i="3"/>
  <c r="H239" i="3"/>
  <c r="N239" i="3" s="1"/>
  <c r="D239" i="3"/>
  <c r="B239" i="3"/>
  <c r="X238" i="3"/>
  <c r="Z238" i="3" s="1"/>
  <c r="N238" i="3"/>
  <c r="L238" i="3"/>
  <c r="B238" i="3"/>
  <c r="X237" i="3"/>
  <c r="Z237" i="3" s="1"/>
  <c r="N237" i="3"/>
  <c r="L237" i="3"/>
  <c r="B237" i="3"/>
  <c r="Z236" i="3"/>
  <c r="X236" i="3"/>
  <c r="N236" i="3"/>
  <c r="L236" i="3"/>
  <c r="B236" i="3"/>
  <c r="X235" i="3"/>
  <c r="Z235" i="3" s="1"/>
  <c r="L235" i="3"/>
  <c r="N235" i="3" s="1"/>
  <c r="B235" i="3"/>
  <c r="X234" i="3"/>
  <c r="Z234" i="3" s="1"/>
  <c r="L234" i="3"/>
  <c r="N234" i="3" s="1"/>
  <c r="B234" i="3"/>
  <c r="Z233" i="3"/>
  <c r="X233" i="3"/>
  <c r="L233" i="3"/>
  <c r="N233" i="3" s="1"/>
  <c r="B233" i="3"/>
  <c r="X232" i="3"/>
  <c r="Z232" i="3" s="1"/>
  <c r="N232" i="3"/>
  <c r="L232" i="3"/>
  <c r="B232" i="3"/>
  <c r="Z231" i="3"/>
  <c r="X231" i="3"/>
  <c r="L231" i="3"/>
  <c r="N231" i="3" s="1"/>
  <c r="B231" i="3"/>
  <c r="X230" i="3"/>
  <c r="Z230" i="3" s="1"/>
  <c r="N230" i="3"/>
  <c r="L230" i="3"/>
  <c r="B230" i="3"/>
  <c r="X229" i="3"/>
  <c r="T229" i="3"/>
  <c r="Z229" i="3" s="1"/>
  <c r="P229" i="3"/>
  <c r="H229" i="3"/>
  <c r="N229" i="3" s="1"/>
  <c r="D229" i="3"/>
  <c r="L229" i="3" s="1"/>
  <c r="B229" i="3"/>
  <c r="X228" i="3"/>
  <c r="Z228" i="3" s="1"/>
  <c r="N228" i="3"/>
  <c r="L228" i="3"/>
  <c r="B228" i="3"/>
  <c r="Z227" i="3"/>
  <c r="X227" i="3"/>
  <c r="L227" i="3"/>
  <c r="N227" i="3" s="1"/>
  <c r="B227" i="3"/>
  <c r="T226" i="3"/>
  <c r="P226" i="3"/>
  <c r="X226" i="3" s="1"/>
  <c r="H226" i="3"/>
  <c r="D226" i="3"/>
  <c r="L226" i="3" s="1"/>
  <c r="B226" i="3"/>
  <c r="Z225" i="3"/>
  <c r="X225" i="3"/>
  <c r="L225" i="3"/>
  <c r="N225" i="3" s="1"/>
  <c r="B225" i="3"/>
  <c r="X224" i="3"/>
  <c r="Z224" i="3" s="1"/>
  <c r="N224" i="3"/>
  <c r="L224" i="3"/>
  <c r="B224" i="3"/>
  <c r="Z223" i="3"/>
  <c r="X223" i="3"/>
  <c r="L223" i="3"/>
  <c r="N223" i="3" s="1"/>
  <c r="B223" i="3"/>
  <c r="X222" i="3"/>
  <c r="Z222" i="3" s="1"/>
  <c r="N222" i="3"/>
  <c r="L222" i="3"/>
  <c r="B222" i="3"/>
  <c r="X221" i="3"/>
  <c r="Z221" i="3" s="1"/>
  <c r="N221" i="3"/>
  <c r="L221" i="3"/>
  <c r="B221" i="3"/>
  <c r="T220" i="3"/>
  <c r="P220" i="3"/>
  <c r="H220" i="3"/>
  <c r="D220" i="3"/>
  <c r="L220" i="3" s="1"/>
  <c r="B220" i="3"/>
  <c r="Z219" i="3"/>
  <c r="X219" i="3"/>
  <c r="L219" i="3"/>
  <c r="N219" i="3" s="1"/>
  <c r="B219" i="3"/>
  <c r="X218" i="3"/>
  <c r="Z218" i="3" s="1"/>
  <c r="N218" i="3"/>
  <c r="L218" i="3"/>
  <c r="B218" i="3"/>
  <c r="X217" i="3"/>
  <c r="Z217" i="3" s="1"/>
  <c r="N217" i="3"/>
  <c r="L217" i="3"/>
  <c r="B217" i="3"/>
  <c r="T216" i="3"/>
  <c r="P216" i="3"/>
  <c r="X216" i="3" s="1"/>
  <c r="H216" i="3"/>
  <c r="D216" i="3"/>
  <c r="L216" i="3" s="1"/>
  <c r="B216" i="3"/>
  <c r="Z215" i="3"/>
  <c r="X215" i="3"/>
  <c r="L215" i="3"/>
  <c r="N215" i="3" s="1"/>
  <c r="B215" i="3"/>
  <c r="X214" i="3"/>
  <c r="Z214" i="3" s="1"/>
  <c r="L214" i="3"/>
  <c r="N214" i="3" s="1"/>
  <c r="B214" i="3"/>
  <c r="Z213" i="3"/>
  <c r="X213" i="3"/>
  <c r="N213" i="3"/>
  <c r="L213" i="3"/>
  <c r="B213" i="3"/>
  <c r="Z212" i="3"/>
  <c r="X212" i="3"/>
  <c r="L212" i="3"/>
  <c r="N212" i="3" s="1"/>
  <c r="B212" i="3"/>
  <c r="T211" i="3"/>
  <c r="P211" i="3"/>
  <c r="X211" i="3" s="1"/>
  <c r="L211" i="3"/>
  <c r="N211" i="3" s="1"/>
  <c r="H211" i="3"/>
  <c r="D211" i="3"/>
  <c r="B211" i="3"/>
  <c r="X210" i="3"/>
  <c r="Z210" i="3" s="1"/>
  <c r="L210" i="3"/>
  <c r="N210" i="3" s="1"/>
  <c r="B210" i="3"/>
  <c r="X209" i="3"/>
  <c r="Z209" i="3" s="1"/>
  <c r="T209" i="3"/>
  <c r="P209" i="3"/>
  <c r="H209" i="3"/>
  <c r="N209" i="3" s="1"/>
  <c r="D209" i="3"/>
  <c r="L209" i="3" s="1"/>
  <c r="B209" i="3"/>
  <c r="Z208" i="3"/>
  <c r="X208" i="3"/>
  <c r="N208" i="3"/>
  <c r="L208" i="3"/>
  <c r="B208" i="3"/>
  <c r="T207" i="3"/>
  <c r="P207" i="3"/>
  <c r="H207" i="3"/>
  <c r="D207" i="3"/>
  <c r="L207" i="3" s="1"/>
  <c r="N207" i="3" s="1"/>
  <c r="B207" i="3"/>
  <c r="Z206" i="3"/>
  <c r="X206" i="3"/>
  <c r="N206" i="3"/>
  <c r="L206" i="3"/>
  <c r="B206" i="3"/>
  <c r="Z205" i="3"/>
  <c r="T205" i="3"/>
  <c r="P205" i="3"/>
  <c r="X205" i="3" s="1"/>
  <c r="H205" i="3"/>
  <c r="N205" i="3" s="1"/>
  <c r="D205" i="3"/>
  <c r="L205" i="3" s="1"/>
  <c r="B205" i="3"/>
  <c r="Z204" i="3"/>
  <c r="X204" i="3"/>
  <c r="N204" i="3"/>
  <c r="L204" i="3"/>
  <c r="B204" i="3"/>
  <c r="X203" i="3"/>
  <c r="Z203" i="3" s="1"/>
  <c r="L203" i="3"/>
  <c r="N203" i="3" s="1"/>
  <c r="B203" i="3"/>
  <c r="X202" i="3"/>
  <c r="T202" i="3"/>
  <c r="P202" i="3"/>
  <c r="H202" i="3"/>
  <c r="D202" i="3"/>
  <c r="B202" i="3"/>
  <c r="X201" i="3"/>
  <c r="Z201" i="3" s="1"/>
  <c r="N201" i="3"/>
  <c r="L201" i="3"/>
  <c r="B201" i="3"/>
  <c r="T200" i="3"/>
  <c r="P200" i="3"/>
  <c r="X200" i="3" s="1"/>
  <c r="H200" i="3"/>
  <c r="D200" i="3"/>
  <c r="L200" i="3" s="1"/>
  <c r="N200" i="3" s="1"/>
  <c r="B200" i="3"/>
  <c r="X199" i="3"/>
  <c r="Z199" i="3" s="1"/>
  <c r="N199" i="3"/>
  <c r="L199" i="3"/>
  <c r="B199" i="3"/>
  <c r="T198" i="3"/>
  <c r="P198" i="3"/>
  <c r="X198" i="3" s="1"/>
  <c r="Z198" i="3" s="1"/>
  <c r="H198" i="3"/>
  <c r="D198" i="3"/>
  <c r="L198" i="3" s="1"/>
  <c r="B198" i="3"/>
  <c r="Z197" i="3"/>
  <c r="X197" i="3"/>
  <c r="L197" i="3"/>
  <c r="N197" i="3" s="1"/>
  <c r="B197" i="3"/>
  <c r="T196" i="3"/>
  <c r="P196" i="3"/>
  <c r="X196" i="3" s="1"/>
  <c r="L196" i="3"/>
  <c r="H196" i="3"/>
  <c r="N196" i="3" s="1"/>
  <c r="D196" i="3"/>
  <c r="B196" i="3"/>
  <c r="Z195" i="3"/>
  <c r="X195" i="3"/>
  <c r="N195" i="3"/>
  <c r="L195" i="3"/>
  <c r="B195" i="3"/>
  <c r="X194" i="3"/>
  <c r="Z194" i="3" s="1"/>
  <c r="L194" i="3"/>
  <c r="N194" i="3" s="1"/>
  <c r="B194" i="3"/>
  <c r="Z193" i="3"/>
  <c r="T193" i="3"/>
  <c r="P193" i="3"/>
  <c r="X193" i="3" s="1"/>
  <c r="H193" i="3"/>
  <c r="D193" i="3"/>
  <c r="L193" i="3" s="1"/>
  <c r="N193" i="3" s="1"/>
  <c r="B193" i="3"/>
  <c r="Z192" i="3"/>
  <c r="X192" i="3"/>
  <c r="L192" i="3"/>
  <c r="N192" i="3" s="1"/>
  <c r="B192" i="3"/>
  <c r="T191" i="3"/>
  <c r="P191" i="3"/>
  <c r="X191" i="3" s="1"/>
  <c r="Z191" i="3" s="1"/>
  <c r="L191" i="3"/>
  <c r="N191" i="3" s="1"/>
  <c r="H191" i="3"/>
  <c r="D191" i="3"/>
  <c r="B191" i="3"/>
  <c r="X190" i="3"/>
  <c r="Z190" i="3" s="1"/>
  <c r="L190" i="3"/>
  <c r="N190" i="3" s="1"/>
  <c r="B190" i="3"/>
  <c r="X189" i="3"/>
  <c r="Z189" i="3" s="1"/>
  <c r="T189" i="3"/>
  <c r="P189" i="3"/>
  <c r="H189" i="3"/>
  <c r="D189" i="3"/>
  <c r="B189" i="3"/>
  <c r="X188" i="3"/>
  <c r="Z188" i="3" s="1"/>
  <c r="N188" i="3"/>
  <c r="L188" i="3"/>
  <c r="B188" i="3"/>
  <c r="T187" i="3"/>
  <c r="P187" i="3"/>
  <c r="H187" i="3"/>
  <c r="D187" i="3"/>
  <c r="L187" i="3" s="1"/>
  <c r="N187" i="3" s="1"/>
  <c r="B187" i="3"/>
  <c r="Z186" i="3"/>
  <c r="X186" i="3"/>
  <c r="N186" i="3"/>
  <c r="L186" i="3"/>
  <c r="B186" i="3"/>
  <c r="Z185" i="3"/>
  <c r="X185" i="3"/>
  <c r="N185" i="3"/>
  <c r="L185" i="3"/>
  <c r="B185" i="3"/>
  <c r="T184" i="3"/>
  <c r="Z184" i="3" s="1"/>
  <c r="P184" i="3"/>
  <c r="X184" i="3" s="1"/>
  <c r="L184" i="3"/>
  <c r="H184" i="3"/>
  <c r="N184" i="3" s="1"/>
  <c r="D184" i="3"/>
  <c r="B184" i="3"/>
  <c r="Z183" i="3"/>
  <c r="X183" i="3"/>
  <c r="L183" i="3"/>
  <c r="N183" i="3" s="1"/>
  <c r="B183" i="3"/>
  <c r="X182" i="3"/>
  <c r="Z182" i="3" s="1"/>
  <c r="L182" i="3"/>
  <c r="N182" i="3" s="1"/>
  <c r="B182" i="3"/>
  <c r="T181" i="3"/>
  <c r="P181" i="3"/>
  <c r="X181" i="3" s="1"/>
  <c r="Z181" i="3" s="1"/>
  <c r="H181" i="3"/>
  <c r="D181" i="3"/>
  <c r="L181" i="3" s="1"/>
  <c r="N181" i="3" s="1"/>
  <c r="B181" i="3"/>
  <c r="Z180" i="3"/>
  <c r="X180" i="3"/>
  <c r="L180" i="3"/>
  <c r="N180" i="3" s="1"/>
  <c r="B180" i="3"/>
  <c r="T179" i="3"/>
  <c r="P179" i="3"/>
  <c r="X179" i="3" s="1"/>
  <c r="Z179" i="3" s="1"/>
  <c r="L179" i="3"/>
  <c r="N179" i="3" s="1"/>
  <c r="H179" i="3"/>
  <c r="D179" i="3"/>
  <c r="B179" i="3"/>
  <c r="X178" i="3"/>
  <c r="Z178" i="3" s="1"/>
  <c r="L178" i="3"/>
  <c r="N178" i="3" s="1"/>
  <c r="B178" i="3"/>
  <c r="X177" i="3"/>
  <c r="Z177" i="3" s="1"/>
  <c r="T177" i="3"/>
  <c r="P177" i="3"/>
  <c r="H177" i="3"/>
  <c r="D177" i="3"/>
  <c r="B177" i="3"/>
  <c r="Z176" i="3"/>
  <c r="X176" i="3"/>
  <c r="N176" i="3"/>
  <c r="L176" i="3"/>
  <c r="B176" i="3"/>
  <c r="T175" i="3"/>
  <c r="P175" i="3"/>
  <c r="N175" i="3"/>
  <c r="H175" i="3"/>
  <c r="D175" i="3"/>
  <c r="L175" i="3" s="1"/>
  <c r="B175" i="3"/>
  <c r="X174" i="3"/>
  <c r="Z174" i="3" s="1"/>
  <c r="N174" i="3"/>
  <c r="L174" i="3"/>
  <c r="B174" i="3"/>
  <c r="Z173" i="3"/>
  <c r="X173" i="3"/>
  <c r="L173" i="3"/>
  <c r="N173" i="3" s="1"/>
  <c r="B173" i="3"/>
  <c r="Z172" i="3"/>
  <c r="X172" i="3"/>
  <c r="N172" i="3"/>
  <c r="L172" i="3"/>
  <c r="B172" i="3"/>
  <c r="X171" i="3"/>
  <c r="Z171" i="3" s="1"/>
  <c r="L171" i="3"/>
  <c r="N171" i="3" s="1"/>
  <c r="B171" i="3"/>
  <c r="Z170" i="3"/>
  <c r="X170" i="3"/>
  <c r="L170" i="3"/>
  <c r="N170" i="3" s="1"/>
  <c r="B170" i="3"/>
  <c r="X169" i="3"/>
  <c r="Z169" i="3" s="1"/>
  <c r="N169" i="3"/>
  <c r="L169" i="3"/>
  <c r="B169" i="3"/>
  <c r="Z168" i="3"/>
  <c r="X168" i="3"/>
  <c r="N168" i="3"/>
  <c r="L168" i="3"/>
  <c r="B168" i="3"/>
  <c r="T167" i="3"/>
  <c r="Z167" i="3" s="1"/>
  <c r="P167" i="3"/>
  <c r="X167" i="3" s="1"/>
  <c r="L167" i="3"/>
  <c r="H167" i="3"/>
  <c r="N167" i="3" s="1"/>
  <c r="D167" i="3"/>
  <c r="B167" i="3"/>
  <c r="Z166" i="3"/>
  <c r="X166" i="3"/>
  <c r="L166" i="3"/>
  <c r="N166" i="3" s="1"/>
  <c r="B166" i="3"/>
  <c r="X165" i="3"/>
  <c r="Z165" i="3" s="1"/>
  <c r="N165" i="3"/>
  <c r="L165" i="3"/>
  <c r="B165" i="3"/>
  <c r="Z164" i="3"/>
  <c r="X164" i="3"/>
  <c r="N164" i="3"/>
  <c r="L164" i="3"/>
  <c r="B164" i="3"/>
  <c r="X163" i="3"/>
  <c r="Z163" i="3" s="1"/>
  <c r="L163" i="3"/>
  <c r="N163" i="3" s="1"/>
  <c r="B163" i="3"/>
  <c r="Z162" i="3"/>
  <c r="X162" i="3"/>
  <c r="N162" i="3"/>
  <c r="L162" i="3"/>
  <c r="B162" i="3"/>
  <c r="Z161" i="3"/>
  <c r="X161" i="3"/>
  <c r="L161" i="3"/>
  <c r="N161" i="3" s="1"/>
  <c r="B161" i="3"/>
  <c r="Z160" i="3"/>
  <c r="X160" i="3"/>
  <c r="N160" i="3"/>
  <c r="L160" i="3"/>
  <c r="B160" i="3"/>
  <c r="X159" i="3"/>
  <c r="Z159" i="3" s="1"/>
  <c r="L159" i="3"/>
  <c r="N159" i="3" s="1"/>
  <c r="B159" i="3"/>
  <c r="X158" i="3"/>
  <c r="Z158" i="3" s="1"/>
  <c r="L158" i="3"/>
  <c r="N158" i="3" s="1"/>
  <c r="B158" i="3"/>
  <c r="X157" i="3"/>
  <c r="Z157" i="3" s="1"/>
  <c r="N157" i="3"/>
  <c r="L157" i="3"/>
  <c r="B157" i="3"/>
  <c r="T156" i="3"/>
  <c r="P156" i="3"/>
  <c r="H156" i="3"/>
  <c r="D156" i="3"/>
  <c r="L156" i="3" s="1"/>
  <c r="B156" i="3"/>
  <c r="T155" i="3"/>
  <c r="P155" i="3"/>
  <c r="X155" i="3" s="1"/>
  <c r="N155" i="3"/>
  <c r="H155" i="3"/>
  <c r="D155" i="3"/>
  <c r="L155" i="3" s="1"/>
  <c r="Z151" i="3"/>
  <c r="X151" i="3"/>
  <c r="N151" i="3"/>
  <c r="L151" i="3"/>
  <c r="B151" i="3"/>
  <c r="Z150" i="3"/>
  <c r="X150" i="3"/>
  <c r="N150" i="3"/>
  <c r="L150" i="3"/>
  <c r="B150" i="3"/>
  <c r="X149" i="3"/>
  <c r="Z149" i="3" s="1"/>
  <c r="N149" i="3"/>
  <c r="L149" i="3"/>
  <c r="B149" i="3"/>
  <c r="Z148" i="3"/>
  <c r="X148" i="3"/>
  <c r="N148" i="3"/>
  <c r="L148" i="3"/>
  <c r="B148" i="3"/>
  <c r="X147" i="3"/>
  <c r="Z147" i="3" s="1"/>
  <c r="L147" i="3"/>
  <c r="N147" i="3" s="1"/>
  <c r="B147" i="3"/>
  <c r="X146" i="3"/>
  <c r="Z146" i="3" s="1"/>
  <c r="N146" i="3"/>
  <c r="L146" i="3"/>
  <c r="B146" i="3"/>
  <c r="Z145" i="3"/>
  <c r="X145" i="3"/>
  <c r="N145" i="3"/>
  <c r="L145" i="3"/>
  <c r="B145" i="3"/>
  <c r="Z144" i="3"/>
  <c r="X144" i="3"/>
  <c r="N144" i="3"/>
  <c r="L144" i="3"/>
  <c r="B144" i="3"/>
  <c r="X143" i="3"/>
  <c r="Z143" i="3" s="1"/>
  <c r="N143" i="3"/>
  <c r="L143" i="3"/>
  <c r="B143" i="3"/>
  <c r="Z142" i="3"/>
  <c r="X142" i="3"/>
  <c r="L142" i="3"/>
  <c r="N142" i="3" s="1"/>
  <c r="B142" i="3"/>
  <c r="X141" i="3"/>
  <c r="Z141" i="3" s="1"/>
  <c r="N141" i="3"/>
  <c r="L141" i="3"/>
  <c r="B141" i="3"/>
  <c r="Z140" i="3"/>
  <c r="X140" i="3"/>
  <c r="L140" i="3"/>
  <c r="N140" i="3" s="1"/>
  <c r="B140" i="3"/>
  <c r="X139" i="3"/>
  <c r="Z139" i="3" s="1"/>
  <c r="L139" i="3"/>
  <c r="N139" i="3" s="1"/>
  <c r="B139" i="3"/>
  <c r="Z138" i="3"/>
  <c r="X138" i="3"/>
  <c r="N138" i="3"/>
  <c r="L138" i="3"/>
  <c r="B138" i="3"/>
  <c r="Z137" i="3"/>
  <c r="X137" i="3"/>
  <c r="N137" i="3"/>
  <c r="L137" i="3"/>
  <c r="B137" i="3"/>
  <c r="Z136" i="3"/>
  <c r="X136" i="3"/>
  <c r="N136" i="3"/>
  <c r="L136" i="3"/>
  <c r="B136" i="3"/>
  <c r="X135" i="3"/>
  <c r="Z135" i="3" s="1"/>
  <c r="N135" i="3"/>
  <c r="L135" i="3"/>
  <c r="B135" i="3"/>
  <c r="Z134" i="3"/>
  <c r="X134" i="3"/>
  <c r="N134" i="3"/>
  <c r="L134" i="3"/>
  <c r="B134" i="3"/>
  <c r="X133" i="3"/>
  <c r="Z133" i="3" s="1"/>
  <c r="N133" i="3"/>
  <c r="L133" i="3"/>
  <c r="B133" i="3"/>
  <c r="Z132" i="3"/>
  <c r="X132" i="3"/>
  <c r="L132" i="3"/>
  <c r="N132" i="3" s="1"/>
  <c r="B132" i="3"/>
  <c r="Z131" i="3"/>
  <c r="X131" i="3"/>
  <c r="N131" i="3"/>
  <c r="L131" i="3"/>
  <c r="B131" i="3"/>
  <c r="X130" i="3"/>
  <c r="Z130" i="3" s="1"/>
  <c r="N130" i="3"/>
  <c r="L130" i="3"/>
  <c r="B130" i="3"/>
  <c r="Z129" i="3"/>
  <c r="X129" i="3"/>
  <c r="L129" i="3"/>
  <c r="N129" i="3" s="1"/>
  <c r="B129" i="3"/>
  <c r="Z128" i="3"/>
  <c r="X128" i="3"/>
  <c r="N128" i="3"/>
  <c r="L128" i="3"/>
  <c r="B128" i="3"/>
  <c r="X127" i="3"/>
  <c r="Z127" i="3" s="1"/>
  <c r="N127" i="3"/>
  <c r="L127" i="3"/>
  <c r="B127" i="3"/>
  <c r="Z126" i="3"/>
  <c r="X126" i="3"/>
  <c r="L126" i="3"/>
  <c r="N126" i="3" s="1"/>
  <c r="B126" i="3"/>
  <c r="X125" i="3"/>
  <c r="Z125" i="3" s="1"/>
  <c r="N125" i="3"/>
  <c r="L125" i="3"/>
  <c r="B125" i="3"/>
  <c r="Z124" i="3"/>
  <c r="X124" i="3"/>
  <c r="L124" i="3"/>
  <c r="N124" i="3" s="1"/>
  <c r="B124" i="3"/>
  <c r="X123" i="3"/>
  <c r="Z123" i="3" s="1"/>
  <c r="L123" i="3"/>
  <c r="N123" i="3" s="1"/>
  <c r="B123" i="3"/>
  <c r="X122" i="3"/>
  <c r="Z122" i="3" s="1"/>
  <c r="N122" i="3"/>
  <c r="L122" i="3"/>
  <c r="B122" i="3"/>
  <c r="Z121" i="3"/>
  <c r="X121" i="3"/>
  <c r="L121" i="3"/>
  <c r="N121" i="3" s="1"/>
  <c r="B121" i="3"/>
  <c r="X120" i="3"/>
  <c r="Z120" i="3" s="1"/>
  <c r="N120" i="3"/>
  <c r="L120" i="3"/>
  <c r="B120" i="3"/>
  <c r="X119" i="3"/>
  <c r="Z119" i="3" s="1"/>
  <c r="N119" i="3"/>
  <c r="L119" i="3"/>
  <c r="B119" i="3"/>
  <c r="Z118" i="3"/>
  <c r="X118" i="3"/>
  <c r="L118" i="3"/>
  <c r="N118" i="3" s="1"/>
  <c r="B118" i="3"/>
  <c r="X117" i="3"/>
  <c r="Z117" i="3" s="1"/>
  <c r="N117" i="3"/>
  <c r="L117" i="3"/>
  <c r="B117" i="3"/>
  <c r="Z116" i="3"/>
  <c r="X116" i="3"/>
  <c r="L116" i="3"/>
  <c r="N116" i="3" s="1"/>
  <c r="B116" i="3"/>
  <c r="X115" i="3"/>
  <c r="Z115" i="3" s="1"/>
  <c r="L115" i="3"/>
  <c r="N115" i="3" s="1"/>
  <c r="B115" i="3"/>
  <c r="X114" i="3"/>
  <c r="Z114" i="3" s="1"/>
  <c r="N114" i="3"/>
  <c r="L114" i="3"/>
  <c r="B114" i="3"/>
  <c r="Z113" i="3"/>
  <c r="X113" i="3"/>
  <c r="N113" i="3"/>
  <c r="L113" i="3"/>
  <c r="B113" i="3"/>
  <c r="X112" i="3"/>
  <c r="Z112" i="3" s="1"/>
  <c r="N112" i="3"/>
  <c r="L112" i="3"/>
  <c r="B112" i="3"/>
  <c r="X111" i="3"/>
  <c r="Z111" i="3" s="1"/>
  <c r="L111" i="3"/>
  <c r="N111" i="3" s="1"/>
  <c r="B111" i="3"/>
  <c r="Z110" i="3"/>
  <c r="X110" i="3"/>
  <c r="N110" i="3"/>
  <c r="L110" i="3"/>
  <c r="B110" i="3"/>
  <c r="X109" i="3"/>
  <c r="Z109" i="3" s="1"/>
  <c r="N109" i="3"/>
  <c r="L109" i="3"/>
  <c r="B109" i="3"/>
  <c r="Z108" i="3"/>
  <c r="X108" i="3"/>
  <c r="N108" i="3"/>
  <c r="L108" i="3"/>
  <c r="B108" i="3"/>
  <c r="X107" i="3"/>
  <c r="Z107" i="3" s="1"/>
  <c r="L107" i="3"/>
  <c r="N107" i="3" s="1"/>
  <c r="B107" i="3"/>
  <c r="X106" i="3"/>
  <c r="Z106" i="3" s="1"/>
  <c r="N106" i="3"/>
  <c r="L106" i="3"/>
  <c r="B106" i="3"/>
  <c r="Z105" i="3"/>
  <c r="X105" i="3"/>
  <c r="L105" i="3"/>
  <c r="N105" i="3" s="1"/>
  <c r="B105" i="3"/>
  <c r="X104" i="3"/>
  <c r="Z104" i="3" s="1"/>
  <c r="N104" i="3"/>
  <c r="L104" i="3"/>
  <c r="B104" i="3"/>
  <c r="X103" i="3"/>
  <c r="Z103" i="3" s="1"/>
  <c r="L103" i="3"/>
  <c r="N103" i="3" s="1"/>
  <c r="B103" i="3"/>
  <c r="Z102" i="3"/>
  <c r="X102" i="3"/>
  <c r="L102" i="3"/>
  <c r="N102" i="3" s="1"/>
  <c r="B102" i="3"/>
  <c r="Z101" i="3"/>
  <c r="X101" i="3"/>
  <c r="N101" i="3"/>
  <c r="L101" i="3"/>
  <c r="B101" i="3"/>
  <c r="T100" i="3"/>
  <c r="P100" i="3"/>
  <c r="H100" i="3"/>
  <c r="D100" i="3"/>
  <c r="L100" i="3" s="1"/>
  <c r="N100" i="3" s="1"/>
  <c r="T98" i="3"/>
  <c r="Z98" i="3" s="1"/>
  <c r="P98" i="3"/>
  <c r="N98" i="3"/>
  <c r="H98" i="3"/>
  <c r="D98" i="3"/>
  <c r="L98" i="3" s="1"/>
  <c r="B98" i="3"/>
  <c r="T97" i="3"/>
  <c r="P97" i="3"/>
  <c r="X97" i="3" s="1"/>
  <c r="Z97" i="3" s="1"/>
  <c r="H97" i="3"/>
  <c r="D97" i="3"/>
  <c r="B97" i="3"/>
  <c r="T96" i="3"/>
  <c r="Z96" i="3" s="1"/>
  <c r="P96" i="3"/>
  <c r="X96" i="3" s="1"/>
  <c r="N96" i="3"/>
  <c r="L96" i="3"/>
  <c r="H96" i="3"/>
  <c r="D96" i="3"/>
  <c r="B96" i="3"/>
  <c r="X95" i="3"/>
  <c r="T95" i="3"/>
  <c r="Z95" i="3" s="1"/>
  <c r="P95" i="3"/>
  <c r="H95" i="3"/>
  <c r="D95" i="3"/>
  <c r="L95" i="3" s="1"/>
  <c r="N95" i="3" s="1"/>
  <c r="B95" i="3"/>
  <c r="T94" i="3"/>
  <c r="P94" i="3"/>
  <c r="X94" i="3" s="1"/>
  <c r="Z94" i="3" s="1"/>
  <c r="H94" i="3"/>
  <c r="D94" i="3"/>
  <c r="B94" i="3"/>
  <c r="T93" i="3"/>
  <c r="P93" i="3"/>
  <c r="H93" i="3"/>
  <c r="D93" i="3"/>
  <c r="L93" i="3" s="1"/>
  <c r="N93" i="3" s="1"/>
  <c r="B93" i="3"/>
  <c r="X92" i="3"/>
  <c r="Z92" i="3" s="1"/>
  <c r="T92" i="3"/>
  <c r="P92" i="3"/>
  <c r="H92" i="3"/>
  <c r="D92" i="3"/>
  <c r="L92" i="3" s="1"/>
  <c r="B92" i="3"/>
  <c r="T91" i="3"/>
  <c r="P91" i="3"/>
  <c r="X91" i="3" s="1"/>
  <c r="Z91" i="3" s="1"/>
  <c r="L91" i="3"/>
  <c r="H91" i="3"/>
  <c r="N91" i="3" s="1"/>
  <c r="D91" i="3"/>
  <c r="B91" i="3"/>
  <c r="T90" i="3"/>
  <c r="Z90" i="3" s="1"/>
  <c r="P90" i="3"/>
  <c r="N90" i="3"/>
  <c r="H90" i="3"/>
  <c r="D90" i="3"/>
  <c r="L90" i="3" s="1"/>
  <c r="B90" i="3"/>
  <c r="T89" i="3"/>
  <c r="P89" i="3"/>
  <c r="X89" i="3" s="1"/>
  <c r="Z89" i="3" s="1"/>
  <c r="H89" i="3"/>
  <c r="D89" i="3"/>
  <c r="B89" i="3"/>
  <c r="T88" i="3"/>
  <c r="Z88" i="3" s="1"/>
  <c r="P88" i="3"/>
  <c r="X88" i="3" s="1"/>
  <c r="N88" i="3"/>
  <c r="L88" i="3"/>
  <c r="H88" i="3"/>
  <c r="D88" i="3"/>
  <c r="B88" i="3"/>
  <c r="X87" i="3"/>
  <c r="T87" i="3"/>
  <c r="Z87" i="3" s="1"/>
  <c r="P87" i="3"/>
  <c r="H87" i="3"/>
  <c r="D87" i="3"/>
  <c r="L87" i="3" s="1"/>
  <c r="N87" i="3" s="1"/>
  <c r="B87" i="3"/>
  <c r="T86" i="3"/>
  <c r="P86" i="3"/>
  <c r="X86" i="3" s="1"/>
  <c r="Z86" i="3" s="1"/>
  <c r="L86" i="3"/>
  <c r="H86" i="3"/>
  <c r="N86" i="3" s="1"/>
  <c r="D86" i="3"/>
  <c r="B86" i="3"/>
  <c r="T85" i="3"/>
  <c r="P85" i="3"/>
  <c r="N85" i="3"/>
  <c r="H85" i="3"/>
  <c r="D85" i="3"/>
  <c r="L85" i="3" s="1"/>
  <c r="B85" i="3"/>
  <c r="X84" i="3"/>
  <c r="Z84" i="3" s="1"/>
  <c r="T84" i="3"/>
  <c r="P84" i="3"/>
  <c r="H84" i="3"/>
  <c r="N84" i="3" s="1"/>
  <c r="D84" i="3"/>
  <c r="L84" i="3" s="1"/>
  <c r="B84" i="3"/>
  <c r="Z83" i="3"/>
  <c r="T83" i="3"/>
  <c r="P83" i="3"/>
  <c r="X83" i="3" s="1"/>
  <c r="L83" i="3"/>
  <c r="H83" i="3"/>
  <c r="N83" i="3" s="1"/>
  <c r="D83" i="3"/>
  <c r="B83" i="3"/>
  <c r="X82" i="3"/>
  <c r="T82" i="3"/>
  <c r="Z82" i="3" s="1"/>
  <c r="P82" i="3"/>
  <c r="H82" i="3"/>
  <c r="D82" i="3"/>
  <c r="L82" i="3" s="1"/>
  <c r="N82" i="3" s="1"/>
  <c r="B82" i="3"/>
  <c r="T81" i="3"/>
  <c r="P81" i="3"/>
  <c r="X81" i="3" s="1"/>
  <c r="Z81" i="3" s="1"/>
  <c r="H81" i="3"/>
  <c r="D81" i="3"/>
  <c r="B81" i="3"/>
  <c r="T80" i="3"/>
  <c r="P80" i="3"/>
  <c r="X80" i="3" s="1"/>
  <c r="L80" i="3"/>
  <c r="N80" i="3" s="1"/>
  <c r="H80" i="3"/>
  <c r="D80" i="3"/>
  <c r="B80" i="3"/>
  <c r="X79" i="3"/>
  <c r="Z79" i="3" s="1"/>
  <c r="T79" i="3"/>
  <c r="P79" i="3"/>
  <c r="H79" i="3"/>
  <c r="D79" i="3"/>
  <c r="L79" i="3" s="1"/>
  <c r="N79" i="3" s="1"/>
  <c r="B79" i="3"/>
  <c r="T78" i="3"/>
  <c r="P78" i="3"/>
  <c r="X78" i="3" s="1"/>
  <c r="Z78" i="3" s="1"/>
  <c r="L78" i="3"/>
  <c r="H78" i="3"/>
  <c r="N78" i="3" s="1"/>
  <c r="D78" i="3"/>
  <c r="B78" i="3"/>
  <c r="T77" i="3"/>
  <c r="P77" i="3"/>
  <c r="H77" i="3"/>
  <c r="D77" i="3"/>
  <c r="L77" i="3" s="1"/>
  <c r="N77" i="3" s="1"/>
  <c r="B77" i="3"/>
  <c r="X76" i="3"/>
  <c r="Z76" i="3" s="1"/>
  <c r="T76" i="3"/>
  <c r="P76" i="3"/>
  <c r="H76" i="3"/>
  <c r="N76" i="3" s="1"/>
  <c r="D76" i="3"/>
  <c r="B76" i="3"/>
  <c r="Z75" i="3"/>
  <c r="T75" i="3"/>
  <c r="P75" i="3"/>
  <c r="X75" i="3" s="1"/>
  <c r="N75" i="3"/>
  <c r="L75" i="3"/>
  <c r="H75" i="3"/>
  <c r="D75" i="3"/>
  <c r="B75" i="3"/>
  <c r="X74" i="3"/>
  <c r="T74" i="3"/>
  <c r="Z74" i="3" s="1"/>
  <c r="P74" i="3"/>
  <c r="H74" i="3"/>
  <c r="D74" i="3"/>
  <c r="L74" i="3" s="1"/>
  <c r="N74" i="3" s="1"/>
  <c r="B74" i="3"/>
  <c r="T73" i="3"/>
  <c r="P73" i="3"/>
  <c r="X73" i="3" s="1"/>
  <c r="Z73" i="3" s="1"/>
  <c r="H73" i="3"/>
  <c r="D73" i="3"/>
  <c r="B73" i="3"/>
  <c r="T72" i="3"/>
  <c r="Z72" i="3" s="1"/>
  <c r="P72" i="3"/>
  <c r="N72" i="3"/>
  <c r="L72" i="3"/>
  <c r="H72" i="3"/>
  <c r="D72" i="3"/>
  <c r="B72" i="3"/>
  <c r="X71" i="3"/>
  <c r="Z71" i="3" s="1"/>
  <c r="T71" i="3"/>
  <c r="P71" i="3"/>
  <c r="H71" i="3"/>
  <c r="D71" i="3"/>
  <c r="L71" i="3" s="1"/>
  <c r="N71" i="3" s="1"/>
  <c r="B71" i="3"/>
  <c r="T70" i="3"/>
  <c r="P70" i="3"/>
  <c r="X70" i="3" s="1"/>
  <c r="Z70" i="3" s="1"/>
  <c r="L70" i="3"/>
  <c r="H70" i="3"/>
  <c r="N70" i="3" s="1"/>
  <c r="D70" i="3"/>
  <c r="B70" i="3"/>
  <c r="T69" i="3"/>
  <c r="P69" i="3"/>
  <c r="H69" i="3"/>
  <c r="D69" i="3"/>
  <c r="L69" i="3" s="1"/>
  <c r="N69" i="3" s="1"/>
  <c r="B69" i="3"/>
  <c r="X68" i="3"/>
  <c r="Z68" i="3" s="1"/>
  <c r="T68" i="3"/>
  <c r="P68" i="3"/>
  <c r="H68" i="3"/>
  <c r="D68" i="3"/>
  <c r="B68" i="3"/>
  <c r="T67" i="3"/>
  <c r="P67" i="3"/>
  <c r="X67" i="3" s="1"/>
  <c r="Z67" i="3" s="1"/>
  <c r="N67" i="3"/>
  <c r="L67" i="3"/>
  <c r="H67" i="3"/>
  <c r="D67" i="3"/>
  <c r="B67" i="3"/>
  <c r="X66" i="3"/>
  <c r="T66" i="3"/>
  <c r="Z66" i="3" s="1"/>
  <c r="P66" i="3"/>
  <c r="H66" i="3"/>
  <c r="D66" i="3"/>
  <c r="L66" i="3" s="1"/>
  <c r="N66" i="3" s="1"/>
  <c r="B66" i="3"/>
  <c r="T65" i="3"/>
  <c r="P65" i="3"/>
  <c r="X65" i="3" s="1"/>
  <c r="Z65" i="3" s="1"/>
  <c r="H65" i="3"/>
  <c r="D65" i="3"/>
  <c r="B65" i="3"/>
  <c r="T64" i="3"/>
  <c r="P64" i="3"/>
  <c r="L64" i="3"/>
  <c r="N64" i="3" s="1"/>
  <c r="H64" i="3"/>
  <c r="D64" i="3"/>
  <c r="B64" i="3"/>
  <c r="X63" i="3"/>
  <c r="Z63" i="3" s="1"/>
  <c r="T63" i="3"/>
  <c r="P63" i="3"/>
  <c r="H63" i="3"/>
  <c r="D63" i="3"/>
  <c r="L63" i="3" s="1"/>
  <c r="N63" i="3" s="1"/>
  <c r="B63" i="3"/>
  <c r="T62" i="3"/>
  <c r="P62" i="3"/>
  <c r="X62" i="3" s="1"/>
  <c r="Z62" i="3" s="1"/>
  <c r="L62" i="3"/>
  <c r="H62" i="3"/>
  <c r="N62" i="3" s="1"/>
  <c r="D62" i="3"/>
  <c r="B62" i="3"/>
  <c r="T61" i="3"/>
  <c r="P61" i="3"/>
  <c r="H61" i="3"/>
  <c r="D61" i="3"/>
  <c r="L61" i="3" s="1"/>
  <c r="N61" i="3" s="1"/>
  <c r="B61" i="3"/>
  <c r="X60" i="3"/>
  <c r="Z60" i="3" s="1"/>
  <c r="T60" i="3"/>
  <c r="P60" i="3"/>
  <c r="H60" i="3"/>
  <c r="D60" i="3"/>
  <c r="B60" i="3"/>
  <c r="T59" i="3"/>
  <c r="P59" i="3"/>
  <c r="X59" i="3" s="1"/>
  <c r="Z59" i="3" s="1"/>
  <c r="N59" i="3"/>
  <c r="L59" i="3"/>
  <c r="H59" i="3"/>
  <c r="D59" i="3"/>
  <c r="B59" i="3"/>
  <c r="X58" i="3"/>
  <c r="T58" i="3"/>
  <c r="Z58" i="3" s="1"/>
  <c r="P58" i="3"/>
  <c r="H58" i="3"/>
  <c r="D58" i="3"/>
  <c r="L58" i="3" s="1"/>
  <c r="N58" i="3" s="1"/>
  <c r="B58" i="3"/>
  <c r="T57" i="3"/>
  <c r="P57" i="3"/>
  <c r="X57" i="3" s="1"/>
  <c r="Z57" i="3" s="1"/>
  <c r="H57" i="3"/>
  <c r="D57" i="3"/>
  <c r="B57" i="3"/>
  <c r="T56" i="3"/>
  <c r="P56" i="3"/>
  <c r="N56" i="3"/>
  <c r="L56" i="3"/>
  <c r="H56" i="3"/>
  <c r="D56" i="3"/>
  <c r="B56" i="3"/>
  <c r="X55" i="3"/>
  <c r="Z55" i="3" s="1"/>
  <c r="T55" i="3"/>
  <c r="P55" i="3"/>
  <c r="N55" i="3"/>
  <c r="H55" i="3"/>
  <c r="D55" i="3"/>
  <c r="L55" i="3" s="1"/>
  <c r="B55" i="3"/>
  <c r="T54" i="3"/>
  <c r="P54" i="3"/>
  <c r="X54" i="3" s="1"/>
  <c r="Z54" i="3" s="1"/>
  <c r="L54" i="3"/>
  <c r="H54" i="3"/>
  <c r="N54" i="3" s="1"/>
  <c r="D54" i="3"/>
  <c r="B54" i="3"/>
  <c r="T53" i="3"/>
  <c r="P53" i="3"/>
  <c r="N53" i="3"/>
  <c r="H53" i="3"/>
  <c r="D53" i="3"/>
  <c r="L53" i="3" s="1"/>
  <c r="B53" i="3"/>
  <c r="X52" i="3"/>
  <c r="Z52" i="3" s="1"/>
  <c r="T52" i="3"/>
  <c r="P52" i="3"/>
  <c r="H52" i="3"/>
  <c r="D52" i="3"/>
  <c r="B52" i="3"/>
  <c r="T51" i="3"/>
  <c r="P51" i="3"/>
  <c r="X51" i="3" s="1"/>
  <c r="Z51" i="3" s="1"/>
  <c r="N51" i="3"/>
  <c r="L51" i="3"/>
  <c r="H51" i="3"/>
  <c r="D51" i="3"/>
  <c r="B51" i="3"/>
  <c r="X50" i="3"/>
  <c r="T50" i="3"/>
  <c r="Z50" i="3" s="1"/>
  <c r="P50" i="3"/>
  <c r="H50" i="3"/>
  <c r="D50" i="3"/>
  <c r="L50" i="3" s="1"/>
  <c r="N50" i="3" s="1"/>
  <c r="B50" i="3"/>
  <c r="T49" i="3"/>
  <c r="P49" i="3"/>
  <c r="X49" i="3" s="1"/>
  <c r="Z49" i="3" s="1"/>
  <c r="H49" i="3"/>
  <c r="D49" i="3"/>
  <c r="B49" i="3"/>
  <c r="T48" i="3"/>
  <c r="P48" i="3"/>
  <c r="N48" i="3"/>
  <c r="L48" i="3"/>
  <c r="H48" i="3"/>
  <c r="D48" i="3"/>
  <c r="B48" i="3"/>
  <c r="X47" i="3"/>
  <c r="Z47" i="3" s="1"/>
  <c r="T47" i="3"/>
  <c r="P47" i="3"/>
  <c r="H47" i="3"/>
  <c r="D47" i="3"/>
  <c r="L47" i="3" s="1"/>
  <c r="N47" i="3" s="1"/>
  <c r="B47" i="3"/>
  <c r="T46" i="3"/>
  <c r="P46" i="3"/>
  <c r="X46" i="3" s="1"/>
  <c r="Z46" i="3" s="1"/>
  <c r="L46" i="3"/>
  <c r="H46" i="3"/>
  <c r="N46" i="3" s="1"/>
  <c r="D46" i="3"/>
  <c r="B46" i="3"/>
  <c r="T45" i="3"/>
  <c r="P45" i="3"/>
  <c r="N45" i="3"/>
  <c r="H45" i="3"/>
  <c r="D45" i="3"/>
  <c r="L45" i="3" s="1"/>
  <c r="B45" i="3"/>
  <c r="X44" i="3"/>
  <c r="Z44" i="3" s="1"/>
  <c r="T44" i="3"/>
  <c r="P44" i="3"/>
  <c r="H44" i="3"/>
  <c r="D44" i="3"/>
  <c r="B44" i="3"/>
  <c r="Z43" i="3"/>
  <c r="T43" i="3"/>
  <c r="P43" i="3"/>
  <c r="X43" i="3" s="1"/>
  <c r="L43" i="3"/>
  <c r="N43" i="3" s="1"/>
  <c r="H43" i="3"/>
  <c r="D43" i="3"/>
  <c r="B43" i="3"/>
  <c r="X42" i="3"/>
  <c r="T42" i="3"/>
  <c r="Z42" i="3" s="1"/>
  <c r="P42" i="3"/>
  <c r="H42" i="3"/>
  <c r="D42" i="3"/>
  <c r="L42" i="3" s="1"/>
  <c r="N42" i="3" s="1"/>
  <c r="B42" i="3"/>
  <c r="T41" i="3"/>
  <c r="P41" i="3"/>
  <c r="X41" i="3" s="1"/>
  <c r="Z41" i="3" s="1"/>
  <c r="H41" i="3"/>
  <c r="D41" i="3"/>
  <c r="B41" i="3"/>
  <c r="T40" i="3"/>
  <c r="P40" i="3"/>
  <c r="L40" i="3"/>
  <c r="N40" i="3" s="1"/>
  <c r="H40" i="3"/>
  <c r="D40" i="3"/>
  <c r="B40" i="3"/>
  <c r="X39" i="3"/>
  <c r="Z39" i="3" s="1"/>
  <c r="T39" i="3"/>
  <c r="P39" i="3"/>
  <c r="H39" i="3"/>
  <c r="D39" i="3"/>
  <c r="L39" i="3" s="1"/>
  <c r="N39" i="3" s="1"/>
  <c r="B39" i="3"/>
  <c r="T38" i="3"/>
  <c r="P38" i="3"/>
  <c r="X38" i="3" s="1"/>
  <c r="Z38" i="3" s="1"/>
  <c r="L38" i="3"/>
  <c r="H38" i="3"/>
  <c r="N38" i="3" s="1"/>
  <c r="D38" i="3"/>
  <c r="B38" i="3"/>
  <c r="T37" i="3"/>
  <c r="P37" i="3"/>
  <c r="H37" i="3"/>
  <c r="D37" i="3"/>
  <c r="L37" i="3" s="1"/>
  <c r="N37" i="3" s="1"/>
  <c r="B37" i="3"/>
  <c r="X36" i="3"/>
  <c r="Z36" i="3" s="1"/>
  <c r="T36" i="3"/>
  <c r="P36" i="3"/>
  <c r="H36" i="3"/>
  <c r="N36" i="3" s="1"/>
  <c r="D36" i="3"/>
  <c r="B36" i="3"/>
  <c r="Z35" i="3"/>
  <c r="T35" i="3"/>
  <c r="P35" i="3"/>
  <c r="X35" i="3" s="1"/>
  <c r="L35" i="3"/>
  <c r="N35" i="3" s="1"/>
  <c r="H35" i="3"/>
  <c r="D35" i="3"/>
  <c r="B35" i="3"/>
  <c r="X34" i="3"/>
  <c r="T34" i="3"/>
  <c r="Z34" i="3" s="1"/>
  <c r="P34" i="3"/>
  <c r="H34" i="3"/>
  <c r="D34" i="3"/>
  <c r="L34" i="3" s="1"/>
  <c r="N34" i="3" s="1"/>
  <c r="B34" i="3"/>
  <c r="T33" i="3"/>
  <c r="P33" i="3"/>
  <c r="X33" i="3" s="1"/>
  <c r="Z33" i="3" s="1"/>
  <c r="H33" i="3"/>
  <c r="D33" i="3"/>
  <c r="B33" i="3"/>
  <c r="T32" i="3"/>
  <c r="P32" i="3"/>
  <c r="L32" i="3"/>
  <c r="N32" i="3" s="1"/>
  <c r="H32" i="3"/>
  <c r="D32" i="3"/>
  <c r="B32" i="3"/>
  <c r="X31" i="3"/>
  <c r="Z31" i="3" s="1"/>
  <c r="T31" i="3"/>
  <c r="P31" i="3"/>
  <c r="H31" i="3"/>
  <c r="D31" i="3"/>
  <c r="L31" i="3" s="1"/>
  <c r="N31" i="3" s="1"/>
  <c r="B31" i="3"/>
  <c r="T30" i="3"/>
  <c r="P30" i="3"/>
  <c r="X30" i="3" s="1"/>
  <c r="Z30" i="3" s="1"/>
  <c r="L30" i="3"/>
  <c r="N30" i="3" s="1"/>
  <c r="H30" i="3"/>
  <c r="D30" i="3"/>
  <c r="B30" i="3"/>
  <c r="T29" i="3"/>
  <c r="P29" i="3"/>
  <c r="H29" i="3"/>
  <c r="D29" i="3"/>
  <c r="L29" i="3" s="1"/>
  <c r="N29" i="3" s="1"/>
  <c r="B29" i="3"/>
  <c r="X28" i="3"/>
  <c r="Z28" i="3" s="1"/>
  <c r="T28" i="3"/>
  <c r="P28" i="3"/>
  <c r="H28" i="3"/>
  <c r="D28" i="3"/>
  <c r="B28" i="3"/>
  <c r="Z27" i="3"/>
  <c r="T27" i="3"/>
  <c r="X27" i="3" s="1"/>
  <c r="P27" i="3"/>
  <c r="L27" i="3"/>
  <c r="N27" i="3" s="1"/>
  <c r="H27" i="3"/>
  <c r="D27" i="3"/>
  <c r="B27" i="3"/>
  <c r="X26" i="3"/>
  <c r="Z26" i="3" s="1"/>
  <c r="T26" i="3"/>
  <c r="P26" i="3"/>
  <c r="N26" i="3"/>
  <c r="H26" i="3"/>
  <c r="D26" i="3"/>
  <c r="L26" i="3" s="1"/>
  <c r="B26" i="3"/>
  <c r="T25" i="3"/>
  <c r="P25" i="3"/>
  <c r="X25" i="3" s="1"/>
  <c r="Z25" i="3" s="1"/>
  <c r="H25" i="3"/>
  <c r="D25" i="3"/>
  <c r="B25" i="3"/>
  <c r="T24" i="3"/>
  <c r="P24" i="3"/>
  <c r="L24" i="3"/>
  <c r="N24" i="3" s="1"/>
  <c r="H24" i="3"/>
  <c r="D24" i="3"/>
  <c r="B24" i="3"/>
  <c r="X23" i="3"/>
  <c r="Z23" i="3" s="1"/>
  <c r="T23" i="3"/>
  <c r="P23" i="3"/>
  <c r="H23" i="3"/>
  <c r="L23" i="3" s="1"/>
  <c r="N23" i="3" s="1"/>
  <c r="D23" i="3"/>
  <c r="B23" i="3"/>
  <c r="T22" i="3"/>
  <c r="P22" i="3"/>
  <c r="X22" i="3" s="1"/>
  <c r="Z22" i="3" s="1"/>
  <c r="L22" i="3"/>
  <c r="H22" i="3"/>
  <c r="N22" i="3" s="1"/>
  <c r="D22" i="3"/>
  <c r="B22" i="3"/>
  <c r="T21" i="3"/>
  <c r="P21" i="3"/>
  <c r="H21" i="3"/>
  <c r="D21" i="3"/>
  <c r="L21" i="3" s="1"/>
  <c r="N21" i="3" s="1"/>
  <c r="B21" i="3"/>
  <c r="X20" i="3"/>
  <c r="Z20" i="3" s="1"/>
  <c r="T20" i="3"/>
  <c r="P20" i="3"/>
  <c r="H20" i="3"/>
  <c r="D20" i="3"/>
  <c r="B20" i="3"/>
  <c r="T19" i="3"/>
  <c r="P19" i="3"/>
  <c r="X19" i="3" s="1"/>
  <c r="Z19" i="3" s="1"/>
  <c r="L19" i="3"/>
  <c r="N19" i="3" s="1"/>
  <c r="H19" i="3"/>
  <c r="D19" i="3"/>
  <c r="B19" i="3"/>
  <c r="X18" i="3"/>
  <c r="T18" i="3"/>
  <c r="Z18" i="3" s="1"/>
  <c r="P18" i="3"/>
  <c r="H18" i="3"/>
  <c r="D18" i="3"/>
  <c r="L18" i="3" s="1"/>
  <c r="N18" i="3" s="1"/>
  <c r="B18" i="3"/>
  <c r="T17" i="3"/>
  <c r="P17" i="3"/>
  <c r="X17" i="3" s="1"/>
  <c r="Z17" i="3" s="1"/>
  <c r="H17" i="3"/>
  <c r="D17" i="3"/>
  <c r="B17" i="3"/>
  <c r="T16" i="3"/>
  <c r="P16" i="3"/>
  <c r="N16" i="3"/>
  <c r="L16" i="3"/>
  <c r="H16" i="3"/>
  <c r="D16" i="3"/>
  <c r="B16" i="3"/>
  <c r="X15" i="3"/>
  <c r="Z15" i="3" s="1"/>
  <c r="T15" i="3"/>
  <c r="P15" i="3"/>
  <c r="H15" i="3"/>
  <c r="D15" i="3"/>
  <c r="L15" i="3" s="1"/>
  <c r="N15" i="3" s="1"/>
  <c r="B15" i="3"/>
  <c r="T14" i="3"/>
  <c r="P14" i="3"/>
  <c r="L14" i="3"/>
  <c r="N14" i="3" s="1"/>
  <c r="H14" i="3"/>
  <c r="D14" i="3"/>
  <c r="B14" i="3"/>
  <c r="T13" i="3"/>
  <c r="P13" i="3"/>
  <c r="H13" i="3"/>
  <c r="D13" i="3"/>
  <c r="L13" i="3" s="1"/>
  <c r="N13" i="3" s="1"/>
  <c r="B13" i="3"/>
  <c r="D4" i="3"/>
  <c r="X15" i="100" l="1"/>
  <c r="X34" i="5"/>
  <c r="L13" i="17"/>
  <c r="X25" i="23"/>
  <c r="X33" i="23"/>
  <c r="L29" i="44"/>
  <c r="L34" i="44"/>
  <c r="X24" i="47"/>
  <c r="L25" i="22"/>
  <c r="L15" i="4"/>
  <c r="X21" i="4"/>
  <c r="L29" i="4"/>
  <c r="L34" i="4"/>
  <c r="L24" i="5"/>
  <c r="X29" i="10"/>
  <c r="X16" i="49"/>
  <c r="L16" i="100"/>
  <c r="L25" i="4"/>
  <c r="L33" i="4"/>
  <c r="X20" i="5"/>
  <c r="L22" i="5"/>
  <c r="X13" i="16"/>
  <c r="L16" i="17"/>
  <c r="L21" i="32"/>
  <c r="X25" i="32"/>
  <c r="X33" i="32"/>
  <c r="X25" i="38"/>
  <c r="X33" i="38"/>
  <c r="L34" i="40"/>
  <c r="X16" i="41"/>
  <c r="X13" i="4"/>
  <c r="X25" i="4"/>
  <c r="L13" i="8"/>
  <c r="L33" i="8"/>
  <c r="X29" i="22"/>
  <c r="X34" i="22"/>
  <c r="L21" i="25"/>
  <c r="X16" i="8"/>
  <c r="X24" i="10"/>
  <c r="L34" i="10"/>
  <c r="L24" i="11"/>
  <c r="X13" i="44"/>
  <c r="L21" i="44"/>
  <c r="L33" i="7"/>
  <c r="L22" i="8"/>
  <c r="L16" i="10"/>
  <c r="X22" i="10"/>
  <c r="L15" i="13"/>
  <c r="X21" i="13"/>
  <c r="L24" i="14"/>
  <c r="X22" i="20"/>
  <c r="L22" i="22"/>
  <c r="X25" i="14"/>
  <c r="X15" i="35"/>
  <c r="X21" i="23"/>
  <c r="L34" i="23"/>
  <c r="X16" i="29"/>
  <c r="L13" i="46"/>
  <c r="X15" i="49"/>
  <c r="L15" i="50"/>
  <c r="X21" i="50"/>
  <c r="L29" i="50"/>
  <c r="X29" i="41"/>
  <c r="X25" i="98"/>
  <c r="X25" i="35"/>
  <c r="L16" i="99"/>
  <c r="X22" i="99"/>
  <c r="X22" i="22"/>
  <c r="X24" i="25"/>
  <c r="L33" i="28"/>
  <c r="L33" i="50"/>
  <c r="L25" i="98"/>
  <c r="X20" i="99"/>
  <c r="X15" i="4"/>
  <c r="L34" i="8"/>
  <c r="X15" i="10"/>
  <c r="L20" i="26"/>
  <c r="L13" i="29"/>
  <c r="L16" i="31"/>
  <c r="L13" i="32"/>
  <c r="L25" i="32"/>
  <c r="X24" i="34"/>
  <c r="L15" i="35"/>
  <c r="X21" i="35"/>
  <c r="L34" i="35"/>
  <c r="X22" i="37"/>
  <c r="L25" i="38"/>
  <c r="L24" i="52"/>
  <c r="X20" i="40"/>
  <c r="L16" i="53"/>
  <c r="L21" i="5"/>
  <c r="X25" i="5"/>
  <c r="X33" i="10"/>
  <c r="X22" i="11"/>
  <c r="L20" i="16"/>
  <c r="X24" i="16"/>
  <c r="L15" i="17"/>
  <c r="L29" i="17"/>
  <c r="L34" i="17"/>
  <c r="X16" i="23"/>
  <c r="L33" i="25"/>
  <c r="X20" i="26"/>
  <c r="L22" i="26"/>
  <c r="X22" i="29"/>
  <c r="X33" i="31"/>
  <c r="X24" i="35"/>
  <c r="X33" i="41"/>
  <c r="L20" i="43"/>
  <c r="X24" i="43"/>
  <c r="X34" i="44"/>
  <c r="X20" i="46"/>
  <c r="X25" i="20"/>
  <c r="X33" i="20"/>
  <c r="L34" i="29"/>
  <c r="X12" i="31"/>
  <c r="X24" i="31"/>
  <c r="X21" i="32"/>
  <c r="L29" i="32"/>
  <c r="L34" i="32"/>
  <c r="L25" i="35"/>
  <c r="L33" i="35"/>
  <c r="X34" i="40"/>
  <c r="X24" i="41"/>
  <c r="L33" i="47"/>
  <c r="L20" i="50"/>
  <c r="X24" i="50"/>
  <c r="X24" i="53"/>
  <c r="X15" i="34"/>
  <c r="L15" i="47"/>
  <c r="L16" i="98"/>
  <c r="X25" i="29"/>
  <c r="X29" i="4"/>
  <c r="X21" i="5"/>
  <c r="X33" i="8"/>
  <c r="L29" i="16"/>
  <c r="L34" i="16"/>
  <c r="X16" i="17"/>
  <c r="L25" i="19"/>
  <c r="L13" i="23"/>
  <c r="L24" i="25"/>
  <c r="L21" i="26"/>
  <c r="X25" i="26"/>
  <c r="X29" i="28"/>
  <c r="L24" i="29"/>
  <c r="L13" i="34"/>
  <c r="X16" i="38"/>
  <c r="L24" i="38"/>
  <c r="X24" i="40"/>
  <c r="L15" i="41"/>
  <c r="L29" i="41"/>
  <c r="L34" i="41"/>
  <c r="X34" i="47"/>
  <c r="L24" i="50"/>
  <c r="X12" i="52"/>
  <c r="X21" i="52"/>
  <c r="X12" i="100"/>
  <c r="L16" i="23"/>
  <c r="X21" i="26"/>
  <c r="X29" i="37"/>
  <c r="Z12" i="52"/>
  <c r="X15" i="52"/>
  <c r="L20" i="98"/>
  <c r="X33" i="99"/>
  <c r="X20" i="100"/>
  <c r="R20" i="20"/>
  <c r="X15" i="32"/>
  <c r="L25" i="5"/>
  <c r="L29" i="11"/>
  <c r="L34" i="11"/>
  <c r="L33" i="14"/>
  <c r="L25" i="16"/>
  <c r="L12" i="19"/>
  <c r="L15" i="19"/>
  <c r="L25" i="20"/>
  <c r="X15" i="22"/>
  <c r="X24" i="22"/>
  <c r="X25" i="28"/>
  <c r="X33" i="28"/>
  <c r="L21" i="35"/>
  <c r="L25" i="41"/>
  <c r="L16" i="44"/>
  <c r="X16" i="46"/>
  <c r="L21" i="47"/>
  <c r="X25" i="47"/>
  <c r="X33" i="47"/>
  <c r="L15" i="99"/>
  <c r="L29" i="99"/>
  <c r="F16" i="32"/>
  <c r="R29" i="8"/>
  <c r="X33" i="11"/>
  <c r="X20" i="14"/>
  <c r="L13" i="19"/>
  <c r="X16" i="20"/>
  <c r="L33" i="32"/>
  <c r="L15" i="37"/>
  <c r="L29" i="37"/>
  <c r="L16" i="46"/>
  <c r="Z20" i="46"/>
  <c r="L21" i="53"/>
  <c r="X22" i="53"/>
  <c r="F18" i="99"/>
  <c r="N12" i="20"/>
  <c r="L29" i="26"/>
  <c r="X20" i="28"/>
  <c r="X34" i="28"/>
  <c r="N12" i="32"/>
  <c r="L15" i="32"/>
  <c r="X16" i="32"/>
  <c r="L24" i="32"/>
  <c r="L24" i="35"/>
  <c r="X13" i="41"/>
  <c r="X13" i="46"/>
  <c r="X22" i="46"/>
  <c r="L13" i="47"/>
  <c r="L20" i="52"/>
  <c r="X24" i="52"/>
  <c r="L21" i="98"/>
  <c r="X22" i="98"/>
  <c r="L33" i="98"/>
  <c r="L20" i="99"/>
  <c r="X21" i="99"/>
  <c r="J15" i="5"/>
  <c r="X21" i="7"/>
  <c r="X13" i="13"/>
  <c r="L21" i="13"/>
  <c r="X25" i="13"/>
  <c r="L16" i="19"/>
  <c r="J15" i="23"/>
  <c r="J18" i="23"/>
  <c r="V34" i="31"/>
  <c r="F24" i="32"/>
  <c r="X15" i="5"/>
  <c r="X24" i="7"/>
  <c r="L29" i="7"/>
  <c r="X13" i="10"/>
  <c r="X15" i="11"/>
  <c r="X20" i="11"/>
  <c r="X16" i="13"/>
  <c r="L24" i="13"/>
  <c r="X13" i="14"/>
  <c r="X20" i="17"/>
  <c r="L21" i="19"/>
  <c r="X15" i="20"/>
  <c r="L29" i="20"/>
  <c r="L34" i="20"/>
  <c r="L21" i="22"/>
  <c r="L33" i="22"/>
  <c r="L13" i="25"/>
  <c r="X29" i="26"/>
  <c r="X34" i="26"/>
  <c r="X13" i="28"/>
  <c r="L20" i="29"/>
  <c r="L29" i="31"/>
  <c r="L29" i="38"/>
  <c r="L15" i="43"/>
  <c r="L24" i="46"/>
  <c r="X22" i="47"/>
  <c r="L22" i="49"/>
  <c r="X29" i="52"/>
  <c r="X34" i="52"/>
  <c r="X21" i="53"/>
  <c r="L15" i="98"/>
  <c r="X21" i="98"/>
  <c r="X33" i="98"/>
  <c r="L34" i="99"/>
  <c r="X34" i="100"/>
  <c r="L22" i="40"/>
  <c r="L22" i="7"/>
  <c r="L29" i="8"/>
  <c r="L33" i="11"/>
  <c r="L34" i="13"/>
  <c r="L25" i="17"/>
  <c r="L13" i="20"/>
  <c r="X20" i="20"/>
  <c r="X29" i="20"/>
  <c r="X34" i="20"/>
  <c r="L15" i="22"/>
  <c r="L15" i="28"/>
  <c r="L16" i="29"/>
  <c r="X20" i="34"/>
  <c r="X29" i="43"/>
  <c r="N12" i="44"/>
  <c r="L21" i="49"/>
  <c r="X15" i="98"/>
  <c r="N16" i="100"/>
  <c r="X13" i="5"/>
  <c r="L16" i="5"/>
  <c r="L13" i="7"/>
  <c r="X34" i="7"/>
  <c r="L20" i="10"/>
  <c r="X13" i="11"/>
  <c r="L21" i="11"/>
  <c r="X29" i="13"/>
  <c r="V27" i="16"/>
  <c r="X22" i="17"/>
  <c r="X15" i="19"/>
  <c r="L20" i="22"/>
  <c r="L22" i="23"/>
  <c r="X16" i="25"/>
  <c r="L34" i="28"/>
  <c r="L22" i="31"/>
  <c r="L34" i="31"/>
  <c r="X29" i="32"/>
  <c r="L13" i="35"/>
  <c r="L24" i="37"/>
  <c r="X33" i="37"/>
  <c r="L16" i="38"/>
  <c r="L16" i="40"/>
  <c r="X22" i="40"/>
  <c r="L25" i="40"/>
  <c r="L22" i="43"/>
  <c r="L20" i="44"/>
  <c r="X24" i="44"/>
  <c r="X34" i="46"/>
  <c r="L20" i="47"/>
  <c r="X21" i="47"/>
  <c r="L24" i="47"/>
  <c r="X33" i="49"/>
  <c r="L16" i="50"/>
  <c r="X22" i="50"/>
  <c r="X13" i="52"/>
  <c r="L21" i="52"/>
  <c r="L22" i="53"/>
  <c r="L22" i="98"/>
  <c r="L25" i="99"/>
  <c r="X16" i="100"/>
  <c r="R16" i="38"/>
  <c r="L20" i="5"/>
  <c r="F21" i="5"/>
  <c r="J29" i="5"/>
  <c r="X21" i="8"/>
  <c r="X25" i="8"/>
  <c r="D18" i="10"/>
  <c r="L22" i="10"/>
  <c r="X33" i="13"/>
  <c r="R18" i="14"/>
  <c r="L21" i="14"/>
  <c r="R29" i="14"/>
  <c r="F15" i="19"/>
  <c r="L20" i="19"/>
  <c r="X34" i="19"/>
  <c r="L13" i="22"/>
  <c r="F20" i="22"/>
  <c r="V18" i="23"/>
  <c r="X22" i="23"/>
  <c r="R25" i="25"/>
  <c r="X34" i="25"/>
  <c r="L12" i="28"/>
  <c r="N12" i="29"/>
  <c r="Z12" i="31"/>
  <c r="V16" i="31"/>
  <c r="V36" i="31"/>
  <c r="X12" i="35"/>
  <c r="J15" i="35"/>
  <c r="R33" i="35"/>
  <c r="V18" i="37"/>
  <c r="X21" i="38"/>
  <c r="F27" i="40"/>
  <c r="N12" i="43"/>
  <c r="X22" i="49"/>
  <c r="Z12" i="50"/>
  <c r="V36" i="50"/>
  <c r="V16" i="52"/>
  <c r="X22" i="52"/>
  <c r="V20" i="98"/>
  <c r="V29" i="99"/>
  <c r="F20" i="5"/>
  <c r="X13" i="7"/>
  <c r="L16" i="7"/>
  <c r="X20" i="8"/>
  <c r="R21" i="8"/>
  <c r="L24" i="8"/>
  <c r="R25" i="8"/>
  <c r="L13" i="10"/>
  <c r="F18" i="10"/>
  <c r="L21" i="10"/>
  <c r="R15" i="14"/>
  <c r="X20" i="19"/>
  <c r="J33" i="19"/>
  <c r="F18" i="20"/>
  <c r="L22" i="20"/>
  <c r="F27" i="22"/>
  <c r="L20" i="23"/>
  <c r="X13" i="25"/>
  <c r="X20" i="25"/>
  <c r="R21" i="25"/>
  <c r="N12" i="28"/>
  <c r="L16" i="28"/>
  <c r="J33" i="28"/>
  <c r="J36" i="28"/>
  <c r="F22" i="32"/>
  <c r="L21" i="34"/>
  <c r="X16" i="35"/>
  <c r="R29" i="35"/>
  <c r="T18" i="37"/>
  <c r="T27" i="37" s="1"/>
  <c r="L20" i="37"/>
  <c r="X24" i="37"/>
  <c r="L29" i="40"/>
  <c r="X20" i="41"/>
  <c r="X33" i="44"/>
  <c r="L15" i="46"/>
  <c r="L24" i="49"/>
  <c r="X25" i="49"/>
  <c r="X15" i="50"/>
  <c r="T18" i="52"/>
  <c r="R22" i="52"/>
  <c r="L25" i="52"/>
  <c r="L33" i="52"/>
  <c r="L13" i="99"/>
  <c r="J25" i="99"/>
  <c r="L33" i="99"/>
  <c r="X24" i="100"/>
  <c r="L34" i="100"/>
  <c r="L16" i="4"/>
  <c r="X22" i="4"/>
  <c r="J25" i="5"/>
  <c r="R20" i="8"/>
  <c r="F21" i="10"/>
  <c r="L21" i="16"/>
  <c r="L24" i="17"/>
  <c r="J15" i="19"/>
  <c r="X33" i="19"/>
  <c r="R18" i="20"/>
  <c r="F22" i="20"/>
  <c r="R33" i="25"/>
  <c r="R36" i="25"/>
  <c r="F15" i="28"/>
  <c r="V15" i="31"/>
  <c r="V21" i="31"/>
  <c r="V29" i="31"/>
  <c r="V15" i="37"/>
  <c r="L13" i="38"/>
  <c r="L33" i="38"/>
  <c r="X12" i="44"/>
  <c r="V22" i="46"/>
  <c r="P18" i="47"/>
  <c r="P27" i="47" s="1"/>
  <c r="V36" i="47"/>
  <c r="V15" i="52"/>
  <c r="L34" i="7"/>
  <c r="X24" i="8"/>
  <c r="J27" i="8"/>
  <c r="F20" i="10"/>
  <c r="R21" i="14"/>
  <c r="R36" i="14"/>
  <c r="X12" i="16"/>
  <c r="R18" i="16"/>
  <c r="J29" i="19"/>
  <c r="F16" i="22"/>
  <c r="F22" i="22"/>
  <c r="L34" i="22"/>
  <c r="X13" i="23"/>
  <c r="L29" i="23"/>
  <c r="J33" i="23"/>
  <c r="J36" i="23"/>
  <c r="L21" i="28"/>
  <c r="L22" i="28"/>
  <c r="L25" i="28"/>
  <c r="J29" i="28"/>
  <c r="J18" i="29"/>
  <c r="V25" i="31"/>
  <c r="F18" i="32"/>
  <c r="X22" i="32"/>
  <c r="F18" i="34"/>
  <c r="R15" i="35"/>
  <c r="T18" i="35"/>
  <c r="T27" i="35" s="1"/>
  <c r="T31" i="35" s="1"/>
  <c r="T36" i="35" s="1"/>
  <c r="Z36" i="35" s="1"/>
  <c r="L13" i="37"/>
  <c r="R15" i="43"/>
  <c r="Z12" i="44"/>
  <c r="V18" i="44"/>
  <c r="L20" i="46"/>
  <c r="X25" i="46"/>
  <c r="F33" i="46"/>
  <c r="L20" i="49"/>
  <c r="J24" i="50"/>
  <c r="R21" i="52"/>
  <c r="R24" i="53"/>
  <c r="L12" i="100"/>
  <c r="F16" i="5"/>
  <c r="J24" i="5"/>
  <c r="L21" i="7"/>
  <c r="R16" i="8"/>
  <c r="F16" i="10"/>
  <c r="F15" i="11"/>
  <c r="N34" i="13"/>
  <c r="J24" i="14"/>
  <c r="Z12" i="16"/>
  <c r="V22" i="16"/>
  <c r="L16" i="20"/>
  <c r="J15" i="28"/>
  <c r="V27" i="31"/>
  <c r="V31" i="31"/>
  <c r="L29" i="34"/>
  <c r="L34" i="34"/>
  <c r="D18" i="40"/>
  <c r="R15" i="46"/>
  <c r="L13" i="49"/>
  <c r="X20" i="49"/>
  <c r="X24" i="49"/>
  <c r="L12" i="52"/>
  <c r="X12" i="98"/>
  <c r="L12" i="99"/>
  <c r="X22" i="100"/>
  <c r="J33" i="5"/>
  <c r="X15" i="8"/>
  <c r="T18" i="11"/>
  <c r="T27" i="11" s="1"/>
  <c r="Z12" i="13"/>
  <c r="R33" i="14"/>
  <c r="L24" i="16"/>
  <c r="H18" i="19"/>
  <c r="H27" i="19" s="1"/>
  <c r="L24" i="19"/>
  <c r="J25" i="19"/>
  <c r="F15" i="22"/>
  <c r="N12" i="23"/>
  <c r="J29" i="23"/>
  <c r="R29" i="25"/>
  <c r="J21" i="28"/>
  <c r="J25" i="28"/>
  <c r="L33" i="31"/>
  <c r="X34" i="31"/>
  <c r="F20" i="32"/>
  <c r="V25" i="46"/>
  <c r="L34" i="47"/>
  <c r="L15" i="52"/>
  <c r="Z22" i="100"/>
  <c r="L20" i="4"/>
  <c r="X24" i="4"/>
  <c r="X16" i="5"/>
  <c r="X33" i="5"/>
  <c r="J36" i="5"/>
  <c r="R15" i="7"/>
  <c r="R18" i="7"/>
  <c r="J21" i="7"/>
  <c r="R15" i="8"/>
  <c r="J18" i="8"/>
  <c r="L25" i="8"/>
  <c r="X20" i="10"/>
  <c r="F24" i="10"/>
  <c r="X25" i="10"/>
  <c r="L20" i="11"/>
  <c r="X21" i="11"/>
  <c r="L25" i="13"/>
  <c r="X16" i="14"/>
  <c r="L22" i="14"/>
  <c r="L13" i="16"/>
  <c r="X20" i="16"/>
  <c r="X34" i="17"/>
  <c r="X21" i="20"/>
  <c r="L33" i="20"/>
  <c r="L21" i="23"/>
  <c r="J22" i="23"/>
  <c r="X29" i="23"/>
  <c r="R15" i="25"/>
  <c r="P18" i="25"/>
  <c r="P27" i="25" s="1"/>
  <c r="X13" i="26"/>
  <c r="L25" i="26"/>
  <c r="X21" i="28"/>
  <c r="L24" i="28"/>
  <c r="X20" i="29"/>
  <c r="L22" i="29"/>
  <c r="L21" i="31"/>
  <c r="X22" i="31"/>
  <c r="L25" i="31"/>
  <c r="F16" i="34"/>
  <c r="X34" i="34"/>
  <c r="X20" i="35"/>
  <c r="L22" i="35"/>
  <c r="L29" i="35"/>
  <c r="R36" i="35"/>
  <c r="L21" i="37"/>
  <c r="N12" i="38"/>
  <c r="D18" i="38"/>
  <c r="D27" i="38" s="1"/>
  <c r="X22" i="38"/>
  <c r="L34" i="38"/>
  <c r="L20" i="40"/>
  <c r="F33" i="40"/>
  <c r="R18" i="41"/>
  <c r="X21" i="41"/>
  <c r="X25" i="41"/>
  <c r="L16" i="43"/>
  <c r="L22" i="44"/>
  <c r="L22" i="46"/>
  <c r="L29" i="46"/>
  <c r="F34" i="47"/>
  <c r="X34" i="49"/>
  <c r="X34" i="50"/>
  <c r="F15" i="52"/>
  <c r="X16" i="52"/>
  <c r="V20" i="52"/>
  <c r="L15" i="53"/>
  <c r="J15" i="99"/>
  <c r="J22" i="99"/>
  <c r="L24" i="100"/>
  <c r="X22" i="5"/>
  <c r="R27" i="5"/>
  <c r="L33" i="5"/>
  <c r="V22" i="7"/>
  <c r="P18" i="8"/>
  <c r="R33" i="8"/>
  <c r="Z12" i="10"/>
  <c r="R24" i="10"/>
  <c r="D18" i="11"/>
  <c r="D27" i="11" s="1"/>
  <c r="L25" i="11"/>
  <c r="F29" i="11"/>
  <c r="L22" i="13"/>
  <c r="R25" i="13"/>
  <c r="V33" i="13"/>
  <c r="V16" i="14"/>
  <c r="R25" i="14"/>
  <c r="V15" i="16"/>
  <c r="V16" i="16"/>
  <c r="X21" i="16"/>
  <c r="X22" i="16"/>
  <c r="V29" i="16"/>
  <c r="F36" i="19"/>
  <c r="F21" i="19"/>
  <c r="F29" i="19"/>
  <c r="X29" i="19"/>
  <c r="Z34" i="19"/>
  <c r="R36" i="20"/>
  <c r="R16" i="20"/>
  <c r="R15" i="20"/>
  <c r="P18" i="20"/>
  <c r="P27" i="20" s="1"/>
  <c r="P31" i="20" s="1"/>
  <c r="V18" i="20"/>
  <c r="L24" i="20"/>
  <c r="R16" i="4"/>
  <c r="R20" i="4"/>
  <c r="F24" i="4"/>
  <c r="V16" i="5"/>
  <c r="V20" i="5"/>
  <c r="L29" i="5"/>
  <c r="L15" i="7"/>
  <c r="L25" i="7"/>
  <c r="X29" i="8"/>
  <c r="F15" i="10"/>
  <c r="X16" i="10"/>
  <c r="X34" i="10"/>
  <c r="L12" i="11"/>
  <c r="L15" i="11"/>
  <c r="F18" i="11"/>
  <c r="V21" i="11"/>
  <c r="F25" i="11"/>
  <c r="X34" i="11"/>
  <c r="L13" i="13"/>
  <c r="X15" i="13"/>
  <c r="X24" i="13"/>
  <c r="V29" i="13"/>
  <c r="R36" i="13"/>
  <c r="V15" i="14"/>
  <c r="R22" i="14"/>
  <c r="X24" i="14"/>
  <c r="X33" i="14"/>
  <c r="V20" i="16"/>
  <c r="R21" i="16"/>
  <c r="R22" i="16"/>
  <c r="V25" i="16"/>
  <c r="V31" i="16"/>
  <c r="X13" i="17"/>
  <c r="R15" i="17"/>
  <c r="X13" i="19"/>
  <c r="V33" i="19"/>
  <c r="X24" i="20"/>
  <c r="H18" i="5"/>
  <c r="H27" i="5" s="1"/>
  <c r="V21" i="5"/>
  <c r="V34" i="7"/>
  <c r="H18" i="10"/>
  <c r="H27" i="10" s="1"/>
  <c r="R15" i="13"/>
  <c r="V16" i="13"/>
  <c r="V25" i="13"/>
  <c r="J31" i="13"/>
  <c r="V36" i="13"/>
  <c r="V20" i="14"/>
  <c r="X21" i="14"/>
  <c r="L29" i="14"/>
  <c r="L16" i="16"/>
  <c r="L33" i="16"/>
  <c r="P18" i="17"/>
  <c r="P27" i="17" s="1"/>
  <c r="L22" i="17"/>
  <c r="R33" i="17"/>
  <c r="R36" i="17"/>
  <c r="V15" i="19"/>
  <c r="D18" i="19"/>
  <c r="D27" i="19" s="1"/>
  <c r="V29" i="19"/>
  <c r="L21" i="20"/>
  <c r="L13" i="4"/>
  <c r="R15" i="4"/>
  <c r="X16" i="4"/>
  <c r="X20" i="4"/>
  <c r="L22" i="4"/>
  <c r="L24" i="4"/>
  <c r="R36" i="4"/>
  <c r="X12" i="7"/>
  <c r="L15" i="8"/>
  <c r="L12" i="10"/>
  <c r="J15" i="10"/>
  <c r="L16" i="11"/>
  <c r="X29" i="11"/>
  <c r="V33" i="11"/>
  <c r="F36" i="11"/>
  <c r="J27" i="13"/>
  <c r="L33" i="13"/>
  <c r="J34" i="13"/>
  <c r="X12" i="14"/>
  <c r="V22" i="14"/>
  <c r="F15" i="16"/>
  <c r="F16" i="16"/>
  <c r="R18" i="17"/>
  <c r="L21" i="17"/>
  <c r="R24" i="17"/>
  <c r="R29" i="17"/>
  <c r="J18" i="4"/>
  <c r="X33" i="4"/>
  <c r="Z12" i="5"/>
  <c r="L15" i="5"/>
  <c r="X29" i="5"/>
  <c r="F22" i="7"/>
  <c r="N12" i="10"/>
  <c r="L15" i="10"/>
  <c r="L24" i="10"/>
  <c r="F21" i="11"/>
  <c r="F22" i="11"/>
  <c r="X25" i="11"/>
  <c r="V29" i="11"/>
  <c r="Z33" i="11"/>
  <c r="V36" i="11"/>
  <c r="V15" i="13"/>
  <c r="V20" i="13"/>
  <c r="V22" i="13"/>
  <c r="L29" i="13"/>
  <c r="Z12" i="14"/>
  <c r="L15" i="14"/>
  <c r="F16" i="14"/>
  <c r="V18" i="14"/>
  <c r="F20" i="16"/>
  <c r="X34" i="16"/>
  <c r="R25" i="17"/>
  <c r="V36" i="19"/>
  <c r="V21" i="19"/>
  <c r="T18" i="19"/>
  <c r="T27" i="19" s="1"/>
  <c r="L22" i="19"/>
  <c r="N12" i="4"/>
  <c r="P18" i="4"/>
  <c r="P27" i="4" s="1"/>
  <c r="L21" i="4"/>
  <c r="R25" i="4"/>
  <c r="R29" i="4"/>
  <c r="R33" i="4"/>
  <c r="F31" i="7"/>
  <c r="F34" i="7"/>
  <c r="N15" i="10"/>
  <c r="J18" i="10"/>
  <c r="X16" i="11"/>
  <c r="X24" i="11"/>
  <c r="V25" i="11"/>
  <c r="Z29" i="11"/>
  <c r="P18" i="13"/>
  <c r="P27" i="13" s="1"/>
  <c r="R21" i="13"/>
  <c r="L25" i="14"/>
  <c r="J16" i="16"/>
  <c r="X24" i="17"/>
  <c r="J31" i="17"/>
  <c r="X22" i="19"/>
  <c r="L29" i="19"/>
  <c r="L34" i="19"/>
  <c r="L13" i="5"/>
  <c r="L34" i="5"/>
  <c r="L20" i="7"/>
  <c r="X22" i="7"/>
  <c r="F27" i="7"/>
  <c r="V31" i="7"/>
  <c r="X13" i="8"/>
  <c r="F24" i="8"/>
  <c r="J22" i="10"/>
  <c r="V15" i="11"/>
  <c r="R18" i="13"/>
  <c r="R33" i="13"/>
  <c r="X34" i="13"/>
  <c r="L13" i="14"/>
  <c r="F20" i="14"/>
  <c r="X15" i="16"/>
  <c r="X16" i="16"/>
  <c r="F22" i="16"/>
  <c r="X21" i="17"/>
  <c r="J27" i="17"/>
  <c r="L33" i="17"/>
  <c r="J34" i="17"/>
  <c r="X21" i="19"/>
  <c r="X13" i="20"/>
  <c r="J27" i="4"/>
  <c r="J31" i="4"/>
  <c r="V27" i="7"/>
  <c r="X12" i="10"/>
  <c r="N22" i="10"/>
  <c r="Z15" i="11"/>
  <c r="R21" i="11"/>
  <c r="F33" i="11"/>
  <c r="V18" i="13"/>
  <c r="R29" i="13"/>
  <c r="R16" i="17"/>
  <c r="R20" i="17"/>
  <c r="L33" i="19"/>
  <c r="L15" i="20"/>
  <c r="X21" i="22"/>
  <c r="R24" i="22"/>
  <c r="X25" i="22"/>
  <c r="F31" i="22"/>
  <c r="X15" i="23"/>
  <c r="N16" i="23"/>
  <c r="L24" i="23"/>
  <c r="X15" i="25"/>
  <c r="X25" i="25"/>
  <c r="X29" i="25"/>
  <c r="X33" i="25"/>
  <c r="X12" i="26"/>
  <c r="L16" i="26"/>
  <c r="X22" i="26"/>
  <c r="H18" i="28"/>
  <c r="H27" i="28" s="1"/>
  <c r="N27" i="28" s="1"/>
  <c r="F25" i="28"/>
  <c r="F33" i="28"/>
  <c r="V34" i="28"/>
  <c r="X13" i="29"/>
  <c r="L21" i="29"/>
  <c r="J22" i="29"/>
  <c r="T18" i="31"/>
  <c r="T27" i="31" s="1"/>
  <c r="X25" i="31"/>
  <c r="J31" i="31"/>
  <c r="V33" i="31"/>
  <c r="L16" i="32"/>
  <c r="Z12" i="34"/>
  <c r="L15" i="34"/>
  <c r="L20" i="34"/>
  <c r="Z20" i="34"/>
  <c r="L22" i="34"/>
  <c r="N21" i="35"/>
  <c r="R25" i="35"/>
  <c r="J29" i="35"/>
  <c r="J31" i="35"/>
  <c r="X33" i="35"/>
  <c r="L12" i="37"/>
  <c r="N13" i="37"/>
  <c r="X16" i="37"/>
  <c r="J22" i="37"/>
  <c r="R18" i="49"/>
  <c r="R36" i="49"/>
  <c r="R16" i="22"/>
  <c r="R21" i="22"/>
  <c r="F20" i="23"/>
  <c r="F24" i="23"/>
  <c r="L22" i="25"/>
  <c r="Z12" i="26"/>
  <c r="L15" i="26"/>
  <c r="F16" i="26"/>
  <c r="F18" i="26"/>
  <c r="R22" i="26"/>
  <c r="L33" i="26"/>
  <c r="T18" i="28"/>
  <c r="T27" i="28" s="1"/>
  <c r="Z27" i="28" s="1"/>
  <c r="F27" i="28"/>
  <c r="F36" i="28"/>
  <c r="L15" i="31"/>
  <c r="L20" i="31"/>
  <c r="J21" i="31"/>
  <c r="J29" i="31"/>
  <c r="R20" i="32"/>
  <c r="F20" i="34"/>
  <c r="F22" i="34"/>
  <c r="X29" i="34"/>
  <c r="X13" i="35"/>
  <c r="V31" i="35"/>
  <c r="N12" i="37"/>
  <c r="L22" i="37"/>
  <c r="L24" i="44"/>
  <c r="N24" i="44"/>
  <c r="R20" i="22"/>
  <c r="R22" i="22"/>
  <c r="F21" i="23"/>
  <c r="V16" i="25"/>
  <c r="R18" i="26"/>
  <c r="V20" i="26"/>
  <c r="X24" i="26"/>
  <c r="R25" i="26"/>
  <c r="L13" i="28"/>
  <c r="V18" i="28"/>
  <c r="F21" i="28"/>
  <c r="F24" i="28"/>
  <c r="V27" i="28"/>
  <c r="V29" i="28"/>
  <c r="F34" i="28"/>
  <c r="J18" i="32"/>
  <c r="R22" i="32"/>
  <c r="R16" i="34"/>
  <c r="F24" i="34"/>
  <c r="V25" i="35"/>
  <c r="X34" i="35"/>
  <c r="D18" i="37"/>
  <c r="D27" i="37" s="1"/>
  <c r="X21" i="37"/>
  <c r="F27" i="37"/>
  <c r="R34" i="40"/>
  <c r="R18" i="40"/>
  <c r="X12" i="40"/>
  <c r="R21" i="40"/>
  <c r="R24" i="40"/>
  <c r="R16" i="40"/>
  <c r="X24" i="19"/>
  <c r="X25" i="19"/>
  <c r="L20" i="20"/>
  <c r="X13" i="22"/>
  <c r="F18" i="22"/>
  <c r="L29" i="22"/>
  <c r="J24" i="23"/>
  <c r="J25" i="23"/>
  <c r="V15" i="25"/>
  <c r="V25" i="25"/>
  <c r="V29" i="25"/>
  <c r="V33" i="25"/>
  <c r="L13" i="26"/>
  <c r="X15" i="26"/>
  <c r="V18" i="26"/>
  <c r="V22" i="26"/>
  <c r="R24" i="26"/>
  <c r="X33" i="26"/>
  <c r="N13" i="28"/>
  <c r="L20" i="28"/>
  <c r="F22" i="28"/>
  <c r="L29" i="28"/>
  <c r="F18" i="29"/>
  <c r="R20" i="29"/>
  <c r="X24" i="29"/>
  <c r="J15" i="31"/>
  <c r="X29" i="31"/>
  <c r="F34" i="31"/>
  <c r="P18" i="32"/>
  <c r="P27" i="32" s="1"/>
  <c r="R18" i="32"/>
  <c r="X20" i="32"/>
  <c r="R24" i="32"/>
  <c r="X16" i="34"/>
  <c r="L24" i="34"/>
  <c r="L25" i="34"/>
  <c r="L33" i="34"/>
  <c r="V21" i="35"/>
  <c r="X29" i="35"/>
  <c r="V33" i="35"/>
  <c r="V34" i="35"/>
  <c r="V22" i="37"/>
  <c r="V34" i="37"/>
  <c r="V33" i="37"/>
  <c r="V31" i="37"/>
  <c r="V36" i="37"/>
  <c r="V29" i="37"/>
  <c r="V27" i="37"/>
  <c r="X15" i="37"/>
  <c r="H18" i="37"/>
  <c r="V21" i="37"/>
  <c r="F25" i="37"/>
  <c r="L16" i="22"/>
  <c r="R18" i="22"/>
  <c r="X33" i="22"/>
  <c r="F18" i="23"/>
  <c r="V20" i="25"/>
  <c r="X21" i="25"/>
  <c r="R15" i="26"/>
  <c r="X16" i="28"/>
  <c r="F29" i="28"/>
  <c r="R24" i="29"/>
  <c r="L13" i="31"/>
  <c r="X21" i="31"/>
  <c r="F27" i="31"/>
  <c r="J33" i="31"/>
  <c r="R15" i="32"/>
  <c r="L20" i="32"/>
  <c r="L22" i="32"/>
  <c r="V16" i="34"/>
  <c r="X22" i="34"/>
  <c r="V15" i="35"/>
  <c r="H18" i="35"/>
  <c r="H27" i="35" s="1"/>
  <c r="J25" i="35"/>
  <c r="J27" i="35"/>
  <c r="Z34" i="35"/>
  <c r="X12" i="37"/>
  <c r="F15" i="37"/>
  <c r="Z15" i="37"/>
  <c r="Z21" i="37"/>
  <c r="L25" i="37"/>
  <c r="N25" i="37"/>
  <c r="F29" i="37"/>
  <c r="J33" i="37"/>
  <c r="J36" i="37"/>
  <c r="F16" i="23"/>
  <c r="H18" i="23"/>
  <c r="H27" i="23" s="1"/>
  <c r="X20" i="23"/>
  <c r="X24" i="23"/>
  <c r="Z12" i="25"/>
  <c r="L15" i="25"/>
  <c r="H18" i="25"/>
  <c r="H27" i="25" s="1"/>
  <c r="H31" i="25" s="1"/>
  <c r="V22" i="25"/>
  <c r="L25" i="25"/>
  <c r="J27" i="25"/>
  <c r="J31" i="25"/>
  <c r="F20" i="26"/>
  <c r="V15" i="28"/>
  <c r="F31" i="28"/>
  <c r="R18" i="29"/>
  <c r="X33" i="29"/>
  <c r="X15" i="31"/>
  <c r="J27" i="31"/>
  <c r="J34" i="31"/>
  <c r="J36" i="31"/>
  <c r="X13" i="32"/>
  <c r="R16" i="32"/>
  <c r="L16" i="34"/>
  <c r="R20" i="34"/>
  <c r="X21" i="34"/>
  <c r="R22" i="34"/>
  <c r="X25" i="34"/>
  <c r="X33" i="34"/>
  <c r="P18" i="35"/>
  <c r="V27" i="35"/>
  <c r="J33" i="35"/>
  <c r="J36" i="35"/>
  <c r="J25" i="37"/>
  <c r="X29" i="49"/>
  <c r="L16" i="52"/>
  <c r="L34" i="53"/>
  <c r="V15" i="26"/>
  <c r="V16" i="26"/>
  <c r="F22" i="26"/>
  <c r="X15" i="28"/>
  <c r="D18" i="28"/>
  <c r="D27" i="28" s="1"/>
  <c r="D31" i="28" s="1"/>
  <c r="X22" i="28"/>
  <c r="V25" i="28"/>
  <c r="V31" i="28"/>
  <c r="V33" i="28"/>
  <c r="R15" i="29"/>
  <c r="F22" i="29"/>
  <c r="J25" i="31"/>
  <c r="R24" i="34"/>
  <c r="V29" i="35"/>
  <c r="F22" i="37"/>
  <c r="F33" i="37"/>
  <c r="F31" i="37"/>
  <c r="F36" i="37"/>
  <c r="F34" i="37"/>
  <c r="L16" i="37"/>
  <c r="X25" i="37"/>
  <c r="R20" i="40"/>
  <c r="N21" i="43"/>
  <c r="L21" i="43"/>
  <c r="X12" i="22"/>
  <c r="L15" i="23"/>
  <c r="Z22" i="23"/>
  <c r="J15" i="25"/>
  <c r="T18" i="25"/>
  <c r="T27" i="25" s="1"/>
  <c r="Z27" i="25" s="1"/>
  <c r="V21" i="25"/>
  <c r="J25" i="25"/>
  <c r="J34" i="25"/>
  <c r="V36" i="25"/>
  <c r="J24" i="26"/>
  <c r="R29" i="26"/>
  <c r="F18" i="28"/>
  <c r="V21" i="28"/>
  <c r="R16" i="29"/>
  <c r="F24" i="29"/>
  <c r="H18" i="31"/>
  <c r="H27" i="31" s="1"/>
  <c r="F21" i="31"/>
  <c r="F31" i="31"/>
  <c r="J22" i="32"/>
  <c r="X13" i="34"/>
  <c r="R18" i="34"/>
  <c r="V20" i="34"/>
  <c r="V22" i="34"/>
  <c r="J21" i="35"/>
  <c r="J34" i="35"/>
  <c r="V36" i="35"/>
  <c r="J20" i="37"/>
  <c r="J27" i="37"/>
  <c r="J31" i="37"/>
  <c r="J29" i="37"/>
  <c r="J34" i="37"/>
  <c r="N15" i="37"/>
  <c r="J21" i="37"/>
  <c r="N20" i="38"/>
  <c r="L20" i="38"/>
  <c r="J21" i="46"/>
  <c r="J24" i="46"/>
  <c r="R22" i="49"/>
  <c r="R21" i="49"/>
  <c r="R15" i="49"/>
  <c r="R16" i="49"/>
  <c r="R24" i="49"/>
  <c r="R29" i="49"/>
  <c r="P18" i="49"/>
  <c r="P27" i="49" s="1"/>
  <c r="P31" i="49" s="1"/>
  <c r="R33" i="49"/>
  <c r="X12" i="50"/>
  <c r="R21" i="50"/>
  <c r="R22" i="50"/>
  <c r="R18" i="50"/>
  <c r="L33" i="37"/>
  <c r="L34" i="37"/>
  <c r="R24" i="38"/>
  <c r="X13" i="40"/>
  <c r="V15" i="40"/>
  <c r="X21" i="40"/>
  <c r="X15" i="41"/>
  <c r="T18" i="43"/>
  <c r="T27" i="43" s="1"/>
  <c r="T31" i="43" s="1"/>
  <c r="Z31" i="43" s="1"/>
  <c r="V27" i="43"/>
  <c r="L33" i="43"/>
  <c r="L34" i="43"/>
  <c r="V15" i="44"/>
  <c r="P18" i="44"/>
  <c r="V20" i="44"/>
  <c r="V22" i="44"/>
  <c r="J27" i="44"/>
  <c r="X29" i="44"/>
  <c r="T18" i="46"/>
  <c r="T27" i="46" s="1"/>
  <c r="V20" i="46"/>
  <c r="X21" i="46"/>
  <c r="R22" i="46"/>
  <c r="V29" i="46"/>
  <c r="L34" i="46"/>
  <c r="X12" i="47"/>
  <c r="L22" i="47"/>
  <c r="L25" i="47"/>
  <c r="V27" i="47"/>
  <c r="F31" i="47"/>
  <c r="V33" i="47"/>
  <c r="X13" i="49"/>
  <c r="Z16" i="49"/>
  <c r="F20" i="50"/>
  <c r="L25" i="50"/>
  <c r="D18" i="52"/>
  <c r="D27" i="52" s="1"/>
  <c r="X20" i="52"/>
  <c r="J24" i="52"/>
  <c r="X12" i="53"/>
  <c r="L20" i="53"/>
  <c r="F22" i="53"/>
  <c r="L29" i="53"/>
  <c r="V31" i="53"/>
  <c r="R36" i="53"/>
  <c r="J15" i="98"/>
  <c r="J33" i="98"/>
  <c r="F15" i="99"/>
  <c r="L24" i="99"/>
  <c r="F25" i="99"/>
  <c r="F27" i="99"/>
  <c r="X29" i="99"/>
  <c r="J33" i="99"/>
  <c r="R24" i="100"/>
  <c r="X25" i="100"/>
  <c r="J31" i="100"/>
  <c r="X13" i="38"/>
  <c r="F20" i="38"/>
  <c r="X16" i="40"/>
  <c r="L33" i="40"/>
  <c r="R15" i="41"/>
  <c r="L12" i="43"/>
  <c r="X15" i="43"/>
  <c r="V18" i="43"/>
  <c r="V21" i="43"/>
  <c r="X22" i="43"/>
  <c r="J34" i="43"/>
  <c r="R18" i="44"/>
  <c r="V27" i="44"/>
  <c r="V31" i="44"/>
  <c r="V18" i="46"/>
  <c r="X24" i="46"/>
  <c r="L33" i="46"/>
  <c r="N34" i="46"/>
  <c r="Z12" i="47"/>
  <c r="J20" i="47"/>
  <c r="F22" i="47"/>
  <c r="L29" i="47"/>
  <c r="V31" i="47"/>
  <c r="R36" i="47"/>
  <c r="N12" i="49"/>
  <c r="L12" i="50"/>
  <c r="V15" i="50"/>
  <c r="V16" i="50"/>
  <c r="F25" i="50"/>
  <c r="X29" i="50"/>
  <c r="V33" i="50"/>
  <c r="F36" i="50"/>
  <c r="F16" i="52"/>
  <c r="R18" i="52"/>
  <c r="X25" i="52"/>
  <c r="V29" i="52"/>
  <c r="Z12" i="53"/>
  <c r="L33" i="53"/>
  <c r="F34" i="53"/>
  <c r="V36" i="53"/>
  <c r="L13" i="98"/>
  <c r="X29" i="98"/>
  <c r="R34" i="98"/>
  <c r="D18" i="99"/>
  <c r="J21" i="99"/>
  <c r="L22" i="99"/>
  <c r="F24" i="99"/>
  <c r="R27" i="99"/>
  <c r="R21" i="100"/>
  <c r="J27" i="100"/>
  <c r="J34" i="100"/>
  <c r="F27" i="98"/>
  <c r="F21" i="38"/>
  <c r="F22" i="38"/>
  <c r="F15" i="40"/>
  <c r="F16" i="40"/>
  <c r="F18" i="40"/>
  <c r="J21" i="43"/>
  <c r="J25" i="43"/>
  <c r="J29" i="43"/>
  <c r="X33" i="43"/>
  <c r="X34" i="43"/>
  <c r="J24" i="44"/>
  <c r="L12" i="46"/>
  <c r="F20" i="46"/>
  <c r="V21" i="46"/>
  <c r="R15" i="47"/>
  <c r="X16" i="47"/>
  <c r="R24" i="47"/>
  <c r="L16" i="49"/>
  <c r="V18" i="49"/>
  <c r="L34" i="49"/>
  <c r="D18" i="50"/>
  <c r="D27" i="50" s="1"/>
  <c r="X20" i="50"/>
  <c r="V29" i="50"/>
  <c r="L34" i="50"/>
  <c r="L13" i="52"/>
  <c r="V18" i="52"/>
  <c r="V25" i="52"/>
  <c r="F33" i="52"/>
  <c r="L13" i="53"/>
  <c r="R15" i="53"/>
  <c r="R21" i="53"/>
  <c r="R22" i="53"/>
  <c r="R25" i="53"/>
  <c r="V16" i="98"/>
  <c r="R27" i="98"/>
  <c r="V34" i="98"/>
  <c r="F16" i="99"/>
  <c r="H18" i="99"/>
  <c r="N18" i="99" s="1"/>
  <c r="N22" i="99"/>
  <c r="J24" i="99"/>
  <c r="F29" i="99"/>
  <c r="J15" i="100"/>
  <c r="P18" i="100"/>
  <c r="P27" i="100" s="1"/>
  <c r="V21" i="100"/>
  <c r="L22" i="38"/>
  <c r="F24" i="38"/>
  <c r="F33" i="38"/>
  <c r="Z20" i="40"/>
  <c r="F29" i="40"/>
  <c r="V15" i="43"/>
  <c r="V16" i="43"/>
  <c r="J24" i="43"/>
  <c r="J22" i="44"/>
  <c r="V34" i="44"/>
  <c r="X12" i="46"/>
  <c r="V15" i="46"/>
  <c r="V16" i="46"/>
  <c r="F29" i="46"/>
  <c r="V16" i="47"/>
  <c r="X20" i="47"/>
  <c r="R21" i="47"/>
  <c r="R22" i="47"/>
  <c r="R25" i="47"/>
  <c r="J22" i="49"/>
  <c r="J31" i="49"/>
  <c r="F16" i="50"/>
  <c r="N34" i="50"/>
  <c r="V21" i="52"/>
  <c r="V22" i="52"/>
  <c r="L29" i="52"/>
  <c r="V16" i="53"/>
  <c r="R29" i="53"/>
  <c r="X34" i="53"/>
  <c r="H18" i="98"/>
  <c r="H27" i="98" s="1"/>
  <c r="V21" i="98"/>
  <c r="V27" i="98"/>
  <c r="F31" i="98"/>
  <c r="X34" i="98"/>
  <c r="J18" i="99"/>
  <c r="V21" i="99"/>
  <c r="F31" i="99"/>
  <c r="T18" i="100"/>
  <c r="T27" i="100" s="1"/>
  <c r="R33" i="100"/>
  <c r="N29" i="37"/>
  <c r="X34" i="37"/>
  <c r="F15" i="38"/>
  <c r="F16" i="38"/>
  <c r="F18" i="38"/>
  <c r="X20" i="38"/>
  <c r="F25" i="38"/>
  <c r="F29" i="38"/>
  <c r="L24" i="40"/>
  <c r="F25" i="40"/>
  <c r="F36" i="40"/>
  <c r="L24" i="41"/>
  <c r="L33" i="41"/>
  <c r="X12" i="43"/>
  <c r="F15" i="43"/>
  <c r="D18" i="43"/>
  <c r="D27" i="43" s="1"/>
  <c r="D31" i="43" s="1"/>
  <c r="D36" i="43" s="1"/>
  <c r="X25" i="43"/>
  <c r="V33" i="43"/>
  <c r="V34" i="43"/>
  <c r="R16" i="44"/>
  <c r="X25" i="44"/>
  <c r="R33" i="44"/>
  <c r="L25" i="46"/>
  <c r="V15" i="47"/>
  <c r="R18" i="47"/>
  <c r="V20" i="47"/>
  <c r="R29" i="47"/>
  <c r="J27" i="49"/>
  <c r="J34" i="49"/>
  <c r="F15" i="50"/>
  <c r="T18" i="50"/>
  <c r="Z18" i="50" s="1"/>
  <c r="V20" i="50"/>
  <c r="V25" i="50"/>
  <c r="F33" i="50"/>
  <c r="F20" i="52"/>
  <c r="F29" i="52"/>
  <c r="X33" i="52"/>
  <c r="V15" i="53"/>
  <c r="P18" i="53"/>
  <c r="P27" i="53" s="1"/>
  <c r="V20" i="53"/>
  <c r="V22" i="53"/>
  <c r="V25" i="53"/>
  <c r="R33" i="53"/>
  <c r="F21" i="98"/>
  <c r="J25" i="98"/>
  <c r="L29" i="98"/>
  <c r="V31" i="98"/>
  <c r="X13" i="99"/>
  <c r="X15" i="99"/>
  <c r="T18" i="99"/>
  <c r="T27" i="99" s="1"/>
  <c r="Z27" i="99" s="1"/>
  <c r="X25" i="99"/>
  <c r="J29" i="99"/>
  <c r="F36" i="99"/>
  <c r="X13" i="100"/>
  <c r="R15" i="100"/>
  <c r="V18" i="100"/>
  <c r="L21" i="100"/>
  <c r="L22" i="100"/>
  <c r="R29" i="100"/>
  <c r="R36" i="100"/>
  <c r="J18" i="38"/>
  <c r="R20" i="38"/>
  <c r="R21" i="38"/>
  <c r="F36" i="38"/>
  <c r="L13" i="40"/>
  <c r="L21" i="40"/>
  <c r="F22" i="40"/>
  <c r="N24" i="40"/>
  <c r="Z12" i="43"/>
  <c r="H18" i="43"/>
  <c r="N18" i="43" s="1"/>
  <c r="X21" i="43"/>
  <c r="J22" i="43"/>
  <c r="V25" i="43"/>
  <c r="J31" i="43"/>
  <c r="L12" i="44"/>
  <c r="R15" i="44"/>
  <c r="R20" i="44"/>
  <c r="R22" i="44"/>
  <c r="R24" i="44"/>
  <c r="R25" i="44"/>
  <c r="R29" i="44"/>
  <c r="Z12" i="46"/>
  <c r="F25" i="46"/>
  <c r="X29" i="46"/>
  <c r="V33" i="46"/>
  <c r="F36" i="46"/>
  <c r="V18" i="47"/>
  <c r="V22" i="47"/>
  <c r="V25" i="47"/>
  <c r="R33" i="47"/>
  <c r="L13" i="50"/>
  <c r="V18" i="50"/>
  <c r="V22" i="50"/>
  <c r="F36" i="52"/>
  <c r="R18" i="53"/>
  <c r="F27" i="53"/>
  <c r="V29" i="53"/>
  <c r="V34" i="53"/>
  <c r="F20" i="98"/>
  <c r="F34" i="98"/>
  <c r="J36" i="98"/>
  <c r="F33" i="99"/>
  <c r="J36" i="99"/>
  <c r="R25" i="100"/>
  <c r="L15" i="38"/>
  <c r="R18" i="38"/>
  <c r="R22" i="38"/>
  <c r="X24" i="38"/>
  <c r="L13" i="41"/>
  <c r="J15" i="43"/>
  <c r="P18" i="43"/>
  <c r="P27" i="43" s="1"/>
  <c r="V20" i="43"/>
  <c r="R21" i="43"/>
  <c r="Z25" i="43"/>
  <c r="V31" i="43"/>
  <c r="J36" i="43"/>
  <c r="V16" i="44"/>
  <c r="R21" i="44"/>
  <c r="R36" i="44"/>
  <c r="F15" i="46"/>
  <c r="F16" i="46"/>
  <c r="D18" i="46"/>
  <c r="D27" i="46" s="1"/>
  <c r="V36" i="46"/>
  <c r="F27" i="47"/>
  <c r="V29" i="47"/>
  <c r="V34" i="47"/>
  <c r="X16" i="50"/>
  <c r="V21" i="50"/>
  <c r="F29" i="50"/>
  <c r="F22" i="52"/>
  <c r="F25" i="52"/>
  <c r="V33" i="52"/>
  <c r="V36" i="52"/>
  <c r="V18" i="53"/>
  <c r="L25" i="53"/>
  <c r="V27" i="53"/>
  <c r="F31" i="53"/>
  <c r="V33" i="53"/>
  <c r="Z12" i="98"/>
  <c r="F16" i="98"/>
  <c r="J21" i="98"/>
  <c r="J24" i="98"/>
  <c r="J29" i="98"/>
  <c r="N12" i="99"/>
  <c r="V15" i="99"/>
  <c r="X16" i="99"/>
  <c r="F20" i="99"/>
  <c r="F21" i="99"/>
  <c r="F34" i="99"/>
  <c r="N12" i="100"/>
  <c r="V15" i="100"/>
  <c r="J22" i="100"/>
  <c r="X29" i="100"/>
  <c r="Z200" i="3"/>
  <c r="N226" i="3"/>
  <c r="Z244" i="3"/>
  <c r="N254" i="3"/>
  <c r="Z256" i="3"/>
  <c r="Z258" i="3"/>
  <c r="N33" i="3"/>
  <c r="L33" i="3"/>
  <c r="X29" i="3"/>
  <c r="Z29" i="3" s="1"/>
  <c r="N49" i="3"/>
  <c r="L49" i="3"/>
  <c r="Z202" i="3"/>
  <c r="N242" i="3"/>
  <c r="L242" i="3"/>
  <c r="V81" i="9"/>
  <c r="V73" i="9"/>
  <c r="V53" i="9"/>
  <c r="V45" i="9"/>
  <c r="V37" i="9"/>
  <c r="V25" i="9"/>
  <c r="T16" i="9"/>
  <c r="X16" i="9" s="1"/>
  <c r="V85" i="9"/>
  <c r="V72" i="9"/>
  <c r="V56" i="9"/>
  <c r="V52" i="9"/>
  <c r="V44" i="9"/>
  <c r="V36" i="9"/>
  <c r="V24" i="9"/>
  <c r="V82" i="9"/>
  <c r="V78" i="9"/>
  <c r="V84" i="9"/>
  <c r="V83" i="9"/>
  <c r="V67" i="9"/>
  <c r="V55" i="9"/>
  <c r="V47" i="9"/>
  <c r="V39" i="9"/>
  <c r="V35" i="9"/>
  <c r="V23" i="9"/>
  <c r="V66" i="9"/>
  <c r="V62" i="9"/>
  <c r="V58" i="9"/>
  <c r="V46" i="9"/>
  <c r="V38" i="9"/>
  <c r="V34" i="9"/>
  <c r="V30" i="9"/>
  <c r="V22" i="9"/>
  <c r="V18" i="9"/>
  <c r="V14" i="9"/>
  <c r="V70" i="9"/>
  <c r="V54" i="9"/>
  <c r="V96" i="9"/>
  <c r="V93" i="9"/>
  <c r="V77" i="9"/>
  <c r="V69" i="9"/>
  <c r="V65" i="9"/>
  <c r="V61" i="9"/>
  <c r="V57" i="9"/>
  <c r="V49" i="9"/>
  <c r="V41" i="9"/>
  <c r="V33" i="9"/>
  <c r="V29" i="9"/>
  <c r="V21" i="9"/>
  <c r="V74" i="9"/>
  <c r="V80" i="9"/>
  <c r="V76" i="9"/>
  <c r="V68" i="9"/>
  <c r="V64" i="9"/>
  <c r="V60" i="9"/>
  <c r="V48" i="9"/>
  <c r="V40" i="9"/>
  <c r="V32" i="9"/>
  <c r="V28" i="9"/>
  <c r="V20" i="9"/>
  <c r="Z12" i="9"/>
  <c r="V91" i="9"/>
  <c r="V89" i="9"/>
  <c r="V87" i="9"/>
  <c r="V79" i="9"/>
  <c r="V75" i="9"/>
  <c r="V71" i="9"/>
  <c r="V63" i="9"/>
  <c r="V59" i="9"/>
  <c r="V51" i="9"/>
  <c r="V43" i="9"/>
  <c r="V31" i="9"/>
  <c r="V27" i="9"/>
  <c r="V19" i="9"/>
  <c r="V16" i="9"/>
  <c r="R29" i="6"/>
  <c r="R26" i="6"/>
  <c r="R20" i="6"/>
  <c r="R16" i="6"/>
  <c r="P16" i="6"/>
  <c r="R24" i="6"/>
  <c r="R31" i="6"/>
  <c r="R28" i="6"/>
  <c r="R22" i="6"/>
  <c r="R18" i="6"/>
  <c r="R14" i="6"/>
  <c r="X12" i="6"/>
  <c r="N28" i="3"/>
  <c r="N89" i="3"/>
  <c r="L89" i="3"/>
  <c r="N97" i="3"/>
  <c r="L97" i="3"/>
  <c r="Z155" i="3"/>
  <c r="Z226" i="3"/>
  <c r="X254" i="3"/>
  <c r="Z254" i="3" s="1"/>
  <c r="D22" i="6"/>
  <c r="Z20" i="6"/>
  <c r="X20" i="6"/>
  <c r="T12" i="3"/>
  <c r="Z13" i="3"/>
  <c r="X13" i="3"/>
  <c r="N41" i="3"/>
  <c r="L41" i="3"/>
  <c r="X21" i="3"/>
  <c r="Z21" i="3" s="1"/>
  <c r="X69" i="3"/>
  <c r="Z69" i="3" s="1"/>
  <c r="X77" i="3"/>
  <c r="Z77" i="3" s="1"/>
  <c r="Z85" i="3"/>
  <c r="X85" i="3"/>
  <c r="N216" i="3"/>
  <c r="N259" i="3"/>
  <c r="V21" i="4"/>
  <c r="V18" i="4"/>
  <c r="V36" i="4"/>
  <c r="V33" i="4"/>
  <c r="V29" i="4"/>
  <c r="V25" i="4"/>
  <c r="T18" i="4"/>
  <c r="V15" i="4"/>
  <c r="V22" i="4"/>
  <c r="V20" i="4"/>
  <c r="V16" i="4"/>
  <c r="Z12" i="4"/>
  <c r="V34" i="4"/>
  <c r="V31" i="4"/>
  <c r="V27" i="4"/>
  <c r="X12" i="4"/>
  <c r="V24" i="4"/>
  <c r="V26" i="9"/>
  <c r="V50" i="9"/>
  <c r="N81" i="9"/>
  <c r="N81" i="3"/>
  <c r="L81" i="3"/>
  <c r="Z37" i="3"/>
  <c r="X37" i="3"/>
  <c r="Z45" i="3"/>
  <c r="X45" i="3"/>
  <c r="L57" i="3"/>
  <c r="N57" i="3" s="1"/>
  <c r="Z248" i="3"/>
  <c r="Z34" i="4"/>
  <c r="X34" i="4"/>
  <c r="Z19" i="9"/>
  <c r="Z59" i="9"/>
  <c r="N63" i="9"/>
  <c r="P12" i="3"/>
  <c r="X14" i="3"/>
  <c r="Z14" i="3" s="1"/>
  <c r="N92" i="3"/>
  <c r="X93" i="3"/>
  <c r="Z93" i="3" s="1"/>
  <c r="N198" i="3"/>
  <c r="N252" i="3"/>
  <c r="H251" i="3"/>
  <c r="L252" i="3"/>
  <c r="Z24" i="5"/>
  <c r="X24" i="5"/>
  <c r="X53" i="3"/>
  <c r="Z53" i="3" s="1"/>
  <c r="N65" i="3"/>
  <c r="L65" i="3"/>
  <c r="Z80" i="3"/>
  <c r="X100" i="3"/>
  <c r="N156" i="3"/>
  <c r="Z196" i="3"/>
  <c r="Z211" i="3"/>
  <c r="Z216" i="3"/>
  <c r="N220" i="3"/>
  <c r="R24" i="5"/>
  <c r="R21" i="5"/>
  <c r="R18" i="5"/>
  <c r="R36" i="5"/>
  <c r="R33" i="5"/>
  <c r="R29" i="5"/>
  <c r="R25" i="5"/>
  <c r="P18" i="5"/>
  <c r="R15" i="5"/>
  <c r="R22" i="5"/>
  <c r="X12" i="5"/>
  <c r="R20" i="5"/>
  <c r="R16" i="5"/>
  <c r="R34" i="5"/>
  <c r="T22" i="6"/>
  <c r="Z16" i="6"/>
  <c r="X29" i="6"/>
  <c r="Z29" i="6" s="1"/>
  <c r="Z20" i="7"/>
  <c r="X20" i="7"/>
  <c r="Z31" i="9"/>
  <c r="Z42" i="9"/>
  <c r="Z61" i="3"/>
  <c r="X61" i="3"/>
  <c r="N73" i="3"/>
  <c r="L73" i="3"/>
  <c r="H12" i="3"/>
  <c r="N17" i="3"/>
  <c r="L17" i="3"/>
  <c r="N25" i="3"/>
  <c r="L25" i="3"/>
  <c r="Z100" i="3"/>
  <c r="X156" i="3"/>
  <c r="Z156" i="3" s="1"/>
  <c r="L202" i="3"/>
  <c r="N202" i="3" s="1"/>
  <c r="X220" i="3"/>
  <c r="Z220" i="3" s="1"/>
  <c r="Z16" i="7"/>
  <c r="X16" i="7"/>
  <c r="N24" i="7"/>
  <c r="L24" i="7"/>
  <c r="V21" i="8"/>
  <c r="V18" i="8"/>
  <c r="V36" i="8"/>
  <c r="V33" i="8"/>
  <c r="V29" i="8"/>
  <c r="V25" i="8"/>
  <c r="T18" i="8"/>
  <c r="V15" i="8"/>
  <c r="V22" i="8"/>
  <c r="V20" i="8"/>
  <c r="V16" i="8"/>
  <c r="Z12" i="8"/>
  <c r="V34" i="8"/>
  <c r="V31" i="8"/>
  <c r="V27" i="8"/>
  <c r="X12" i="8"/>
  <c r="V42" i="9"/>
  <c r="N21" i="8"/>
  <c r="L21" i="8"/>
  <c r="X34" i="8"/>
  <c r="P96" i="9"/>
  <c r="X15" i="14"/>
  <c r="P18" i="14"/>
  <c r="D251" i="3"/>
  <c r="L251" i="3" s="1"/>
  <c r="T251" i="3"/>
  <c r="J21" i="4"/>
  <c r="F27" i="4"/>
  <c r="F31" i="4"/>
  <c r="F34" i="4"/>
  <c r="J18" i="5"/>
  <c r="F24" i="5"/>
  <c r="V24" i="5"/>
  <c r="V16" i="6"/>
  <c r="F20" i="6"/>
  <c r="V20" i="6"/>
  <c r="J24" i="6"/>
  <c r="F26" i="6"/>
  <c r="V26" i="6"/>
  <c r="F29" i="6"/>
  <c r="V29" i="6"/>
  <c r="Z12" i="7"/>
  <c r="F16" i="7"/>
  <c r="V16" i="7"/>
  <c r="F20" i="7"/>
  <c r="V20" i="7"/>
  <c r="R22" i="7"/>
  <c r="J24" i="7"/>
  <c r="J21" i="8"/>
  <c r="F27" i="8"/>
  <c r="F31" i="8"/>
  <c r="F34" i="8"/>
  <c r="X12" i="9"/>
  <c r="H16" i="9"/>
  <c r="F19" i="9"/>
  <c r="R20" i="9"/>
  <c r="J23" i="9"/>
  <c r="F24" i="9"/>
  <c r="R28" i="9"/>
  <c r="F31" i="9"/>
  <c r="R32" i="9"/>
  <c r="J35" i="9"/>
  <c r="F36" i="9"/>
  <c r="J39" i="9"/>
  <c r="J47" i="9"/>
  <c r="F56" i="9"/>
  <c r="R57" i="9"/>
  <c r="F59" i="9"/>
  <c r="R60" i="9"/>
  <c r="F63" i="9"/>
  <c r="R64" i="9"/>
  <c r="J67" i="9"/>
  <c r="R76" i="9"/>
  <c r="R80" i="9"/>
  <c r="J81" i="9"/>
  <c r="F84" i="9"/>
  <c r="F85" i="9"/>
  <c r="R93" i="9"/>
  <c r="L13" i="11"/>
  <c r="N22" i="11"/>
  <c r="L22" i="11"/>
  <c r="H12" i="12"/>
  <c r="L13" i="12"/>
  <c r="N13" i="12" s="1"/>
  <c r="Z21" i="12"/>
  <c r="N23" i="12"/>
  <c r="Z44" i="12"/>
  <c r="N46" i="12"/>
  <c r="Z58" i="12"/>
  <c r="N65" i="12"/>
  <c r="Z66" i="12"/>
  <c r="L69" i="12"/>
  <c r="N69" i="12" s="1"/>
  <c r="Z77" i="12"/>
  <c r="F124" i="12"/>
  <c r="X164" i="12"/>
  <c r="Z164" i="12" s="1"/>
  <c r="Z182" i="12"/>
  <c r="Z187" i="12"/>
  <c r="N223" i="12"/>
  <c r="N20" i="13"/>
  <c r="L20" i="13"/>
  <c r="N13" i="15"/>
  <c r="X14" i="15"/>
  <c r="Z14" i="15" s="1"/>
  <c r="Z18" i="15"/>
  <c r="N20" i="15"/>
  <c r="Z41" i="15"/>
  <c r="Z55" i="15"/>
  <c r="N62" i="15"/>
  <c r="Z63" i="15"/>
  <c r="L66" i="15"/>
  <c r="N66" i="15" s="1"/>
  <c r="Z74" i="15"/>
  <c r="R109" i="15"/>
  <c r="N145" i="15"/>
  <c r="Z157" i="15"/>
  <c r="X157" i="15"/>
  <c r="R169" i="15"/>
  <c r="N189" i="15"/>
  <c r="R197" i="15"/>
  <c r="D12" i="3"/>
  <c r="F16" i="4"/>
  <c r="F20" i="4"/>
  <c r="R22" i="4"/>
  <c r="J24" i="4"/>
  <c r="J21" i="5"/>
  <c r="F27" i="5"/>
  <c r="V27" i="5"/>
  <c r="F31" i="5"/>
  <c r="V31" i="5"/>
  <c r="F34" i="5"/>
  <c r="V34" i="5"/>
  <c r="H16" i="6"/>
  <c r="L16" i="6" s="1"/>
  <c r="P18" i="7"/>
  <c r="R25" i="7"/>
  <c r="J27" i="7"/>
  <c r="R29" i="7"/>
  <c r="J31" i="7"/>
  <c r="R33" i="7"/>
  <c r="J34" i="7"/>
  <c r="R36" i="7"/>
  <c r="F16" i="8"/>
  <c r="F20" i="8"/>
  <c r="R22" i="8"/>
  <c r="J24" i="8"/>
  <c r="R14" i="9"/>
  <c r="J16" i="9"/>
  <c r="R18" i="9"/>
  <c r="R21" i="9"/>
  <c r="J24" i="9"/>
  <c r="F25" i="9"/>
  <c r="R29" i="9"/>
  <c r="R33" i="9"/>
  <c r="J36" i="9"/>
  <c r="F37" i="9"/>
  <c r="R38" i="9"/>
  <c r="F40" i="9"/>
  <c r="R41" i="9"/>
  <c r="J42" i="9"/>
  <c r="F45" i="9"/>
  <c r="R46" i="9"/>
  <c r="F48" i="9"/>
  <c r="R49" i="9"/>
  <c r="J50" i="9"/>
  <c r="F53" i="9"/>
  <c r="J56" i="9"/>
  <c r="R61" i="9"/>
  <c r="R65" i="9"/>
  <c r="F68" i="9"/>
  <c r="R69" i="9"/>
  <c r="J70" i="9"/>
  <c r="F73" i="9"/>
  <c r="R77" i="9"/>
  <c r="J78" i="9"/>
  <c r="J84" i="9"/>
  <c r="J85" i="9"/>
  <c r="F87" i="9"/>
  <c r="Z21" i="10"/>
  <c r="X21" i="10"/>
  <c r="Z17" i="12"/>
  <c r="X17" i="12"/>
  <c r="N61" i="12"/>
  <c r="L61" i="12"/>
  <c r="Z73" i="12"/>
  <c r="X73" i="12"/>
  <c r="F108" i="12"/>
  <c r="F116" i="12"/>
  <c r="Z129" i="12"/>
  <c r="F221" i="12"/>
  <c r="N58" i="15"/>
  <c r="L58" i="15"/>
  <c r="Z70" i="15"/>
  <c r="X70" i="15"/>
  <c r="L147" i="15"/>
  <c r="N147" i="15" s="1"/>
  <c r="Z184" i="15"/>
  <c r="Z203" i="15"/>
  <c r="X203" i="15"/>
  <c r="Z25" i="12"/>
  <c r="X25" i="12"/>
  <c r="R125" i="15"/>
  <c r="J34" i="4"/>
  <c r="J16" i="7"/>
  <c r="J20" i="7"/>
  <c r="J31" i="8"/>
  <c r="J34" i="8"/>
  <c r="R36" i="8"/>
  <c r="R22" i="9"/>
  <c r="J25" i="9"/>
  <c r="F26" i="9"/>
  <c r="R30" i="9"/>
  <c r="J31" i="9"/>
  <c r="R34" i="9"/>
  <c r="J37" i="9"/>
  <c r="J45" i="9"/>
  <c r="J53" i="9"/>
  <c r="F54" i="9"/>
  <c r="R55" i="9"/>
  <c r="F57" i="9"/>
  <c r="R58" i="9"/>
  <c r="J59" i="9"/>
  <c r="R62" i="9"/>
  <c r="J63" i="9"/>
  <c r="R66" i="9"/>
  <c r="F74" i="9"/>
  <c r="F82" i="9"/>
  <c r="R83" i="9"/>
  <c r="F89" i="9"/>
  <c r="N33" i="10"/>
  <c r="L33" i="10"/>
  <c r="N53" i="12"/>
  <c r="L53" i="12"/>
  <c r="X65" i="12"/>
  <c r="Z65" i="12" s="1"/>
  <c r="F144" i="12"/>
  <c r="N154" i="12"/>
  <c r="L154" i="12"/>
  <c r="F188" i="12"/>
  <c r="F20" i="13"/>
  <c r="F16" i="13"/>
  <c r="F34" i="13"/>
  <c r="F31" i="13"/>
  <c r="F27" i="13"/>
  <c r="F24" i="13"/>
  <c r="F21" i="13"/>
  <c r="F18" i="13"/>
  <c r="F36" i="13"/>
  <c r="F33" i="13"/>
  <c r="F29" i="13"/>
  <c r="F25" i="13"/>
  <c r="D18" i="13"/>
  <c r="F15" i="13"/>
  <c r="L12" i="13"/>
  <c r="F22" i="13"/>
  <c r="Z22" i="13"/>
  <c r="X22" i="13"/>
  <c r="T12" i="15"/>
  <c r="L19" i="15"/>
  <c r="N19" i="15" s="1"/>
  <c r="D12" i="15"/>
  <c r="Z25" i="15"/>
  <c r="N27" i="15"/>
  <c r="Z32" i="15"/>
  <c r="Z39" i="15"/>
  <c r="L50" i="15"/>
  <c r="N50" i="15" s="1"/>
  <c r="Z62" i="15"/>
  <c r="X62" i="15"/>
  <c r="Z66" i="15"/>
  <c r="N68" i="15"/>
  <c r="R85" i="15"/>
  <c r="R101" i="15"/>
  <c r="R117" i="15"/>
  <c r="X145" i="15"/>
  <c r="Z145" i="15" s="1"/>
  <c r="Z164" i="15"/>
  <c r="N171" i="15"/>
  <c r="L171" i="15"/>
  <c r="F84" i="12"/>
  <c r="N178" i="12"/>
  <c r="L178" i="12"/>
  <c r="X16" i="3"/>
  <c r="Z16" i="3" s="1"/>
  <c r="L20" i="3"/>
  <c r="N20" i="3" s="1"/>
  <c r="X24" i="3"/>
  <c r="Z24" i="3" s="1"/>
  <c r="L28" i="3"/>
  <c r="X32" i="3"/>
  <c r="Z32" i="3" s="1"/>
  <c r="L36" i="3"/>
  <c r="X40" i="3"/>
  <c r="Z40" i="3" s="1"/>
  <c r="L44" i="3"/>
  <c r="N44" i="3" s="1"/>
  <c r="X48" i="3"/>
  <c r="Z48" i="3" s="1"/>
  <c r="L52" i="3"/>
  <c r="N52" i="3" s="1"/>
  <c r="X56" i="3"/>
  <c r="Z56" i="3" s="1"/>
  <c r="L60" i="3"/>
  <c r="N60" i="3" s="1"/>
  <c r="X64" i="3"/>
  <c r="Z64" i="3" s="1"/>
  <c r="L68" i="3"/>
  <c r="N68" i="3" s="1"/>
  <c r="X72" i="3"/>
  <c r="L76" i="3"/>
  <c r="J16" i="4"/>
  <c r="R18" i="4"/>
  <c r="J20" i="4"/>
  <c r="F22" i="4"/>
  <c r="J27" i="5"/>
  <c r="J31" i="5"/>
  <c r="J34" i="5"/>
  <c r="L12" i="7"/>
  <c r="F15" i="7"/>
  <c r="V15" i="7"/>
  <c r="D18" i="7"/>
  <c r="T18" i="7"/>
  <c r="R21" i="7"/>
  <c r="F25" i="7"/>
  <c r="V25" i="7"/>
  <c r="F29" i="7"/>
  <c r="V29" i="7"/>
  <c r="F33" i="7"/>
  <c r="V33" i="7"/>
  <c r="F36" i="7"/>
  <c r="V36" i="7"/>
  <c r="J16" i="8"/>
  <c r="R18" i="8"/>
  <c r="J20" i="8"/>
  <c r="F22" i="8"/>
  <c r="J93" i="9"/>
  <c r="J87" i="9"/>
  <c r="F14" i="9"/>
  <c r="F18" i="9"/>
  <c r="R23" i="9"/>
  <c r="J26" i="9"/>
  <c r="F27" i="9"/>
  <c r="R35" i="9"/>
  <c r="F38" i="9"/>
  <c r="R39" i="9"/>
  <c r="J40" i="9"/>
  <c r="F43" i="9"/>
  <c r="R44" i="9"/>
  <c r="F46" i="9"/>
  <c r="R47" i="9"/>
  <c r="J48" i="9"/>
  <c r="F51" i="9"/>
  <c r="R52" i="9"/>
  <c r="J54" i="9"/>
  <c r="R67" i="9"/>
  <c r="J68" i="9"/>
  <c r="F71" i="9"/>
  <c r="R72" i="9"/>
  <c r="J74" i="9"/>
  <c r="F75" i="9"/>
  <c r="F79" i="9"/>
  <c r="J82" i="9"/>
  <c r="F91" i="9"/>
  <c r="N29" i="10"/>
  <c r="L29" i="10"/>
  <c r="Z20" i="12"/>
  <c r="N22" i="12"/>
  <c r="Z35" i="12"/>
  <c r="N41" i="12"/>
  <c r="Z42" i="12"/>
  <c r="N45" i="12"/>
  <c r="L45" i="12"/>
  <c r="N56" i="12"/>
  <c r="X57" i="12"/>
  <c r="Z57" i="12" s="1"/>
  <c r="Z61" i="12"/>
  <c r="Z76" i="12"/>
  <c r="N78" i="12"/>
  <c r="Z128" i="12"/>
  <c r="F132" i="12"/>
  <c r="Z140" i="12"/>
  <c r="X140" i="12"/>
  <c r="Z152" i="12"/>
  <c r="X152" i="12"/>
  <c r="N34" i="14"/>
  <c r="L34" i="14"/>
  <c r="Z24" i="15"/>
  <c r="Z31" i="15"/>
  <c r="L42" i="15"/>
  <c r="N42" i="15" s="1"/>
  <c r="X54" i="15"/>
  <c r="Z54" i="15" s="1"/>
  <c r="R137" i="15"/>
  <c r="R202" i="15"/>
  <c r="N166" i="12"/>
  <c r="L166" i="12"/>
  <c r="F211" i="12"/>
  <c r="L159" i="15"/>
  <c r="N159" i="15" s="1"/>
  <c r="X175" i="3"/>
  <c r="Z175" i="3" s="1"/>
  <c r="L177" i="3"/>
  <c r="N177" i="3" s="1"/>
  <c r="X187" i="3"/>
  <c r="Z187" i="3" s="1"/>
  <c r="L189" i="3"/>
  <c r="N189" i="3" s="1"/>
  <c r="X207" i="3"/>
  <c r="Z207" i="3" s="1"/>
  <c r="L12" i="4"/>
  <c r="F15" i="4"/>
  <c r="D18" i="4"/>
  <c r="R21" i="4"/>
  <c r="F25" i="4"/>
  <c r="F29" i="4"/>
  <c r="F33" i="4"/>
  <c r="F36" i="4"/>
  <c r="J16" i="5"/>
  <c r="J20" i="5"/>
  <c r="F22" i="5"/>
  <c r="V22" i="5"/>
  <c r="V14" i="6"/>
  <c r="V18" i="6"/>
  <c r="F22" i="6"/>
  <c r="V22" i="6"/>
  <c r="V24" i="6"/>
  <c r="F28" i="6"/>
  <c r="V28" i="6"/>
  <c r="N12" i="7"/>
  <c r="X15" i="7"/>
  <c r="F18" i="7"/>
  <c r="V18" i="7"/>
  <c r="J22" i="7"/>
  <c r="R24" i="7"/>
  <c r="X25" i="7"/>
  <c r="X29" i="7"/>
  <c r="X33" i="7"/>
  <c r="L12" i="8"/>
  <c r="F15" i="8"/>
  <c r="L16" i="8"/>
  <c r="D18" i="8"/>
  <c r="L20" i="8"/>
  <c r="X22" i="8"/>
  <c r="F25" i="8"/>
  <c r="F29" i="8"/>
  <c r="F33" i="8"/>
  <c r="F36" i="8"/>
  <c r="L12" i="9"/>
  <c r="X14" i="9"/>
  <c r="X18" i="9"/>
  <c r="Z18" i="9" s="1"/>
  <c r="F20" i="9"/>
  <c r="R24" i="9"/>
  <c r="J27" i="9"/>
  <c r="F28" i="9"/>
  <c r="F32" i="9"/>
  <c r="R36" i="9"/>
  <c r="X38" i="9"/>
  <c r="Z38" i="9" s="1"/>
  <c r="L40" i="9"/>
  <c r="N40" i="9" s="1"/>
  <c r="J43" i="9"/>
  <c r="X46" i="9"/>
  <c r="Z46" i="9" s="1"/>
  <c r="L48" i="9"/>
  <c r="J51" i="9"/>
  <c r="F55" i="9"/>
  <c r="R56" i="9"/>
  <c r="J57" i="9"/>
  <c r="F60" i="9"/>
  <c r="F64" i="9"/>
  <c r="L68" i="9"/>
  <c r="N68" i="9" s="1"/>
  <c r="J71" i="9"/>
  <c r="J75" i="9"/>
  <c r="F76" i="9"/>
  <c r="J79" i="9"/>
  <c r="F80" i="9"/>
  <c r="R81" i="9"/>
  <c r="F83" i="9"/>
  <c r="R85" i="9"/>
  <c r="J89" i="9"/>
  <c r="J91" i="9"/>
  <c r="F93" i="9"/>
  <c r="F96" i="9"/>
  <c r="V36" i="10"/>
  <c r="V33" i="10"/>
  <c r="V29" i="10"/>
  <c r="V25" i="10"/>
  <c r="T18" i="10"/>
  <c r="V22" i="10"/>
  <c r="V20" i="10"/>
  <c r="V16" i="10"/>
  <c r="V34" i="10"/>
  <c r="V31" i="10"/>
  <c r="V27" i="10"/>
  <c r="V24" i="10"/>
  <c r="V21" i="10"/>
  <c r="V18" i="10"/>
  <c r="N25" i="10"/>
  <c r="L25" i="10"/>
  <c r="Z27" i="12"/>
  <c r="Z34" i="12"/>
  <c r="N37" i="12"/>
  <c r="L37" i="12"/>
  <c r="X49" i="12"/>
  <c r="Z49" i="12" s="1"/>
  <c r="Z53" i="12"/>
  <c r="N55" i="12"/>
  <c r="F100" i="12"/>
  <c r="Z171" i="12"/>
  <c r="N173" i="12"/>
  <c r="Z191" i="12"/>
  <c r="Z16" i="15"/>
  <c r="Z23" i="15"/>
  <c r="N30" i="15"/>
  <c r="L34" i="15"/>
  <c r="N34" i="15" s="1"/>
  <c r="X46" i="15"/>
  <c r="Z46" i="15" s="1"/>
  <c r="Z50" i="15"/>
  <c r="N52" i="15"/>
  <c r="F184" i="12"/>
  <c r="X22" i="15"/>
  <c r="Z22" i="15" s="1"/>
  <c r="L135" i="15"/>
  <c r="N135" i="15" s="1"/>
  <c r="X90" i="3"/>
  <c r="L94" i="3"/>
  <c r="N94" i="3" s="1"/>
  <c r="X98" i="3"/>
  <c r="F18" i="4"/>
  <c r="J22" i="4"/>
  <c r="R24" i="4"/>
  <c r="L12" i="5"/>
  <c r="F15" i="5"/>
  <c r="V15" i="5"/>
  <c r="D18" i="5"/>
  <c r="T18" i="5"/>
  <c r="F25" i="5"/>
  <c r="V25" i="5"/>
  <c r="F29" i="5"/>
  <c r="V29" i="5"/>
  <c r="F33" i="5"/>
  <c r="V33" i="5"/>
  <c r="F36" i="5"/>
  <c r="V36" i="5"/>
  <c r="L12" i="6"/>
  <c r="J15" i="7"/>
  <c r="H18" i="7"/>
  <c r="F21" i="7"/>
  <c r="V21" i="7"/>
  <c r="J25" i="7"/>
  <c r="R27" i="7"/>
  <c r="J29" i="7"/>
  <c r="R31" i="7"/>
  <c r="J33" i="7"/>
  <c r="R34" i="7"/>
  <c r="J36" i="7"/>
  <c r="N12" i="8"/>
  <c r="F18" i="8"/>
  <c r="J22" i="8"/>
  <c r="R24" i="8"/>
  <c r="P27" i="8"/>
  <c r="J14" i="9"/>
  <c r="R16" i="9"/>
  <c r="J18" i="9"/>
  <c r="J20" i="9"/>
  <c r="F21" i="9"/>
  <c r="R25" i="9"/>
  <c r="J28" i="9"/>
  <c r="F29" i="9"/>
  <c r="J32" i="9"/>
  <c r="F33" i="9"/>
  <c r="R37" i="9"/>
  <c r="J38" i="9"/>
  <c r="F41" i="9"/>
  <c r="R42" i="9"/>
  <c r="F44" i="9"/>
  <c r="R45" i="9"/>
  <c r="J46" i="9"/>
  <c r="F49" i="9"/>
  <c r="R50" i="9"/>
  <c r="F52" i="9"/>
  <c r="R53" i="9"/>
  <c r="J60" i="9"/>
  <c r="F61" i="9"/>
  <c r="J64" i="9"/>
  <c r="F65" i="9"/>
  <c r="F69" i="9"/>
  <c r="R70" i="9"/>
  <c r="F72" i="9"/>
  <c r="R73" i="9"/>
  <c r="J76" i="9"/>
  <c r="F77" i="9"/>
  <c r="J80" i="9"/>
  <c r="X87" i="9"/>
  <c r="L12" i="12"/>
  <c r="N14" i="12"/>
  <c r="X18" i="12"/>
  <c r="P12" i="12"/>
  <c r="Z19" i="12"/>
  <c r="N29" i="12"/>
  <c r="L29" i="12"/>
  <c r="X41" i="12"/>
  <c r="Z41" i="12" s="1"/>
  <c r="Z68" i="12"/>
  <c r="N70" i="12"/>
  <c r="Z75" i="12"/>
  <c r="N82" i="12"/>
  <c r="D126" i="12"/>
  <c r="X208" i="12"/>
  <c r="Z208" i="12" s="1"/>
  <c r="Z15" i="15"/>
  <c r="N26" i="15"/>
  <c r="L26" i="15"/>
  <c r="Z38" i="15"/>
  <c r="X38" i="15"/>
  <c r="Z65" i="15"/>
  <c r="N67" i="15"/>
  <c r="Z72" i="15"/>
  <c r="L209" i="15"/>
  <c r="N209" i="15" s="1"/>
  <c r="F224" i="12"/>
  <c r="F207" i="12"/>
  <c r="F183" i="12"/>
  <c r="F178" i="12"/>
  <c r="F166" i="12"/>
  <c r="F163" i="12"/>
  <c r="F154" i="12"/>
  <c r="F151" i="12"/>
  <c r="F143" i="12"/>
  <c r="F139" i="12"/>
  <c r="F131" i="12"/>
  <c r="F123" i="12"/>
  <c r="F115" i="12"/>
  <c r="F107" i="12"/>
  <c r="F99" i="12"/>
  <c r="F91" i="12"/>
  <c r="F83" i="12"/>
  <c r="F228" i="12"/>
  <c r="F217" i="12"/>
  <c r="F213" i="12"/>
  <c r="F210" i="12"/>
  <c r="F206" i="12"/>
  <c r="F197" i="12"/>
  <c r="F174" i="12"/>
  <c r="F169" i="12"/>
  <c r="F157" i="12"/>
  <c r="F142" i="12"/>
  <c r="F138" i="12"/>
  <c r="F130" i="12"/>
  <c r="F122" i="12"/>
  <c r="F114" i="12"/>
  <c r="F106" i="12"/>
  <c r="F98" i="12"/>
  <c r="F90" i="12"/>
  <c r="F222" i="12"/>
  <c r="F209" i="12"/>
  <c r="F205" i="12"/>
  <c r="F200" i="12"/>
  <c r="F180" i="12"/>
  <c r="F177" i="12"/>
  <c r="F165" i="12"/>
  <c r="F160" i="12"/>
  <c r="F153" i="12"/>
  <c r="F148" i="12"/>
  <c r="F141" i="12"/>
  <c r="F137" i="12"/>
  <c r="F128" i="12"/>
  <c r="F121" i="12"/>
  <c r="F113" i="12"/>
  <c r="F105" i="12"/>
  <c r="F97" i="12"/>
  <c r="F89" i="12"/>
  <c r="F216" i="12"/>
  <c r="F212" i="12"/>
  <c r="F204" i="12"/>
  <c r="F196" i="12"/>
  <c r="F191" i="12"/>
  <c r="F187" i="12"/>
  <c r="F176" i="12"/>
  <c r="F171" i="12"/>
  <c r="F168" i="12"/>
  <c r="F156" i="12"/>
  <c r="F136" i="12"/>
  <c r="F120" i="12"/>
  <c r="F112" i="12"/>
  <c r="F104" i="12"/>
  <c r="F96" i="12"/>
  <c r="F88" i="12"/>
  <c r="F220" i="12"/>
  <c r="F215" i="12"/>
  <c r="F203" i="12"/>
  <c r="F199" i="12"/>
  <c r="F195" i="12"/>
  <c r="F182" i="12"/>
  <c r="F179" i="12"/>
  <c r="F167" i="12"/>
  <c r="F162" i="12"/>
  <c r="F159" i="12"/>
  <c r="F155" i="12"/>
  <c r="F150" i="12"/>
  <c r="F147" i="12"/>
  <c r="F135" i="12"/>
  <c r="F119" i="12"/>
  <c r="F111" i="12"/>
  <c r="F103" i="12"/>
  <c r="F95" i="12"/>
  <c r="F87" i="12"/>
  <c r="F82" i="12"/>
  <c r="F223" i="12"/>
  <c r="F218" i="12"/>
  <c r="F214" i="12"/>
  <c r="F202" i="12"/>
  <c r="F198" i="12"/>
  <c r="F194" i="12"/>
  <c r="F190" i="12"/>
  <c r="F186" i="12"/>
  <c r="F173" i="12"/>
  <c r="F170" i="12"/>
  <c r="F158" i="12"/>
  <c r="F146" i="12"/>
  <c r="F134" i="12"/>
  <c r="F129" i="12"/>
  <c r="F118" i="12"/>
  <c r="F110" i="12"/>
  <c r="F102" i="12"/>
  <c r="F94" i="12"/>
  <c r="F86" i="12"/>
  <c r="F208" i="12"/>
  <c r="F201" i="12"/>
  <c r="F193" i="12"/>
  <c r="F189" i="12"/>
  <c r="F185" i="12"/>
  <c r="F181" i="12"/>
  <c r="F164" i="12"/>
  <c r="F161" i="12"/>
  <c r="F152" i="12"/>
  <c r="F149" i="12"/>
  <c r="F145" i="12"/>
  <c r="F140" i="12"/>
  <c r="F133" i="12"/>
  <c r="F126" i="12"/>
  <c r="F117" i="12"/>
  <c r="F109" i="12"/>
  <c r="F101" i="12"/>
  <c r="F93" i="12"/>
  <c r="F85" i="12"/>
  <c r="R220" i="15"/>
  <c r="R215" i="15"/>
  <c r="R208" i="15"/>
  <c r="R204" i="15"/>
  <c r="R216" i="15"/>
  <c r="R209" i="15"/>
  <c r="R205" i="15"/>
  <c r="R214" i="15"/>
  <c r="R203" i="15"/>
  <c r="R196" i="15"/>
  <c r="R188" i="15"/>
  <c r="R172" i="15"/>
  <c r="R160" i="15"/>
  <c r="R157" i="15"/>
  <c r="R148" i="15"/>
  <c r="R145" i="15"/>
  <c r="R136" i="15"/>
  <c r="R132" i="15"/>
  <c r="R116" i="15"/>
  <c r="R108" i="15"/>
  <c r="R100" i="15"/>
  <c r="R92" i="15"/>
  <c r="R84" i="15"/>
  <c r="X12" i="15"/>
  <c r="R206" i="15"/>
  <c r="R200" i="15"/>
  <c r="R195" i="15"/>
  <c r="R191" i="15"/>
  <c r="R187" i="15"/>
  <c r="R183" i="15"/>
  <c r="R179" i="15"/>
  <c r="R168" i="15"/>
  <c r="R163" i="15"/>
  <c r="R151" i="15"/>
  <c r="R131" i="15"/>
  <c r="R124" i="15"/>
  <c r="R115" i="15"/>
  <c r="R107" i="15"/>
  <c r="R99" i="15"/>
  <c r="R91" i="15"/>
  <c r="R83" i="15"/>
  <c r="R213" i="15"/>
  <c r="R207" i="15"/>
  <c r="R194" i="15"/>
  <c r="R190" i="15"/>
  <c r="R186" i="15"/>
  <c r="R182" i="15"/>
  <c r="R178" i="15"/>
  <c r="R174" i="15"/>
  <c r="R171" i="15"/>
  <c r="R162" i="15"/>
  <c r="R159" i="15"/>
  <c r="R154" i="15"/>
  <c r="R150" i="15"/>
  <c r="R147" i="15"/>
  <c r="R142" i="15"/>
  <c r="R135" i="15"/>
  <c r="R130" i="15"/>
  <c r="R121" i="15"/>
  <c r="R114" i="15"/>
  <c r="R106" i="15"/>
  <c r="R98" i="15"/>
  <c r="R90" i="15"/>
  <c r="R82" i="15"/>
  <c r="R193" i="15"/>
  <c r="R185" i="15"/>
  <c r="R181" i="15"/>
  <c r="R177" i="15"/>
  <c r="R165" i="15"/>
  <c r="R153" i="15"/>
  <c r="R141" i="15"/>
  <c r="R129" i="15"/>
  <c r="P121" i="15"/>
  <c r="R113" i="15"/>
  <c r="R105" i="15"/>
  <c r="R97" i="15"/>
  <c r="R89" i="15"/>
  <c r="R81" i="15"/>
  <c r="R189" i="15"/>
  <c r="R176" i="15"/>
  <c r="R173" i="15"/>
  <c r="R161" i="15"/>
  <c r="R156" i="15"/>
  <c r="R149" i="15"/>
  <c r="R144" i="15"/>
  <c r="R140" i="15"/>
  <c r="R128" i="15"/>
  <c r="R112" i="15"/>
  <c r="R104" i="15"/>
  <c r="R96" i="15"/>
  <c r="R88" i="15"/>
  <c r="R80" i="15"/>
  <c r="R210" i="15"/>
  <c r="R199" i="15"/>
  <c r="R192" i="15"/>
  <c r="R184" i="15"/>
  <c r="R180" i="15"/>
  <c r="R167" i="15"/>
  <c r="R164" i="15"/>
  <c r="R152" i="15"/>
  <c r="R139" i="15"/>
  <c r="R127" i="15"/>
  <c r="R119" i="15"/>
  <c r="R111" i="15"/>
  <c r="R103" i="15"/>
  <c r="R95" i="15"/>
  <c r="R87" i="15"/>
  <c r="R198" i="15"/>
  <c r="R175" i="15"/>
  <c r="R170" i="15"/>
  <c r="R158" i="15"/>
  <c r="R155" i="15"/>
  <c r="R146" i="15"/>
  <c r="R143" i="15"/>
  <c r="R138" i="15"/>
  <c r="R134" i="15"/>
  <c r="R126" i="15"/>
  <c r="R123" i="15"/>
  <c r="R118" i="15"/>
  <c r="R110" i="15"/>
  <c r="R102" i="15"/>
  <c r="R94" i="15"/>
  <c r="R86" i="15"/>
  <c r="R79" i="15"/>
  <c r="R93" i="15"/>
  <c r="P251" i="3"/>
  <c r="X251" i="3" s="1"/>
  <c r="J15" i="4"/>
  <c r="H18" i="4"/>
  <c r="J25" i="4"/>
  <c r="R27" i="4"/>
  <c r="J29" i="4"/>
  <c r="R31" i="4"/>
  <c r="J33" i="4"/>
  <c r="N12" i="5"/>
  <c r="N12" i="6"/>
  <c r="J14" i="6"/>
  <c r="J18" i="6"/>
  <c r="J22" i="6"/>
  <c r="J28" i="6"/>
  <c r="R16" i="7"/>
  <c r="J15" i="8"/>
  <c r="H18" i="8"/>
  <c r="J25" i="8"/>
  <c r="R27" i="8"/>
  <c r="J29" i="8"/>
  <c r="R31" i="8"/>
  <c r="J33" i="8"/>
  <c r="R96" i="9"/>
  <c r="R89" i="9"/>
  <c r="R84" i="9"/>
  <c r="D16" i="9"/>
  <c r="R19" i="9"/>
  <c r="J21" i="9"/>
  <c r="F22" i="9"/>
  <c r="R26" i="9"/>
  <c r="J29" i="9"/>
  <c r="F30" i="9"/>
  <c r="R31" i="9"/>
  <c r="J33" i="9"/>
  <c r="F34" i="9"/>
  <c r="J41" i="9"/>
  <c r="J49" i="9"/>
  <c r="R54" i="9"/>
  <c r="J55" i="9"/>
  <c r="F58" i="9"/>
  <c r="R59" i="9"/>
  <c r="J61" i="9"/>
  <c r="F62" i="9"/>
  <c r="R63" i="9"/>
  <c r="J65" i="9"/>
  <c r="F66" i="9"/>
  <c r="J69" i="9"/>
  <c r="R74" i="9"/>
  <c r="J77" i="9"/>
  <c r="R82" i="9"/>
  <c r="J83" i="9"/>
  <c r="R87" i="9"/>
  <c r="J96" i="9"/>
  <c r="Z18" i="12"/>
  <c r="L21" i="12"/>
  <c r="N21" i="12" s="1"/>
  <c r="Z33" i="12"/>
  <c r="X33" i="12"/>
  <c r="L77" i="12"/>
  <c r="N77" i="12" s="1"/>
  <c r="F92" i="12"/>
  <c r="F172" i="12"/>
  <c r="F192" i="12"/>
  <c r="N224" i="12"/>
  <c r="L224" i="12"/>
  <c r="N16" i="13"/>
  <c r="L16" i="13"/>
  <c r="H12" i="15"/>
  <c r="L18" i="15"/>
  <c r="N18" i="15" s="1"/>
  <c r="X30" i="15"/>
  <c r="Z30" i="15" s="1"/>
  <c r="L74" i="15"/>
  <c r="N74" i="15" s="1"/>
  <c r="R133" i="15"/>
  <c r="R201" i="15"/>
  <c r="R212" i="15"/>
  <c r="J25" i="10"/>
  <c r="R27" i="10"/>
  <c r="J29" i="10"/>
  <c r="R31" i="10"/>
  <c r="J33" i="10"/>
  <c r="R34" i="10"/>
  <c r="J36" i="10"/>
  <c r="N12" i="11"/>
  <c r="V18" i="11"/>
  <c r="J22" i="11"/>
  <c r="R24" i="11"/>
  <c r="J16" i="13"/>
  <c r="J20" i="13"/>
  <c r="J27" i="14"/>
  <c r="J31" i="14"/>
  <c r="J34" i="14"/>
  <c r="Z32" i="18"/>
  <c r="Z40" i="18"/>
  <c r="N52" i="18"/>
  <c r="Z73" i="18"/>
  <c r="Z80" i="18"/>
  <c r="Z166" i="18"/>
  <c r="N235" i="18"/>
  <c r="N23" i="21"/>
  <c r="Z29" i="21"/>
  <c r="R16" i="10"/>
  <c r="R20" i="10"/>
  <c r="D27" i="10"/>
  <c r="J15" i="11"/>
  <c r="H18" i="11"/>
  <c r="J25" i="11"/>
  <c r="R27" i="11"/>
  <c r="J29" i="11"/>
  <c r="R31" i="11"/>
  <c r="J33" i="11"/>
  <c r="R34" i="11"/>
  <c r="J36" i="11"/>
  <c r="D220" i="12"/>
  <c r="T220" i="12"/>
  <c r="T18" i="13"/>
  <c r="J16" i="14"/>
  <c r="J20" i="14"/>
  <c r="F22" i="14"/>
  <c r="D212" i="15"/>
  <c r="L212" i="15" s="1"/>
  <c r="L213" i="15"/>
  <c r="J238" i="18"/>
  <c r="J230" i="18"/>
  <c r="J218" i="18"/>
  <c r="J214" i="18"/>
  <c r="J210" i="18"/>
  <c r="J206" i="18"/>
  <c r="J202" i="18"/>
  <c r="J186" i="18"/>
  <c r="J180" i="18"/>
  <c r="J174" i="18"/>
  <c r="J168" i="18"/>
  <c r="J154" i="18"/>
  <c r="J138" i="18"/>
  <c r="J130" i="18"/>
  <c r="J122" i="18"/>
  <c r="J114" i="18"/>
  <c r="J106" i="18"/>
  <c r="J98" i="18"/>
  <c r="J241" i="18"/>
  <c r="J233" i="18"/>
  <c r="J229" i="18"/>
  <c r="J223" i="18"/>
  <c r="J217" i="18"/>
  <c r="J213" i="18"/>
  <c r="J209" i="18"/>
  <c r="J205" i="18"/>
  <c r="J201" i="18"/>
  <c r="J197" i="18"/>
  <c r="J191" i="18"/>
  <c r="J185" i="18"/>
  <c r="J177" i="18"/>
  <c r="J173" i="18"/>
  <c r="J165" i="18"/>
  <c r="J153" i="18"/>
  <c r="J147" i="18"/>
  <c r="J137" i="18"/>
  <c r="J129" i="18"/>
  <c r="J121" i="18"/>
  <c r="J113" i="18"/>
  <c r="J105" i="18"/>
  <c r="J97" i="18"/>
  <c r="J236" i="18"/>
  <c r="J226" i="18"/>
  <c r="J216" i="18"/>
  <c r="J208" i="18"/>
  <c r="J204" i="18"/>
  <c r="J200" i="18"/>
  <c r="J194" i="18"/>
  <c r="J188" i="18"/>
  <c r="J182" i="18"/>
  <c r="J176" i="18"/>
  <c r="J170" i="18"/>
  <c r="J164" i="18"/>
  <c r="J158" i="18"/>
  <c r="J152" i="18"/>
  <c r="J136" i="18"/>
  <c r="J128" i="18"/>
  <c r="J120" i="18"/>
  <c r="J112" i="18"/>
  <c r="J104" i="18"/>
  <c r="J96" i="18"/>
  <c r="J245" i="18"/>
  <c r="J239" i="18"/>
  <c r="J199" i="18"/>
  <c r="J179" i="18"/>
  <c r="J167" i="18"/>
  <c r="J163" i="18"/>
  <c r="J151" i="18"/>
  <c r="H144" i="18"/>
  <c r="J144" i="18" s="1"/>
  <c r="J135" i="18"/>
  <c r="J127" i="18"/>
  <c r="J119" i="18"/>
  <c r="J111" i="18"/>
  <c r="J103" i="18"/>
  <c r="J95" i="18"/>
  <c r="J232" i="18"/>
  <c r="J228" i="18"/>
  <c r="J222" i="18"/>
  <c r="J212" i="18"/>
  <c r="J196" i="18"/>
  <c r="J190" i="18"/>
  <c r="J184" i="18"/>
  <c r="J172" i="18"/>
  <c r="J162" i="18"/>
  <c r="J150" i="18"/>
  <c r="J142" i="18"/>
  <c r="J134" i="18"/>
  <c r="J126" i="18"/>
  <c r="J118" i="18"/>
  <c r="J110" i="18"/>
  <c r="J102" i="18"/>
  <c r="J94" i="18"/>
  <c r="J237" i="18"/>
  <c r="J225" i="18"/>
  <c r="J221" i="18"/>
  <c r="J215" i="18"/>
  <c r="J207" i="18"/>
  <c r="J203" i="18"/>
  <c r="J193" i="18"/>
  <c r="J187" i="18"/>
  <c r="J181" i="18"/>
  <c r="J175" i="18"/>
  <c r="J169" i="18"/>
  <c r="J161" i="18"/>
  <c r="J157" i="18"/>
  <c r="J149" i="18"/>
  <c r="J141" i="18"/>
  <c r="J133" i="18"/>
  <c r="J125" i="18"/>
  <c r="J117" i="18"/>
  <c r="J109" i="18"/>
  <c r="J101" i="18"/>
  <c r="J240" i="18"/>
  <c r="J224" i="18"/>
  <c r="J220" i="18"/>
  <c r="J198" i="18"/>
  <c r="J192" i="18"/>
  <c r="J178" i="18"/>
  <c r="J166" i="18"/>
  <c r="J160" i="18"/>
  <c r="J156" i="18"/>
  <c r="J148" i="18"/>
  <c r="J146" i="18"/>
  <c r="J140" i="18"/>
  <c r="J132" i="18"/>
  <c r="J124" i="18"/>
  <c r="J116" i="18"/>
  <c r="J108" i="18"/>
  <c r="J100" i="18"/>
  <c r="J235" i="18"/>
  <c r="J231" i="18"/>
  <c r="J227" i="18"/>
  <c r="J219" i="18"/>
  <c r="J211" i="18"/>
  <c r="J195" i="18"/>
  <c r="J189" i="18"/>
  <c r="J183" i="18"/>
  <c r="J171" i="18"/>
  <c r="J159" i="18"/>
  <c r="J155" i="18"/>
  <c r="J139" i="18"/>
  <c r="J131" i="18"/>
  <c r="J123" i="18"/>
  <c r="J115" i="18"/>
  <c r="J107" i="18"/>
  <c r="J99" i="18"/>
  <c r="J93" i="18"/>
  <c r="J21" i="10"/>
  <c r="F27" i="10"/>
  <c r="F31" i="10"/>
  <c r="F34" i="10"/>
  <c r="R16" i="11"/>
  <c r="J18" i="11"/>
  <c r="R20" i="11"/>
  <c r="F24" i="11"/>
  <c r="V24" i="11"/>
  <c r="T12" i="12"/>
  <c r="X173" i="12"/>
  <c r="Z173" i="12" s="1"/>
  <c r="L175" i="12"/>
  <c r="N175" i="12" s="1"/>
  <c r="N12" i="13"/>
  <c r="J22" i="13"/>
  <c r="R24" i="13"/>
  <c r="L12" i="14"/>
  <c r="F15" i="14"/>
  <c r="L16" i="14"/>
  <c r="D18" i="14"/>
  <c r="T18" i="14"/>
  <c r="L20" i="14"/>
  <c r="X22" i="14"/>
  <c r="F25" i="14"/>
  <c r="V25" i="14"/>
  <c r="F29" i="14"/>
  <c r="V29" i="14"/>
  <c r="F33" i="14"/>
  <c r="V33" i="14"/>
  <c r="F36" i="14"/>
  <c r="V36" i="14"/>
  <c r="L124" i="15"/>
  <c r="N124" i="15" s="1"/>
  <c r="N213" i="15"/>
  <c r="H212" i="15"/>
  <c r="F22" i="17"/>
  <c r="F20" i="17"/>
  <c r="F16" i="17"/>
  <c r="F34" i="17"/>
  <c r="F31" i="17"/>
  <c r="F27" i="17"/>
  <c r="F24" i="17"/>
  <c r="F21" i="17"/>
  <c r="F18" i="17"/>
  <c r="F36" i="17"/>
  <c r="F33" i="17"/>
  <c r="F29" i="17"/>
  <c r="F25" i="17"/>
  <c r="D18" i="17"/>
  <c r="F15" i="17"/>
  <c r="L12" i="17"/>
  <c r="R22" i="10"/>
  <c r="J24" i="10"/>
  <c r="X12" i="11"/>
  <c r="J21" i="11"/>
  <c r="F27" i="11"/>
  <c r="V27" i="11"/>
  <c r="F31" i="11"/>
  <c r="V31" i="11"/>
  <c r="F34" i="11"/>
  <c r="V34" i="11"/>
  <c r="H220" i="12"/>
  <c r="J15" i="13"/>
  <c r="H18" i="13"/>
  <c r="V21" i="13"/>
  <c r="J25" i="13"/>
  <c r="R27" i="13"/>
  <c r="J29" i="13"/>
  <c r="R31" i="13"/>
  <c r="J33" i="13"/>
  <c r="R34" i="13"/>
  <c r="J36" i="13"/>
  <c r="N12" i="14"/>
  <c r="F18" i="14"/>
  <c r="J22" i="14"/>
  <c r="R24" i="14"/>
  <c r="L205" i="15"/>
  <c r="N214" i="15"/>
  <c r="X215" i="15"/>
  <c r="L12" i="16"/>
  <c r="J34" i="16"/>
  <c r="J31" i="16"/>
  <c r="J27" i="16"/>
  <c r="J24" i="16"/>
  <c r="J21" i="16"/>
  <c r="J18" i="16"/>
  <c r="J36" i="16"/>
  <c r="J33" i="16"/>
  <c r="J29" i="16"/>
  <c r="J25" i="16"/>
  <c r="H18" i="16"/>
  <c r="J15" i="16"/>
  <c r="J22" i="16"/>
  <c r="N12" i="16"/>
  <c r="T18" i="16"/>
  <c r="Z15" i="16"/>
  <c r="X25" i="16"/>
  <c r="X29" i="16"/>
  <c r="X33" i="16"/>
  <c r="V240" i="18"/>
  <c r="V222" i="18"/>
  <c r="V198" i="18"/>
  <c r="V190" i="18"/>
  <c r="V178" i="18"/>
  <c r="V166" i="18"/>
  <c r="V162" i="18"/>
  <c r="V150" i="18"/>
  <c r="V146" i="18"/>
  <c r="V142" i="18"/>
  <c r="V134" i="18"/>
  <c r="V126" i="18"/>
  <c r="V118" i="18"/>
  <c r="V110" i="18"/>
  <c r="V102" i="18"/>
  <c r="V94" i="18"/>
  <c r="V235" i="18"/>
  <c r="V225" i="18"/>
  <c r="V221" i="18"/>
  <c r="V193" i="18"/>
  <c r="V189" i="18"/>
  <c r="V181" i="18"/>
  <c r="V169" i="18"/>
  <c r="V161" i="18"/>
  <c r="V157" i="18"/>
  <c r="V149" i="18"/>
  <c r="V141" i="18"/>
  <c r="V133" i="18"/>
  <c r="V125" i="18"/>
  <c r="V117" i="18"/>
  <c r="V109" i="18"/>
  <c r="V101" i="18"/>
  <c r="V93" i="18"/>
  <c r="V238" i="18"/>
  <c r="V224" i="18"/>
  <c r="V220" i="18"/>
  <c r="V192" i="18"/>
  <c r="V180" i="18"/>
  <c r="V168" i="18"/>
  <c r="V160" i="18"/>
  <c r="V156" i="18"/>
  <c r="V148" i="18"/>
  <c r="V140" i="18"/>
  <c r="V132" i="18"/>
  <c r="V124" i="18"/>
  <c r="V116" i="18"/>
  <c r="V108" i="18"/>
  <c r="V100" i="18"/>
  <c r="V241" i="18"/>
  <c r="V231" i="18"/>
  <c r="V227" i="18"/>
  <c r="V223" i="18"/>
  <c r="V219" i="18"/>
  <c r="V211" i="18"/>
  <c r="V195" i="18"/>
  <c r="V191" i="18"/>
  <c r="V183" i="18"/>
  <c r="V171" i="18"/>
  <c r="V159" i="18"/>
  <c r="V155" i="18"/>
  <c r="V147" i="18"/>
  <c r="V139" i="18"/>
  <c r="V131" i="18"/>
  <c r="V123" i="18"/>
  <c r="V115" i="18"/>
  <c r="V107" i="18"/>
  <c r="V99" i="18"/>
  <c r="V236" i="18"/>
  <c r="V230" i="18"/>
  <c r="V226" i="18"/>
  <c r="V218" i="18"/>
  <c r="V214" i="18"/>
  <c r="V210" i="18"/>
  <c r="V206" i="18"/>
  <c r="V202" i="18"/>
  <c r="V194" i="18"/>
  <c r="V186" i="18"/>
  <c r="V182" i="18"/>
  <c r="V174" i="18"/>
  <c r="V170" i="18"/>
  <c r="V158" i="18"/>
  <c r="V154" i="18"/>
  <c r="V144" i="18"/>
  <c r="V138" i="18"/>
  <c r="V130" i="18"/>
  <c r="V122" i="18"/>
  <c r="V114" i="18"/>
  <c r="V106" i="18"/>
  <c r="V98" i="18"/>
  <c r="V239" i="18"/>
  <c r="V233" i="18"/>
  <c r="V229" i="18"/>
  <c r="V217" i="18"/>
  <c r="V213" i="18"/>
  <c r="V209" i="18"/>
  <c r="V205" i="18"/>
  <c r="V201" i="18"/>
  <c r="V197" i="18"/>
  <c r="V185" i="18"/>
  <c r="V177" i="18"/>
  <c r="V173" i="18"/>
  <c r="V165" i="18"/>
  <c r="V153" i="18"/>
  <c r="T144" i="18"/>
  <c r="V137" i="18"/>
  <c r="V129" i="18"/>
  <c r="V121" i="18"/>
  <c r="V113" i="18"/>
  <c r="V105" i="18"/>
  <c r="V97" i="18"/>
  <c r="V232" i="18"/>
  <c r="V228" i="18"/>
  <c r="V216" i="18"/>
  <c r="V212" i="18"/>
  <c r="V208" i="18"/>
  <c r="V204" i="18"/>
  <c r="V200" i="18"/>
  <c r="V196" i="18"/>
  <c r="V188" i="18"/>
  <c r="V184" i="18"/>
  <c r="V176" i="18"/>
  <c r="V172" i="18"/>
  <c r="V164" i="18"/>
  <c r="V152" i="18"/>
  <c r="V136" i="18"/>
  <c r="V128" i="18"/>
  <c r="V120" i="18"/>
  <c r="V112" i="18"/>
  <c r="V104" i="18"/>
  <c r="V96" i="18"/>
  <c r="V245" i="18"/>
  <c r="V237" i="18"/>
  <c r="V215" i="18"/>
  <c r="V207" i="18"/>
  <c r="V203" i="18"/>
  <c r="V199" i="18"/>
  <c r="V187" i="18"/>
  <c r="V179" i="18"/>
  <c r="V175" i="18"/>
  <c r="V167" i="18"/>
  <c r="V163" i="18"/>
  <c r="V151" i="18"/>
  <c r="V135" i="18"/>
  <c r="V127" i="18"/>
  <c r="V119" i="18"/>
  <c r="V111" i="18"/>
  <c r="V103" i="18"/>
  <c r="V95" i="18"/>
  <c r="N29" i="18"/>
  <c r="N37" i="18"/>
  <c r="N45" i="18"/>
  <c r="Z72" i="18"/>
  <c r="N85" i="18"/>
  <c r="N27" i="19"/>
  <c r="H31" i="19"/>
  <c r="F84" i="21"/>
  <c r="F75" i="21"/>
  <c r="F71" i="21"/>
  <c r="F67" i="21"/>
  <c r="F50" i="21"/>
  <c r="F47" i="21"/>
  <c r="F35" i="21"/>
  <c r="F30" i="21"/>
  <c r="F88" i="21"/>
  <c r="F82" i="21"/>
  <c r="F74" i="21"/>
  <c r="F70" i="21"/>
  <c r="F61" i="21"/>
  <c r="F58" i="21"/>
  <c r="F53" i="21"/>
  <c r="F34" i="21"/>
  <c r="F27" i="21"/>
  <c r="F69" i="21"/>
  <c r="F49" i="21"/>
  <c r="F44" i="21"/>
  <c r="F33" i="21"/>
  <c r="D27" i="21"/>
  <c r="F25" i="21"/>
  <c r="F79" i="21"/>
  <c r="F63" i="21"/>
  <c r="F60" i="21"/>
  <c r="F55" i="21"/>
  <c r="F52" i="21"/>
  <c r="F39" i="21"/>
  <c r="F32" i="21"/>
  <c r="F24" i="21"/>
  <c r="F66" i="21"/>
  <c r="F51" i="21"/>
  <c r="F46" i="21"/>
  <c r="F43" i="21"/>
  <c r="F31" i="21"/>
  <c r="F81" i="21"/>
  <c r="F78" i="21"/>
  <c r="F73" i="21"/>
  <c r="F62" i="21"/>
  <c r="F57" i="21"/>
  <c r="F54" i="21"/>
  <c r="F42" i="21"/>
  <c r="F38" i="21"/>
  <c r="F29" i="21"/>
  <c r="F77" i="21"/>
  <c r="F68" i="21"/>
  <c r="F65" i="21"/>
  <c r="F48" i="21"/>
  <c r="F45" i="21"/>
  <c r="F41" i="21"/>
  <c r="F37" i="21"/>
  <c r="F80" i="21"/>
  <c r="F76" i="21"/>
  <c r="F72" i="21"/>
  <c r="F64" i="21"/>
  <c r="F59" i="21"/>
  <c r="F56" i="21"/>
  <c r="F40" i="21"/>
  <c r="F36" i="21"/>
  <c r="F23" i="21"/>
  <c r="L12" i="21"/>
  <c r="V84" i="21"/>
  <c r="V78" i="21"/>
  <c r="V62" i="21"/>
  <c r="V54" i="21"/>
  <c r="V50" i="21"/>
  <c r="V42" i="21"/>
  <c r="V38" i="21"/>
  <c r="V30" i="21"/>
  <c r="V77" i="21"/>
  <c r="V65" i="21"/>
  <c r="V61" i="21"/>
  <c r="V53" i="21"/>
  <c r="V45" i="21"/>
  <c r="V41" i="21"/>
  <c r="V37" i="21"/>
  <c r="V80" i="21"/>
  <c r="V76" i="21"/>
  <c r="V72" i="21"/>
  <c r="V64" i="21"/>
  <c r="V56" i="21"/>
  <c r="V44" i="21"/>
  <c r="V40" i="21"/>
  <c r="V36" i="21"/>
  <c r="T27" i="21"/>
  <c r="V79" i="21"/>
  <c r="V75" i="21"/>
  <c r="V71" i="21"/>
  <c r="V67" i="21"/>
  <c r="V63" i="21"/>
  <c r="V55" i="21"/>
  <c r="V47" i="21"/>
  <c r="V39" i="21"/>
  <c r="V35" i="21"/>
  <c r="V88" i="21"/>
  <c r="V82" i="21"/>
  <c r="V74" i="21"/>
  <c r="V70" i="21"/>
  <c r="V66" i="21"/>
  <c r="V58" i="21"/>
  <c r="V46" i="21"/>
  <c r="V34" i="21"/>
  <c r="V81" i="21"/>
  <c r="V73" i="21"/>
  <c r="V69" i="21"/>
  <c r="V57" i="21"/>
  <c r="V49" i="21"/>
  <c r="V33" i="21"/>
  <c r="V29" i="21"/>
  <c r="V25" i="21"/>
  <c r="V68" i="21"/>
  <c r="V60" i="21"/>
  <c r="V52" i="21"/>
  <c r="V48" i="21"/>
  <c r="V32" i="21"/>
  <c r="V24" i="21"/>
  <c r="V59" i="21"/>
  <c r="V51" i="21"/>
  <c r="V43" i="21"/>
  <c r="V31" i="21"/>
  <c r="V23" i="21"/>
  <c r="Z81" i="21"/>
  <c r="R15" i="10"/>
  <c r="P18" i="10"/>
  <c r="R25" i="10"/>
  <c r="J27" i="10"/>
  <c r="R29" i="10"/>
  <c r="J31" i="10"/>
  <c r="R33" i="10"/>
  <c r="J34" i="10"/>
  <c r="R36" i="10"/>
  <c r="Z12" i="11"/>
  <c r="F16" i="11"/>
  <c r="V16" i="11"/>
  <c r="V20" i="11"/>
  <c r="R22" i="11"/>
  <c r="J24" i="11"/>
  <c r="R16" i="13"/>
  <c r="J18" i="13"/>
  <c r="R20" i="13"/>
  <c r="V24" i="13"/>
  <c r="J15" i="14"/>
  <c r="H18" i="14"/>
  <c r="F21" i="14"/>
  <c r="V21" i="14"/>
  <c r="J25" i="14"/>
  <c r="R27" i="14"/>
  <c r="J29" i="14"/>
  <c r="R31" i="14"/>
  <c r="J33" i="14"/>
  <c r="R34" i="14"/>
  <c r="J36" i="14"/>
  <c r="X180" i="15"/>
  <c r="Z180" i="15" s="1"/>
  <c r="X184" i="15"/>
  <c r="X192" i="15"/>
  <c r="Z192" i="15" s="1"/>
  <c r="X212" i="15"/>
  <c r="Z215" i="15"/>
  <c r="Z27" i="19"/>
  <c r="T31" i="19"/>
  <c r="J88" i="21"/>
  <c r="J82" i="21"/>
  <c r="J74" i="21"/>
  <c r="J70" i="21"/>
  <c r="J58" i="21"/>
  <c r="J44" i="21"/>
  <c r="J34" i="21"/>
  <c r="H27" i="21"/>
  <c r="J79" i="21"/>
  <c r="J69" i="21"/>
  <c r="J63" i="21"/>
  <c r="J55" i="21"/>
  <c r="J49" i="21"/>
  <c r="J39" i="21"/>
  <c r="J33" i="21"/>
  <c r="J25" i="21"/>
  <c r="J93" i="21"/>
  <c r="J86" i="21"/>
  <c r="J66" i="21"/>
  <c r="J60" i="21"/>
  <c r="J52" i="21"/>
  <c r="J46" i="21"/>
  <c r="J32" i="21"/>
  <c r="J24" i="21"/>
  <c r="J81" i="21"/>
  <c r="J73" i="21"/>
  <c r="J57" i="21"/>
  <c r="J51" i="21"/>
  <c r="J43" i="21"/>
  <c r="J31" i="21"/>
  <c r="J29" i="21"/>
  <c r="J78" i="21"/>
  <c r="J68" i="21"/>
  <c r="J62" i="21"/>
  <c r="J54" i="21"/>
  <c r="J48" i="21"/>
  <c r="J42" i="21"/>
  <c r="J38" i="21"/>
  <c r="J77" i="21"/>
  <c r="J65" i="21"/>
  <c r="J59" i="21"/>
  <c r="J45" i="21"/>
  <c r="J41" i="21"/>
  <c r="J37" i="21"/>
  <c r="J23" i="21"/>
  <c r="J90" i="21"/>
  <c r="J84" i="21"/>
  <c r="J80" i="21"/>
  <c r="J76" i="21"/>
  <c r="J72" i="21"/>
  <c r="J64" i="21"/>
  <c r="J56" i="21"/>
  <c r="J50" i="21"/>
  <c r="J40" i="21"/>
  <c r="J36" i="21"/>
  <c r="J30" i="21"/>
  <c r="N12" i="21"/>
  <c r="J75" i="21"/>
  <c r="J71" i="21"/>
  <c r="J67" i="21"/>
  <c r="J61" i="21"/>
  <c r="J53" i="21"/>
  <c r="J47" i="21"/>
  <c r="J35" i="21"/>
  <c r="J27" i="21"/>
  <c r="J16" i="10"/>
  <c r="R18" i="10"/>
  <c r="F22" i="10"/>
  <c r="R15" i="11"/>
  <c r="P18" i="11"/>
  <c r="R25" i="11"/>
  <c r="J27" i="11"/>
  <c r="R29" i="11"/>
  <c r="J31" i="11"/>
  <c r="R33" i="11"/>
  <c r="J34" i="11"/>
  <c r="R36" i="11"/>
  <c r="X12" i="13"/>
  <c r="J21" i="13"/>
  <c r="V27" i="13"/>
  <c r="V31" i="13"/>
  <c r="R16" i="14"/>
  <c r="J18" i="14"/>
  <c r="F24" i="14"/>
  <c r="V24" i="14"/>
  <c r="Z213" i="15"/>
  <c r="T212" i="15"/>
  <c r="Z25" i="18"/>
  <c r="N28" i="18"/>
  <c r="Z33" i="18"/>
  <c r="N36" i="18"/>
  <c r="Z41" i="18"/>
  <c r="Z146" i="18"/>
  <c r="Z57" i="21"/>
  <c r="N59" i="21"/>
  <c r="Z73" i="21"/>
  <c r="F25" i="10"/>
  <c r="F29" i="10"/>
  <c r="F33" i="10"/>
  <c r="J16" i="11"/>
  <c r="F27" i="14"/>
  <c r="V27" i="14"/>
  <c r="F31" i="14"/>
  <c r="V31" i="14"/>
  <c r="D18" i="16"/>
  <c r="L15" i="16"/>
  <c r="N84" i="18"/>
  <c r="Z88" i="18"/>
  <c r="N215" i="18"/>
  <c r="Z223" i="18"/>
  <c r="N29" i="21"/>
  <c r="N27" i="23"/>
  <c r="H31" i="23"/>
  <c r="F18" i="16"/>
  <c r="V18" i="16"/>
  <c r="R24" i="16"/>
  <c r="V15" i="17"/>
  <c r="T18" i="17"/>
  <c r="R21" i="17"/>
  <c r="V25" i="17"/>
  <c r="V29" i="17"/>
  <c r="V33" i="17"/>
  <c r="V36" i="17"/>
  <c r="L12" i="18"/>
  <c r="N12" i="18" s="1"/>
  <c r="Z15" i="18"/>
  <c r="N19" i="18"/>
  <c r="Z23" i="18"/>
  <c r="N27" i="18"/>
  <c r="Z31" i="18"/>
  <c r="N35" i="18"/>
  <c r="Z39" i="18"/>
  <c r="N43" i="18"/>
  <c r="Z47" i="18"/>
  <c r="N51" i="18"/>
  <c r="Z55" i="18"/>
  <c r="N59" i="18"/>
  <c r="Z63" i="18"/>
  <c r="N67" i="18"/>
  <c r="Z71" i="18"/>
  <c r="N75" i="18"/>
  <c r="Z79" i="18"/>
  <c r="N83" i="18"/>
  <c r="Z87" i="18"/>
  <c r="N91" i="18"/>
  <c r="F100" i="18"/>
  <c r="F108" i="18"/>
  <c r="F116" i="18"/>
  <c r="F124" i="18"/>
  <c r="F132" i="18"/>
  <c r="F140" i="18"/>
  <c r="F148" i="18"/>
  <c r="F156" i="18"/>
  <c r="F160" i="18"/>
  <c r="F175" i="18"/>
  <c r="F187" i="18"/>
  <c r="F192" i="18"/>
  <c r="F203" i="18"/>
  <c r="F207" i="18"/>
  <c r="F215" i="18"/>
  <c r="F220" i="18"/>
  <c r="F224" i="18"/>
  <c r="F237" i="18"/>
  <c r="N12" i="19"/>
  <c r="F18" i="19"/>
  <c r="V18" i="19"/>
  <c r="J22" i="19"/>
  <c r="R24" i="19"/>
  <c r="L12" i="20"/>
  <c r="F15" i="20"/>
  <c r="V15" i="20"/>
  <c r="D18" i="20"/>
  <c r="T18" i="20"/>
  <c r="R21" i="20"/>
  <c r="F25" i="20"/>
  <c r="V25" i="20"/>
  <c r="F29" i="20"/>
  <c r="V29" i="20"/>
  <c r="F33" i="20"/>
  <c r="V33" i="20"/>
  <c r="F36" i="20"/>
  <c r="V36" i="20"/>
  <c r="X84" i="21"/>
  <c r="R15" i="22"/>
  <c r="X16" i="22"/>
  <c r="P18" i="22"/>
  <c r="X20" i="22"/>
  <c r="L24" i="22"/>
  <c r="R25" i="22"/>
  <c r="J27" i="22"/>
  <c r="R29" i="22"/>
  <c r="J31" i="22"/>
  <c r="R33" i="22"/>
  <c r="J34" i="22"/>
  <c r="Z12" i="23"/>
  <c r="Z19" i="24"/>
  <c r="Z27" i="24"/>
  <c r="N44" i="24"/>
  <c r="Z57" i="24"/>
  <c r="N65" i="24"/>
  <c r="N14" i="27"/>
  <c r="Z26" i="27"/>
  <c r="N15" i="30"/>
  <c r="Z20" i="30"/>
  <c r="N23" i="30"/>
  <c r="Z34" i="30"/>
  <c r="N46" i="30"/>
  <c r="N117" i="30"/>
  <c r="F21" i="16"/>
  <c r="V21" i="16"/>
  <c r="L22" i="16"/>
  <c r="R27" i="16"/>
  <c r="R31" i="16"/>
  <c r="R34" i="16"/>
  <c r="N12" i="17"/>
  <c r="X15" i="17"/>
  <c r="V18" i="17"/>
  <c r="J22" i="17"/>
  <c r="X25" i="17"/>
  <c r="X29" i="17"/>
  <c r="X33" i="17"/>
  <c r="L93" i="18"/>
  <c r="N93" i="18" s="1"/>
  <c r="F101" i="18"/>
  <c r="F109" i="18"/>
  <c r="F117" i="18"/>
  <c r="F125" i="18"/>
  <c r="F133" i="18"/>
  <c r="F141" i="18"/>
  <c r="F149" i="18"/>
  <c r="F157" i="18"/>
  <c r="F161" i="18"/>
  <c r="F169" i="18"/>
  <c r="F172" i="18"/>
  <c r="F181" i="18"/>
  <c r="F184" i="18"/>
  <c r="F193" i="18"/>
  <c r="F196" i="18"/>
  <c r="F212" i="18"/>
  <c r="F221" i="18"/>
  <c r="F225" i="18"/>
  <c r="F228" i="18"/>
  <c r="F232" i="18"/>
  <c r="R27" i="19"/>
  <c r="R31" i="19"/>
  <c r="R34" i="19"/>
  <c r="J36" i="19"/>
  <c r="J22" i="20"/>
  <c r="L53" i="21"/>
  <c r="N53" i="21" s="1"/>
  <c r="X59" i="21"/>
  <c r="Z59" i="21" s="1"/>
  <c r="J16" i="22"/>
  <c r="J20" i="22"/>
  <c r="V22" i="22"/>
  <c r="R16" i="23"/>
  <c r="V24" i="23"/>
  <c r="F37" i="24"/>
  <c r="R105" i="27"/>
  <c r="R96" i="27"/>
  <c r="R92" i="27"/>
  <c r="R89" i="27"/>
  <c r="R72" i="27"/>
  <c r="R68" i="27"/>
  <c r="R52" i="27"/>
  <c r="R44" i="27"/>
  <c r="X12" i="27"/>
  <c r="R110" i="27"/>
  <c r="R95" i="27"/>
  <c r="R83" i="27"/>
  <c r="R80" i="27"/>
  <c r="R71" i="27"/>
  <c r="R67" i="27"/>
  <c r="R60" i="27"/>
  <c r="R51" i="27"/>
  <c r="R43" i="27"/>
  <c r="R98" i="27"/>
  <c r="R94" i="27"/>
  <c r="R91" i="27"/>
  <c r="R66" i="27"/>
  <c r="R50" i="27"/>
  <c r="R42" i="27"/>
  <c r="R108" i="27"/>
  <c r="R101" i="27"/>
  <c r="R85" i="27"/>
  <c r="R82" i="27"/>
  <c r="R77" i="27"/>
  <c r="R70" i="27"/>
  <c r="R65" i="27"/>
  <c r="P57" i="27"/>
  <c r="R49" i="27"/>
  <c r="R41" i="27"/>
  <c r="R111" i="27"/>
  <c r="R104" i="27"/>
  <c r="R100" i="27"/>
  <c r="R97" i="27"/>
  <c r="R93" i="27"/>
  <c r="R88" i="27"/>
  <c r="R76" i="27"/>
  <c r="R64" i="27"/>
  <c r="R48" i="27"/>
  <c r="R40" i="27"/>
  <c r="R103" i="27"/>
  <c r="R87" i="27"/>
  <c r="R84" i="27"/>
  <c r="R79" i="27"/>
  <c r="R75" i="27"/>
  <c r="R63" i="27"/>
  <c r="R55" i="27"/>
  <c r="R47" i="27"/>
  <c r="R39" i="27"/>
  <c r="R109" i="27"/>
  <c r="R106" i="27"/>
  <c r="R99" i="27"/>
  <c r="R90" i="27"/>
  <c r="R74" i="27"/>
  <c r="R62" i="27"/>
  <c r="R59" i="27"/>
  <c r="R54" i="27"/>
  <c r="R46" i="27"/>
  <c r="R115" i="27"/>
  <c r="R102" i="27"/>
  <c r="R86" i="27"/>
  <c r="R81" i="27"/>
  <c r="R78" i="27"/>
  <c r="R73" i="27"/>
  <c r="R69" i="27"/>
  <c r="R61" i="27"/>
  <c r="R53" i="27"/>
  <c r="R45" i="27"/>
  <c r="R38" i="27"/>
  <c r="R16" i="16"/>
  <c r="R20" i="16"/>
  <c r="F24" i="16"/>
  <c r="V24" i="16"/>
  <c r="J15" i="17"/>
  <c r="H18" i="17"/>
  <c r="V21" i="17"/>
  <c r="J25" i="17"/>
  <c r="R27" i="17"/>
  <c r="J29" i="17"/>
  <c r="R31" i="17"/>
  <c r="J33" i="17"/>
  <c r="R34" i="17"/>
  <c r="J36" i="17"/>
  <c r="P12" i="18"/>
  <c r="F94" i="18"/>
  <c r="F102" i="18"/>
  <c r="F110" i="18"/>
  <c r="F118" i="18"/>
  <c r="F126" i="18"/>
  <c r="F134" i="18"/>
  <c r="F142" i="18"/>
  <c r="D144" i="18"/>
  <c r="F150" i="18"/>
  <c r="F162" i="18"/>
  <c r="F190" i="18"/>
  <c r="F222" i="18"/>
  <c r="Z237" i="18"/>
  <c r="F239" i="18"/>
  <c r="R16" i="19"/>
  <c r="J18" i="19"/>
  <c r="Z18" i="19"/>
  <c r="R20" i="19"/>
  <c r="F24" i="19"/>
  <c r="V24" i="19"/>
  <c r="J15" i="20"/>
  <c r="H18" i="20"/>
  <c r="F21" i="20"/>
  <c r="V21" i="20"/>
  <c r="J25" i="20"/>
  <c r="R27" i="20"/>
  <c r="J29" i="20"/>
  <c r="R31" i="20"/>
  <c r="J33" i="20"/>
  <c r="R34" i="20"/>
  <c r="J36" i="20"/>
  <c r="P12" i="21"/>
  <c r="L14" i="21"/>
  <c r="X18" i="21"/>
  <c r="Z18" i="21" s="1"/>
  <c r="L12" i="22"/>
  <c r="V15" i="22"/>
  <c r="D18" i="22"/>
  <c r="T18" i="22"/>
  <c r="F25" i="22"/>
  <c r="V25" i="22"/>
  <c r="F29" i="22"/>
  <c r="V29" i="22"/>
  <c r="F33" i="22"/>
  <c r="V33" i="22"/>
  <c r="J36" i="22"/>
  <c r="R20" i="23"/>
  <c r="X34" i="23"/>
  <c r="X13" i="24"/>
  <c r="Z13" i="24" s="1"/>
  <c r="P12" i="24"/>
  <c r="Z18" i="24"/>
  <c r="Z26" i="24"/>
  <c r="N13" i="27"/>
  <c r="Z18" i="27"/>
  <c r="N20" i="27"/>
  <c r="N59" i="27"/>
  <c r="F156" i="30"/>
  <c r="F150" i="30"/>
  <c r="F146" i="30"/>
  <c r="F138" i="30"/>
  <c r="F134" i="30"/>
  <c r="F130" i="30"/>
  <c r="F157" i="30"/>
  <c r="F144" i="30"/>
  <c r="F140" i="30"/>
  <c r="F136" i="30"/>
  <c r="F122" i="30"/>
  <c r="F139" i="30"/>
  <c r="F135" i="30"/>
  <c r="F153" i="30"/>
  <c r="F151" i="30"/>
  <c r="F148" i="30"/>
  <c r="F141" i="30"/>
  <c r="F132" i="30"/>
  <c r="F131" i="30"/>
  <c r="F118" i="30"/>
  <c r="F106" i="30"/>
  <c r="F101" i="30"/>
  <c r="F90" i="30"/>
  <c r="F83" i="30"/>
  <c r="F74" i="30"/>
  <c r="F66" i="30"/>
  <c r="F58" i="30"/>
  <c r="F142" i="30"/>
  <c r="F127" i="30"/>
  <c r="F124" i="30"/>
  <c r="F112" i="30"/>
  <c r="F109" i="30"/>
  <c r="F89" i="30"/>
  <c r="D83" i="30"/>
  <c r="F81" i="30"/>
  <c r="F73" i="30"/>
  <c r="F65" i="30"/>
  <c r="F57" i="30"/>
  <c r="F152" i="30"/>
  <c r="F145" i="30"/>
  <c r="F137" i="30"/>
  <c r="F128" i="30"/>
  <c r="F123" i="30"/>
  <c r="F108" i="30"/>
  <c r="F103" i="30"/>
  <c r="F100" i="30"/>
  <c r="F95" i="30"/>
  <c r="F88" i="30"/>
  <c r="F80" i="30"/>
  <c r="F72" i="30"/>
  <c r="F64" i="30"/>
  <c r="F121" i="30"/>
  <c r="F114" i="30"/>
  <c r="F111" i="30"/>
  <c r="F99" i="30"/>
  <c r="F87" i="30"/>
  <c r="F79" i="30"/>
  <c r="F71" i="30"/>
  <c r="F63" i="30"/>
  <c r="F120" i="30"/>
  <c r="F117" i="30"/>
  <c r="F105" i="30"/>
  <c r="F102" i="30"/>
  <c r="F98" i="30"/>
  <c r="F94" i="30"/>
  <c r="F85" i="30"/>
  <c r="F78" i="30"/>
  <c r="F70" i="30"/>
  <c r="F62" i="30"/>
  <c r="F133" i="30"/>
  <c r="F126" i="30"/>
  <c r="F113" i="30"/>
  <c r="F97" i="30"/>
  <c r="F93" i="30"/>
  <c r="F77" i="30"/>
  <c r="F69" i="30"/>
  <c r="F61" i="30"/>
  <c r="F56" i="30"/>
  <c r="F149" i="30"/>
  <c r="F147" i="30"/>
  <c r="F125" i="30"/>
  <c r="F119" i="30"/>
  <c r="F116" i="30"/>
  <c r="F107" i="30"/>
  <c r="F104" i="30"/>
  <c r="F96" i="30"/>
  <c r="F92" i="30"/>
  <c r="F76" i="30"/>
  <c r="F68" i="30"/>
  <c r="F60" i="30"/>
  <c r="L12" i="30"/>
  <c r="F161" i="30"/>
  <c r="F143" i="30"/>
  <c r="F129" i="30"/>
  <c r="F115" i="30"/>
  <c r="F110" i="30"/>
  <c r="F91" i="30"/>
  <c r="F86" i="30"/>
  <c r="F75" i="30"/>
  <c r="F67" i="30"/>
  <c r="F59" i="30"/>
  <c r="Z51" i="30"/>
  <c r="N85" i="30"/>
  <c r="F27" i="16"/>
  <c r="F31" i="16"/>
  <c r="F34" i="16"/>
  <c r="V34" i="16"/>
  <c r="J18" i="17"/>
  <c r="V24" i="17"/>
  <c r="F95" i="18"/>
  <c r="F103" i="18"/>
  <c r="F111" i="18"/>
  <c r="F119" i="18"/>
  <c r="F127" i="18"/>
  <c r="F135" i="18"/>
  <c r="F151" i="18"/>
  <c r="F158" i="18"/>
  <c r="F163" i="18"/>
  <c r="F167" i="18"/>
  <c r="F170" i="18"/>
  <c r="F179" i="18"/>
  <c r="F182" i="18"/>
  <c r="F194" i="18"/>
  <c r="F199" i="18"/>
  <c r="F226" i="18"/>
  <c r="P235" i="18"/>
  <c r="X235" i="18" s="1"/>
  <c r="Z235" i="18" s="1"/>
  <c r="F236" i="18"/>
  <c r="L237" i="18"/>
  <c r="F245" i="18"/>
  <c r="X12" i="19"/>
  <c r="J21" i="19"/>
  <c r="F27" i="19"/>
  <c r="V27" i="19"/>
  <c r="F31" i="19"/>
  <c r="V31" i="19"/>
  <c r="F34" i="19"/>
  <c r="V34" i="19"/>
  <c r="J18" i="20"/>
  <c r="F24" i="20"/>
  <c r="V24" i="20"/>
  <c r="N14" i="21"/>
  <c r="N12" i="22"/>
  <c r="V18" i="22"/>
  <c r="J22" i="22"/>
  <c r="V16" i="23"/>
  <c r="L33" i="23"/>
  <c r="Z80" i="24"/>
  <c r="Z25" i="27"/>
  <c r="Z19" i="30"/>
  <c r="Z42" i="30"/>
  <c r="N101" i="30"/>
  <c r="X12" i="17"/>
  <c r="J21" i="17"/>
  <c r="V27" i="17"/>
  <c r="V31" i="17"/>
  <c r="V34" i="17"/>
  <c r="X68" i="18"/>
  <c r="Z68" i="18" s="1"/>
  <c r="L72" i="18"/>
  <c r="N72" i="18" s="1"/>
  <c r="X76" i="18"/>
  <c r="Z76" i="18" s="1"/>
  <c r="L80" i="18"/>
  <c r="N80" i="18" s="1"/>
  <c r="X84" i="18"/>
  <c r="Z84" i="18" s="1"/>
  <c r="L88" i="18"/>
  <c r="N88" i="18" s="1"/>
  <c r="F96" i="18"/>
  <c r="F104" i="18"/>
  <c r="F112" i="18"/>
  <c r="F120" i="18"/>
  <c r="F128" i="18"/>
  <c r="F136" i="18"/>
  <c r="F147" i="18"/>
  <c r="F152" i="18"/>
  <c r="F164" i="18"/>
  <c r="F176" i="18"/>
  <c r="F188" i="18"/>
  <c r="F191" i="18"/>
  <c r="F200" i="18"/>
  <c r="F204" i="18"/>
  <c r="F208" i="18"/>
  <c r="F216" i="18"/>
  <c r="F223" i="18"/>
  <c r="N237" i="18"/>
  <c r="F241" i="18"/>
  <c r="Z12" i="19"/>
  <c r="F16" i="19"/>
  <c r="V16" i="19"/>
  <c r="N18" i="19"/>
  <c r="F20" i="19"/>
  <c r="V20" i="19"/>
  <c r="R22" i="19"/>
  <c r="J24" i="19"/>
  <c r="X12" i="20"/>
  <c r="J21" i="20"/>
  <c r="F27" i="20"/>
  <c r="V27" i="20"/>
  <c r="F31" i="20"/>
  <c r="V31" i="20"/>
  <c r="F34" i="20"/>
  <c r="V34" i="20"/>
  <c r="J15" i="22"/>
  <c r="H18" i="22"/>
  <c r="F21" i="22"/>
  <c r="V21" i="22"/>
  <c r="J25" i="22"/>
  <c r="R27" i="22"/>
  <c r="J29" i="22"/>
  <c r="R31" i="22"/>
  <c r="J33" i="22"/>
  <c r="R34" i="22"/>
  <c r="V20" i="23"/>
  <c r="T12" i="24"/>
  <c r="N22" i="24"/>
  <c r="Z45" i="24"/>
  <c r="V95" i="27"/>
  <c r="V91" i="27"/>
  <c r="V83" i="27"/>
  <c r="V71" i="27"/>
  <c r="V67" i="27"/>
  <c r="V51" i="27"/>
  <c r="V43" i="27"/>
  <c r="V98" i="27"/>
  <c r="V94" i="27"/>
  <c r="V82" i="27"/>
  <c r="V70" i="27"/>
  <c r="V66" i="27"/>
  <c r="T57" i="27"/>
  <c r="V50" i="27"/>
  <c r="V42" i="27"/>
  <c r="V111" i="27"/>
  <c r="V101" i="27"/>
  <c r="V97" i="27"/>
  <c r="V93" i="27"/>
  <c r="V85" i="27"/>
  <c r="V77" i="27"/>
  <c r="V65" i="27"/>
  <c r="V49" i="27"/>
  <c r="V41" i="27"/>
  <c r="V104" i="27"/>
  <c r="V100" i="27"/>
  <c r="V88" i="27"/>
  <c r="V84" i="27"/>
  <c r="V76" i="27"/>
  <c r="V64" i="27"/>
  <c r="V48" i="27"/>
  <c r="V40" i="27"/>
  <c r="V109" i="27"/>
  <c r="V103" i="27"/>
  <c r="V99" i="27"/>
  <c r="V87" i="27"/>
  <c r="V79" i="27"/>
  <c r="V75" i="27"/>
  <c r="V63" i="27"/>
  <c r="V59" i="27"/>
  <c r="V55" i="27"/>
  <c r="V47" i="27"/>
  <c r="V39" i="27"/>
  <c r="V106" i="27"/>
  <c r="V102" i="27"/>
  <c r="V90" i="27"/>
  <c r="V86" i="27"/>
  <c r="V78" i="27"/>
  <c r="V74" i="27"/>
  <c r="V62" i="27"/>
  <c r="V54" i="27"/>
  <c r="V46" i="27"/>
  <c r="V38" i="27"/>
  <c r="V115" i="27"/>
  <c r="V105" i="27"/>
  <c r="V89" i="27"/>
  <c r="V81" i="27"/>
  <c r="V73" i="27"/>
  <c r="V69" i="27"/>
  <c r="V61" i="27"/>
  <c r="V53" i="27"/>
  <c r="V45" i="27"/>
  <c r="V110" i="27"/>
  <c r="V96" i="27"/>
  <c r="V92" i="27"/>
  <c r="V80" i="27"/>
  <c r="V72" i="27"/>
  <c r="V68" i="27"/>
  <c r="V60" i="27"/>
  <c r="V52" i="27"/>
  <c r="V44" i="27"/>
  <c r="Z12" i="27"/>
  <c r="Z59" i="27"/>
  <c r="Z27" i="30"/>
  <c r="Z36" i="30"/>
  <c r="N39" i="30"/>
  <c r="Z95" i="30"/>
  <c r="R15" i="16"/>
  <c r="P18" i="16"/>
  <c r="R25" i="16"/>
  <c r="R29" i="16"/>
  <c r="R33" i="16"/>
  <c r="Z12" i="17"/>
  <c r="V16" i="17"/>
  <c r="V20" i="17"/>
  <c r="J24" i="17"/>
  <c r="F97" i="18"/>
  <c r="F105" i="18"/>
  <c r="F113" i="18"/>
  <c r="F121" i="18"/>
  <c r="F129" i="18"/>
  <c r="F137" i="18"/>
  <c r="F153" i="18"/>
  <c r="F165" i="18"/>
  <c r="F168" i="18"/>
  <c r="F173" i="18"/>
  <c r="F177" i="18"/>
  <c r="F180" i="18"/>
  <c r="F185" i="18"/>
  <c r="F197" i="18"/>
  <c r="F201" i="18"/>
  <c r="F205" i="18"/>
  <c r="F209" i="18"/>
  <c r="F213" i="18"/>
  <c r="F217" i="18"/>
  <c r="F229" i="18"/>
  <c r="F233" i="18"/>
  <c r="F238" i="18"/>
  <c r="R15" i="19"/>
  <c r="P18" i="19"/>
  <c r="R25" i="19"/>
  <c r="J27" i="19"/>
  <c r="R29" i="19"/>
  <c r="J31" i="19"/>
  <c r="R33" i="19"/>
  <c r="J34" i="19"/>
  <c r="R36" i="19"/>
  <c r="Z12" i="20"/>
  <c r="F16" i="20"/>
  <c r="V16" i="20"/>
  <c r="V20" i="20"/>
  <c r="R22" i="20"/>
  <c r="J24" i="20"/>
  <c r="J18" i="22"/>
  <c r="F24" i="22"/>
  <c r="V24" i="22"/>
  <c r="F85" i="24"/>
  <c r="F76" i="24"/>
  <c r="F67" i="24"/>
  <c r="F64" i="24"/>
  <c r="F60" i="24"/>
  <c r="F55" i="24"/>
  <c r="F36" i="24"/>
  <c r="F89" i="24"/>
  <c r="F83" i="24"/>
  <c r="F63" i="24"/>
  <c r="F50" i="24"/>
  <c r="F35" i="24"/>
  <c r="F30" i="24"/>
  <c r="F69" i="24"/>
  <c r="F66" i="24"/>
  <c r="F57" i="24"/>
  <c r="F54" i="24"/>
  <c r="F45" i="24"/>
  <c r="F34" i="24"/>
  <c r="F80" i="24"/>
  <c r="F72" i="24"/>
  <c r="F53" i="24"/>
  <c r="F49" i="24"/>
  <c r="F42" i="24"/>
  <c r="F33" i="24"/>
  <c r="F75" i="24"/>
  <c r="F68" i="24"/>
  <c r="F59" i="24"/>
  <c r="F56" i="24"/>
  <c r="F52" i="24"/>
  <c r="F48" i="24"/>
  <c r="D42" i="24"/>
  <c r="F40" i="24"/>
  <c r="F32" i="24"/>
  <c r="F82" i="24"/>
  <c r="F79" i="24"/>
  <c r="F71" i="24"/>
  <c r="F62" i="24"/>
  <c r="F51" i="24"/>
  <c r="F47" i="24"/>
  <c r="F39" i="24"/>
  <c r="F78" i="24"/>
  <c r="F74" i="24"/>
  <c r="F70" i="24"/>
  <c r="F65" i="24"/>
  <c r="F58" i="24"/>
  <c r="F46" i="24"/>
  <c r="F38" i="24"/>
  <c r="F81" i="24"/>
  <c r="F77" i="24"/>
  <c r="F73" i="24"/>
  <c r="F61" i="24"/>
  <c r="F93" i="18"/>
  <c r="F98" i="18"/>
  <c r="F106" i="18"/>
  <c r="F114" i="18"/>
  <c r="F122" i="18"/>
  <c r="F130" i="18"/>
  <c r="F138" i="18"/>
  <c r="F154" i="18"/>
  <c r="F174" i="18"/>
  <c r="F186" i="18"/>
  <c r="F189" i="18"/>
  <c r="F202" i="18"/>
  <c r="F206" i="18"/>
  <c r="F210" i="18"/>
  <c r="F214" i="18"/>
  <c r="F218" i="18"/>
  <c r="F230" i="18"/>
  <c r="F235" i="18"/>
  <c r="J16" i="19"/>
  <c r="R18" i="19"/>
  <c r="F22" i="19"/>
  <c r="V22" i="19"/>
  <c r="R25" i="20"/>
  <c r="J27" i="20"/>
  <c r="R29" i="20"/>
  <c r="J31" i="20"/>
  <c r="R33" i="20"/>
  <c r="J34" i="20"/>
  <c r="J21" i="22"/>
  <c r="V27" i="22"/>
  <c r="V31" i="22"/>
  <c r="F34" i="22"/>
  <c r="V34" i="22"/>
  <c r="R21" i="23"/>
  <c r="R18" i="23"/>
  <c r="R36" i="23"/>
  <c r="R33" i="23"/>
  <c r="R29" i="23"/>
  <c r="R25" i="23"/>
  <c r="P18" i="23"/>
  <c r="R15" i="23"/>
  <c r="X12" i="23"/>
  <c r="R34" i="23"/>
  <c r="R22" i="23"/>
  <c r="N26" i="27"/>
  <c r="N109" i="27"/>
  <c r="Z111" i="27"/>
  <c r="N16" i="30"/>
  <c r="N24" i="30"/>
  <c r="Z26" i="30"/>
  <c r="Z35" i="30"/>
  <c r="Z103" i="30"/>
  <c r="F25" i="16"/>
  <c r="F29" i="16"/>
  <c r="F33" i="16"/>
  <c r="V33" i="16"/>
  <c r="J16" i="17"/>
  <c r="F99" i="18"/>
  <c r="F107" i="18"/>
  <c r="F115" i="18"/>
  <c r="F123" i="18"/>
  <c r="F131" i="18"/>
  <c r="F139" i="18"/>
  <c r="F146" i="18"/>
  <c r="F155" i="18"/>
  <c r="F159" i="18"/>
  <c r="F166" i="18"/>
  <c r="F171" i="18"/>
  <c r="F178" i="18"/>
  <c r="F183" i="18"/>
  <c r="F195" i="18"/>
  <c r="F198" i="18"/>
  <c r="F211" i="18"/>
  <c r="F219" i="18"/>
  <c r="F227" i="18"/>
  <c r="F231" i="18"/>
  <c r="F33" i="19"/>
  <c r="J16" i="20"/>
  <c r="Z12" i="22"/>
  <c r="V16" i="22"/>
  <c r="V20" i="22"/>
  <c r="V36" i="23"/>
  <c r="V33" i="23"/>
  <c r="V29" i="23"/>
  <c r="V25" i="23"/>
  <c r="T18" i="23"/>
  <c r="V15" i="23"/>
  <c r="V22" i="23"/>
  <c r="V34" i="23"/>
  <c r="V31" i="23"/>
  <c r="V27" i="23"/>
  <c r="R24" i="23"/>
  <c r="L25" i="23"/>
  <c r="R27" i="23"/>
  <c r="H12" i="24"/>
  <c r="N14" i="24"/>
  <c r="F44" i="24"/>
  <c r="Z15" i="27"/>
  <c r="N22" i="27"/>
  <c r="Z34" i="27"/>
  <c r="R21" i="28"/>
  <c r="V36" i="28"/>
  <c r="J16" i="29"/>
  <c r="J20" i="29"/>
  <c r="V22" i="29"/>
  <c r="H12" i="30"/>
  <c r="V62" i="30"/>
  <c r="V70" i="30"/>
  <c r="V78" i="30"/>
  <c r="V86" i="30"/>
  <c r="V94" i="30"/>
  <c r="V98" i="30"/>
  <c r="V102" i="30"/>
  <c r="V110" i="30"/>
  <c r="Z119" i="30"/>
  <c r="N135" i="30"/>
  <c r="V22" i="32"/>
  <c r="V20" i="32"/>
  <c r="V16" i="32"/>
  <c r="Z12" i="32"/>
  <c r="V34" i="32"/>
  <c r="V31" i="32"/>
  <c r="V27" i="32"/>
  <c r="X12" i="32"/>
  <c r="V21" i="32"/>
  <c r="V18" i="32"/>
  <c r="V36" i="32"/>
  <c r="V33" i="32"/>
  <c r="V29" i="32"/>
  <c r="V25" i="32"/>
  <c r="T18" i="32"/>
  <c r="V15" i="32"/>
  <c r="F107" i="36"/>
  <c r="F98" i="36"/>
  <c r="F90" i="36"/>
  <c r="F85" i="36"/>
  <c r="F77" i="36"/>
  <c r="F74" i="36"/>
  <c r="F70" i="36"/>
  <c r="F65" i="36"/>
  <c r="F62" i="36"/>
  <c r="F57" i="36"/>
  <c r="F54" i="36"/>
  <c r="F42" i="36"/>
  <c r="F37" i="36"/>
  <c r="F30" i="36"/>
  <c r="D24" i="36"/>
  <c r="F22" i="36"/>
  <c r="F101" i="36"/>
  <c r="F89" i="36"/>
  <c r="F81" i="36"/>
  <c r="F73" i="36"/>
  <c r="F48" i="36"/>
  <c r="F45" i="36"/>
  <c r="F41" i="36"/>
  <c r="F29" i="36"/>
  <c r="F21" i="36"/>
  <c r="F105" i="36"/>
  <c r="F100" i="36"/>
  <c r="F95" i="36"/>
  <c r="F88" i="36"/>
  <c r="F84" i="36"/>
  <c r="F80" i="36"/>
  <c r="F76" i="36"/>
  <c r="F72" i="36"/>
  <c r="F67" i="36"/>
  <c r="F64" i="36"/>
  <c r="F59" i="36"/>
  <c r="F56" i="36"/>
  <c r="F40" i="36"/>
  <c r="F36" i="36"/>
  <c r="F28" i="36"/>
  <c r="F108" i="36"/>
  <c r="F103" i="36"/>
  <c r="F87" i="36"/>
  <c r="F83" i="36"/>
  <c r="F79" i="36"/>
  <c r="F50" i="36"/>
  <c r="F47" i="36"/>
  <c r="F39" i="36"/>
  <c r="F35" i="36"/>
  <c r="F26" i="36"/>
  <c r="F106" i="36"/>
  <c r="F93" i="36"/>
  <c r="F49" i="36"/>
  <c r="F44" i="36"/>
  <c r="F33" i="36"/>
  <c r="F20" i="36"/>
  <c r="F99" i="36"/>
  <c r="F96" i="36"/>
  <c r="F92" i="36"/>
  <c r="F75" i="36"/>
  <c r="F71" i="36"/>
  <c r="F68" i="36"/>
  <c r="F63" i="36"/>
  <c r="F60" i="36"/>
  <c r="F55" i="36"/>
  <c r="F52" i="36"/>
  <c r="F32" i="36"/>
  <c r="F27" i="36"/>
  <c r="F102" i="36"/>
  <c r="F91" i="36"/>
  <c r="F82" i="36"/>
  <c r="F51" i="36"/>
  <c r="F46" i="36"/>
  <c r="F43" i="36"/>
  <c r="F31" i="36"/>
  <c r="F24" i="36"/>
  <c r="X15" i="36"/>
  <c r="Z15" i="36" s="1"/>
  <c r="F58" i="36"/>
  <c r="R62" i="36"/>
  <c r="H105" i="36"/>
  <c r="X13" i="39"/>
  <c r="P12" i="39"/>
  <c r="Z14" i="39"/>
  <c r="F34" i="39"/>
  <c r="F39" i="39"/>
  <c r="N71" i="39"/>
  <c r="J16" i="25"/>
  <c r="R18" i="25"/>
  <c r="J20" i="25"/>
  <c r="F22" i="25"/>
  <c r="P18" i="26"/>
  <c r="J27" i="26"/>
  <c r="J31" i="26"/>
  <c r="R33" i="26"/>
  <c r="J34" i="26"/>
  <c r="R36" i="26"/>
  <c r="D12" i="27"/>
  <c r="X14" i="27"/>
  <c r="Z14" i="27" s="1"/>
  <c r="L18" i="27"/>
  <c r="N18" i="27" s="1"/>
  <c r="X22" i="27"/>
  <c r="Z22" i="27" s="1"/>
  <c r="L26" i="27"/>
  <c r="X30" i="27"/>
  <c r="Z30" i="27" s="1"/>
  <c r="L34" i="27"/>
  <c r="N34" i="27" s="1"/>
  <c r="J22" i="28"/>
  <c r="R24" i="28"/>
  <c r="L12" i="29"/>
  <c r="F15" i="29"/>
  <c r="V15" i="29"/>
  <c r="D18" i="29"/>
  <c r="T18" i="29"/>
  <c r="R21" i="29"/>
  <c r="F25" i="29"/>
  <c r="V25" i="29"/>
  <c r="F29" i="29"/>
  <c r="V29" i="29"/>
  <c r="F33" i="29"/>
  <c r="V33" i="29"/>
  <c r="F36" i="29"/>
  <c r="V36" i="29"/>
  <c r="V63" i="30"/>
  <c r="V71" i="30"/>
  <c r="V79" i="30"/>
  <c r="V87" i="30"/>
  <c r="V99" i="30"/>
  <c r="V107" i="30"/>
  <c r="V111" i="30"/>
  <c r="Z121" i="30"/>
  <c r="V122" i="30"/>
  <c r="V136" i="30"/>
  <c r="V144" i="30"/>
  <c r="V70" i="33"/>
  <c r="V62" i="33"/>
  <c r="V58" i="33"/>
  <c r="V54" i="33"/>
  <c r="V46" i="33"/>
  <c r="V42" i="33"/>
  <c r="V38" i="33"/>
  <c r="V69" i="33"/>
  <c r="V61" i="33"/>
  <c r="V57" i="33"/>
  <c r="V49" i="33"/>
  <c r="V37" i="33"/>
  <c r="V82" i="33"/>
  <c r="V72" i="33"/>
  <c r="V68" i="33"/>
  <c r="V64" i="33"/>
  <c r="V60" i="33"/>
  <c r="V48" i="33"/>
  <c r="V36" i="33"/>
  <c r="V32" i="33"/>
  <c r="V28" i="33"/>
  <c r="V77" i="33"/>
  <c r="V71" i="33"/>
  <c r="V67" i="33"/>
  <c r="V63" i="33"/>
  <c r="V59" i="33"/>
  <c r="V51" i="33"/>
  <c r="V35" i="33"/>
  <c r="V27" i="33"/>
  <c r="V73" i="33"/>
  <c r="V65" i="33"/>
  <c r="V53" i="33"/>
  <c r="V45" i="33"/>
  <c r="V41" i="33"/>
  <c r="V33" i="33"/>
  <c r="V25" i="33"/>
  <c r="V78" i="33"/>
  <c r="V56" i="33"/>
  <c r="V52" i="33"/>
  <c r="V44" i="33"/>
  <c r="V40" i="33"/>
  <c r="V55" i="33"/>
  <c r="V47" i="33"/>
  <c r="V43" i="33"/>
  <c r="V39" i="33"/>
  <c r="T30" i="33"/>
  <c r="V30" i="33" s="1"/>
  <c r="X20" i="33"/>
  <c r="Z20" i="33" s="1"/>
  <c r="F39" i="33"/>
  <c r="N59" i="33"/>
  <c r="P27" i="35"/>
  <c r="Z50" i="36"/>
  <c r="F61" i="36"/>
  <c r="Z27" i="37"/>
  <c r="T31" i="37"/>
  <c r="D31" i="38"/>
  <c r="L55" i="24"/>
  <c r="X65" i="24"/>
  <c r="Z65" i="24" s="1"/>
  <c r="L67" i="24"/>
  <c r="L85" i="24"/>
  <c r="L12" i="25"/>
  <c r="F15" i="25"/>
  <c r="L16" i="25"/>
  <c r="D18" i="25"/>
  <c r="L20" i="25"/>
  <c r="X22" i="25"/>
  <c r="F25" i="25"/>
  <c r="F29" i="25"/>
  <c r="F33" i="25"/>
  <c r="F36" i="25"/>
  <c r="J16" i="26"/>
  <c r="J20" i="26"/>
  <c r="L34" i="26"/>
  <c r="H12" i="27"/>
  <c r="R27" i="28"/>
  <c r="R31" i="28"/>
  <c r="R34" i="28"/>
  <c r="V18" i="29"/>
  <c r="V56" i="30"/>
  <c r="V64" i="30"/>
  <c r="V72" i="30"/>
  <c r="V80" i="30"/>
  <c r="V88" i="30"/>
  <c r="V100" i="30"/>
  <c r="L101" i="30"/>
  <c r="V108" i="30"/>
  <c r="V121" i="30"/>
  <c r="V126" i="30"/>
  <c r="N139" i="30"/>
  <c r="X16" i="31"/>
  <c r="L33" i="33"/>
  <c r="V34" i="33"/>
  <c r="X59" i="33"/>
  <c r="Z73" i="33"/>
  <c r="R112" i="36"/>
  <c r="R99" i="36"/>
  <c r="R94" i="36"/>
  <c r="R86" i="36"/>
  <c r="R78" i="36"/>
  <c r="R75" i="36"/>
  <c r="R71" i="36"/>
  <c r="R66" i="36"/>
  <c r="R63" i="36"/>
  <c r="R58" i="36"/>
  <c r="R55" i="36"/>
  <c r="R38" i="36"/>
  <c r="R34" i="36"/>
  <c r="R27" i="36"/>
  <c r="R102" i="36"/>
  <c r="R93" i="36"/>
  <c r="R82" i="36"/>
  <c r="R49" i="36"/>
  <c r="R46" i="36"/>
  <c r="R33" i="36"/>
  <c r="R24" i="36"/>
  <c r="R107" i="36"/>
  <c r="R96" i="36"/>
  <c r="R92" i="36"/>
  <c r="R85" i="36"/>
  <c r="R77" i="36"/>
  <c r="R68" i="36"/>
  <c r="R65" i="36"/>
  <c r="R60" i="36"/>
  <c r="R57" i="36"/>
  <c r="R52" i="36"/>
  <c r="R37" i="36"/>
  <c r="R32" i="36"/>
  <c r="P24" i="36"/>
  <c r="R91" i="36"/>
  <c r="R51" i="36"/>
  <c r="R48" i="36"/>
  <c r="R43" i="36"/>
  <c r="R31" i="36"/>
  <c r="R108" i="36"/>
  <c r="R101" i="36"/>
  <c r="R89" i="36"/>
  <c r="R81" i="36"/>
  <c r="R73" i="36"/>
  <c r="R50" i="36"/>
  <c r="R45" i="36"/>
  <c r="R41" i="36"/>
  <c r="R29" i="36"/>
  <c r="R26" i="36"/>
  <c r="R21" i="36"/>
  <c r="R100" i="36"/>
  <c r="R97" i="36"/>
  <c r="R88" i="36"/>
  <c r="R84" i="36"/>
  <c r="R80" i="36"/>
  <c r="R76" i="36"/>
  <c r="R72" i="36"/>
  <c r="R69" i="36"/>
  <c r="R64" i="36"/>
  <c r="R61" i="36"/>
  <c r="R56" i="36"/>
  <c r="R53" i="36"/>
  <c r="R40" i="36"/>
  <c r="R36" i="36"/>
  <c r="R28" i="36"/>
  <c r="R106" i="36"/>
  <c r="R103" i="36"/>
  <c r="R87" i="36"/>
  <c r="R83" i="36"/>
  <c r="R79" i="36"/>
  <c r="R47" i="36"/>
  <c r="R44" i="36"/>
  <c r="R39" i="36"/>
  <c r="R35" i="36"/>
  <c r="R20" i="36"/>
  <c r="R30" i="36"/>
  <c r="R42" i="36"/>
  <c r="L44" i="36"/>
  <c r="R74" i="36"/>
  <c r="F78" i="36"/>
  <c r="F94" i="36"/>
  <c r="F112" i="36"/>
  <c r="N16" i="39"/>
  <c r="J21" i="23"/>
  <c r="F27" i="23"/>
  <c r="F31" i="23"/>
  <c r="F34" i="23"/>
  <c r="N12" i="25"/>
  <c r="F18" i="25"/>
  <c r="V18" i="25"/>
  <c r="J22" i="25"/>
  <c r="R24" i="25"/>
  <c r="L12" i="26"/>
  <c r="F15" i="26"/>
  <c r="D18" i="26"/>
  <c r="T18" i="26"/>
  <c r="R21" i="26"/>
  <c r="F25" i="26"/>
  <c r="V25" i="26"/>
  <c r="F29" i="26"/>
  <c r="V29" i="26"/>
  <c r="F33" i="26"/>
  <c r="V33" i="26"/>
  <c r="F36" i="26"/>
  <c r="V36" i="26"/>
  <c r="R16" i="28"/>
  <c r="J18" i="28"/>
  <c r="R20" i="28"/>
  <c r="V24" i="28"/>
  <c r="J15" i="29"/>
  <c r="H18" i="29"/>
  <c r="F21" i="29"/>
  <c r="V21" i="29"/>
  <c r="J25" i="29"/>
  <c r="R27" i="29"/>
  <c r="J29" i="29"/>
  <c r="R31" i="29"/>
  <c r="J33" i="29"/>
  <c r="R34" i="29"/>
  <c r="J36" i="29"/>
  <c r="P12" i="30"/>
  <c r="V57" i="30"/>
  <c r="V65" i="30"/>
  <c r="V73" i="30"/>
  <c r="V81" i="30"/>
  <c r="V85" i="30"/>
  <c r="V89" i="30"/>
  <c r="V105" i="30"/>
  <c r="V109" i="30"/>
  <c r="V117" i="30"/>
  <c r="V130" i="30"/>
  <c r="V134" i="30"/>
  <c r="Z135" i="30"/>
  <c r="V140" i="30"/>
  <c r="D155" i="30"/>
  <c r="L155" i="30" s="1"/>
  <c r="P155" i="30"/>
  <c r="X157" i="30"/>
  <c r="Z157" i="30" s="1"/>
  <c r="X20" i="31"/>
  <c r="X34" i="32"/>
  <c r="F67" i="33"/>
  <c r="F54" i="33"/>
  <c r="F51" i="33"/>
  <c r="F46" i="33"/>
  <c r="F42" i="33"/>
  <c r="F35" i="33"/>
  <c r="F27" i="33"/>
  <c r="F74" i="33"/>
  <c r="F66" i="33"/>
  <c r="F57" i="33"/>
  <c r="F34" i="33"/>
  <c r="F26" i="33"/>
  <c r="F53" i="33"/>
  <c r="F48" i="33"/>
  <c r="F45" i="33"/>
  <c r="F41" i="33"/>
  <c r="F32" i="33"/>
  <c r="F77" i="33"/>
  <c r="F71" i="33"/>
  <c r="F63" i="33"/>
  <c r="F59" i="33"/>
  <c r="F56" i="33"/>
  <c r="F44" i="33"/>
  <c r="F40" i="33"/>
  <c r="F73" i="33"/>
  <c r="F70" i="33"/>
  <c r="F65" i="33"/>
  <c r="F62" i="33"/>
  <c r="F58" i="33"/>
  <c r="F38" i="33"/>
  <c r="F33" i="33"/>
  <c r="F25" i="33"/>
  <c r="F78" i="33"/>
  <c r="F69" i="33"/>
  <c r="F61" i="33"/>
  <c r="F52" i="33"/>
  <c r="F49" i="33"/>
  <c r="F37" i="33"/>
  <c r="F30" i="33"/>
  <c r="F82" i="33"/>
  <c r="F72" i="33"/>
  <c r="F68" i="33"/>
  <c r="F64" i="33"/>
  <c r="F60" i="33"/>
  <c r="F36" i="33"/>
  <c r="D30" i="33"/>
  <c r="F28" i="33"/>
  <c r="L12" i="33"/>
  <c r="J74" i="33"/>
  <c r="J66" i="33"/>
  <c r="J48" i="33"/>
  <c r="J34" i="33"/>
  <c r="J32" i="33"/>
  <c r="J26" i="33"/>
  <c r="J77" i="33"/>
  <c r="J71" i="33"/>
  <c r="J63" i="33"/>
  <c r="J59" i="33"/>
  <c r="J53" i="33"/>
  <c r="J45" i="33"/>
  <c r="J41" i="33"/>
  <c r="J56" i="33"/>
  <c r="J50" i="33"/>
  <c r="J44" i="33"/>
  <c r="J40" i="33"/>
  <c r="J73" i="33"/>
  <c r="J65" i="33"/>
  <c r="J55" i="33"/>
  <c r="J47" i="33"/>
  <c r="J43" i="33"/>
  <c r="J39" i="33"/>
  <c r="J33" i="33"/>
  <c r="J25" i="33"/>
  <c r="J69" i="33"/>
  <c r="J61" i="33"/>
  <c r="J49" i="33"/>
  <c r="J37" i="33"/>
  <c r="H30" i="33"/>
  <c r="J82" i="33"/>
  <c r="J76" i="33"/>
  <c r="J72" i="33"/>
  <c r="J68" i="33"/>
  <c r="J64" i="33"/>
  <c r="J60" i="33"/>
  <c r="J54" i="33"/>
  <c r="J46" i="33"/>
  <c r="J42" i="33"/>
  <c r="J36" i="33"/>
  <c r="J28" i="33"/>
  <c r="N12" i="33"/>
  <c r="J67" i="33"/>
  <c r="J57" i="33"/>
  <c r="J51" i="33"/>
  <c r="J35" i="33"/>
  <c r="J27" i="33"/>
  <c r="N33" i="33"/>
  <c r="J38" i="33"/>
  <c r="F50" i="33"/>
  <c r="J52" i="33"/>
  <c r="F55" i="33"/>
  <c r="Z59" i="33"/>
  <c r="J78" i="33"/>
  <c r="J18" i="34"/>
  <c r="J36" i="34"/>
  <c r="J33" i="34"/>
  <c r="J29" i="34"/>
  <c r="J25" i="34"/>
  <c r="H18" i="34"/>
  <c r="J15" i="34"/>
  <c r="J22" i="34"/>
  <c r="N12" i="34"/>
  <c r="J34" i="34"/>
  <c r="J31" i="34"/>
  <c r="J27" i="34"/>
  <c r="J24" i="34"/>
  <c r="J21" i="34"/>
  <c r="L16" i="35"/>
  <c r="L20" i="35"/>
  <c r="Z14" i="36"/>
  <c r="F34" i="36"/>
  <c r="N44" i="36"/>
  <c r="R54" i="36"/>
  <c r="F86" i="36"/>
  <c r="F97" i="36"/>
  <c r="N102" i="36"/>
  <c r="T12" i="39"/>
  <c r="N27" i="39"/>
  <c r="N43" i="39"/>
  <c r="L69" i="39"/>
  <c r="N69" i="39" s="1"/>
  <c r="F21" i="25"/>
  <c r="R27" i="25"/>
  <c r="J29" i="25"/>
  <c r="R31" i="25"/>
  <c r="J33" i="25"/>
  <c r="R34" i="25"/>
  <c r="J36" i="25"/>
  <c r="N12" i="26"/>
  <c r="J22" i="26"/>
  <c r="X12" i="28"/>
  <c r="X24" i="28"/>
  <c r="L15" i="29"/>
  <c r="X21" i="29"/>
  <c r="V24" i="29"/>
  <c r="L25" i="29"/>
  <c r="L29" i="29"/>
  <c r="L33" i="29"/>
  <c r="V156" i="30"/>
  <c r="V150" i="30"/>
  <c r="V153" i="30"/>
  <c r="V157" i="30"/>
  <c r="V147" i="30"/>
  <c r="V131" i="30"/>
  <c r="V127" i="30"/>
  <c r="V149" i="30"/>
  <c r="V145" i="30"/>
  <c r="V141" i="30"/>
  <c r="V137" i="30"/>
  <c r="V133" i="30"/>
  <c r="V129" i="30"/>
  <c r="V161" i="30"/>
  <c r="V151" i="30"/>
  <c r="V143" i="30"/>
  <c r="V139" i="30"/>
  <c r="V135" i="30"/>
  <c r="V123" i="30"/>
  <c r="V119" i="30"/>
  <c r="V58" i="30"/>
  <c r="V66" i="30"/>
  <c r="V74" i="30"/>
  <c r="V90" i="30"/>
  <c r="V106" i="30"/>
  <c r="V114" i="30"/>
  <c r="V118" i="30"/>
  <c r="N155" i="30"/>
  <c r="L77" i="33"/>
  <c r="N77" i="33" s="1"/>
  <c r="D76" i="33"/>
  <c r="F76" i="33" s="1"/>
  <c r="F100" i="39"/>
  <c r="F97" i="39"/>
  <c r="F103" i="39"/>
  <c r="F101" i="39"/>
  <c r="F96" i="39"/>
  <c r="F109" i="39"/>
  <c r="F104" i="39"/>
  <c r="F113" i="39"/>
  <c r="F107" i="39"/>
  <c r="F99" i="39"/>
  <c r="F98" i="39"/>
  <c r="F87" i="39"/>
  <c r="F62" i="39"/>
  <c r="F59" i="39"/>
  <c r="F47" i="39"/>
  <c r="F35" i="39"/>
  <c r="F77" i="39"/>
  <c r="F73" i="39"/>
  <c r="F70" i="39"/>
  <c r="F65" i="39"/>
  <c r="F53" i="39"/>
  <c r="F50" i="39"/>
  <c r="F46" i="39"/>
  <c r="F42" i="39"/>
  <c r="F33" i="39"/>
  <c r="F95" i="39"/>
  <c r="F94" i="39"/>
  <c r="F93" i="39"/>
  <c r="F84" i="39"/>
  <c r="F61" i="39"/>
  <c r="F45" i="39"/>
  <c r="F41" i="39"/>
  <c r="F108" i="39"/>
  <c r="F102" i="39"/>
  <c r="F92" i="39"/>
  <c r="F79" i="39"/>
  <c r="F76" i="39"/>
  <c r="F72" i="39"/>
  <c r="F67" i="39"/>
  <c r="F64" i="39"/>
  <c r="F55" i="39"/>
  <c r="F52" i="39"/>
  <c r="F44" i="39"/>
  <c r="F40" i="39"/>
  <c r="F27" i="39"/>
  <c r="F91" i="39"/>
  <c r="F86" i="39"/>
  <c r="F83" i="39"/>
  <c r="F90" i="39"/>
  <c r="F82" i="39"/>
  <c r="F78" i="39"/>
  <c r="F74" i="39"/>
  <c r="F69" i="39"/>
  <c r="F66" i="39"/>
  <c r="F54" i="39"/>
  <c r="F49" i="39"/>
  <c r="F38" i="39"/>
  <c r="F89" i="39"/>
  <c r="F85" i="39"/>
  <c r="F81" i="39"/>
  <c r="F60" i="39"/>
  <c r="F57" i="39"/>
  <c r="F37" i="39"/>
  <c r="D31" i="39"/>
  <c r="F31" i="39" s="1"/>
  <c r="F29" i="39"/>
  <c r="F88" i="39"/>
  <c r="F80" i="39"/>
  <c r="F71" i="39"/>
  <c r="F68" i="39"/>
  <c r="F56" i="39"/>
  <c r="F51" i="39"/>
  <c r="F48" i="39"/>
  <c r="F43" i="39"/>
  <c r="F36" i="39"/>
  <c r="F28" i="39"/>
  <c r="L12" i="39"/>
  <c r="J27" i="23"/>
  <c r="J31" i="23"/>
  <c r="J34" i="23"/>
  <c r="X22" i="24"/>
  <c r="Z22" i="24" s="1"/>
  <c r="L26" i="24"/>
  <c r="R16" i="25"/>
  <c r="J18" i="25"/>
  <c r="R20" i="25"/>
  <c r="F24" i="25"/>
  <c r="V24" i="25"/>
  <c r="J15" i="26"/>
  <c r="H18" i="26"/>
  <c r="F21" i="26"/>
  <c r="V21" i="26"/>
  <c r="J25" i="26"/>
  <c r="R27" i="26"/>
  <c r="J29" i="26"/>
  <c r="R31" i="26"/>
  <c r="J33" i="26"/>
  <c r="R34" i="26"/>
  <c r="J36" i="26"/>
  <c r="D108" i="27"/>
  <c r="L108" i="27" s="1"/>
  <c r="T108" i="27"/>
  <c r="V108" i="27" s="1"/>
  <c r="Z12" i="28"/>
  <c r="F16" i="28"/>
  <c r="V16" i="28"/>
  <c r="V20" i="28"/>
  <c r="R22" i="28"/>
  <c r="J24" i="28"/>
  <c r="X12" i="29"/>
  <c r="J21" i="29"/>
  <c r="F27" i="29"/>
  <c r="V27" i="29"/>
  <c r="F31" i="29"/>
  <c r="V31" i="29"/>
  <c r="F34" i="29"/>
  <c r="V34" i="29"/>
  <c r="V59" i="30"/>
  <c r="V67" i="30"/>
  <c r="V75" i="30"/>
  <c r="V91" i="30"/>
  <c r="V95" i="30"/>
  <c r="V103" i="30"/>
  <c r="V115" i="30"/>
  <c r="N121" i="30"/>
  <c r="L124" i="30"/>
  <c r="V124" i="30"/>
  <c r="V125" i="30"/>
  <c r="L126" i="30"/>
  <c r="N126" i="30" s="1"/>
  <c r="V128" i="30"/>
  <c r="V138" i="30"/>
  <c r="Z139" i="30"/>
  <c r="V142" i="30"/>
  <c r="V146" i="30"/>
  <c r="R21" i="31"/>
  <c r="R18" i="31"/>
  <c r="R36" i="31"/>
  <c r="R33" i="31"/>
  <c r="R29" i="31"/>
  <c r="R25" i="31"/>
  <c r="P18" i="31"/>
  <c r="R15" i="31"/>
  <c r="R22" i="31"/>
  <c r="R20" i="31"/>
  <c r="R16" i="31"/>
  <c r="R34" i="31"/>
  <c r="R31" i="31"/>
  <c r="R27" i="31"/>
  <c r="R24" i="31"/>
  <c r="Z33" i="33"/>
  <c r="F43" i="33"/>
  <c r="J62" i="33"/>
  <c r="X63" i="33"/>
  <c r="Z63" i="33" s="1"/>
  <c r="L65" i="33"/>
  <c r="V66" i="33"/>
  <c r="F21" i="35"/>
  <c r="F18" i="35"/>
  <c r="F36" i="35"/>
  <c r="F33" i="35"/>
  <c r="F29" i="35"/>
  <c r="F25" i="35"/>
  <c r="D18" i="35"/>
  <c r="F15" i="35"/>
  <c r="L12" i="35"/>
  <c r="F22" i="35"/>
  <c r="F20" i="35"/>
  <c r="F16" i="35"/>
  <c r="F34" i="35"/>
  <c r="F31" i="35"/>
  <c r="F27" i="35"/>
  <c r="F24" i="35"/>
  <c r="X22" i="35"/>
  <c r="T12" i="36"/>
  <c r="N20" i="36"/>
  <c r="N26" i="36"/>
  <c r="Z44" i="36"/>
  <c r="F66" i="36"/>
  <c r="F69" i="36"/>
  <c r="N82" i="36"/>
  <c r="R105" i="36"/>
  <c r="X13" i="37"/>
  <c r="X20" i="37"/>
  <c r="Z27" i="39"/>
  <c r="Z33" i="39"/>
  <c r="Z55" i="39"/>
  <c r="F63" i="39"/>
  <c r="Z67" i="39"/>
  <c r="X79" i="39"/>
  <c r="Z79" i="39" s="1"/>
  <c r="J16" i="23"/>
  <c r="F22" i="23"/>
  <c r="X12" i="25"/>
  <c r="J21" i="25"/>
  <c r="F27" i="25"/>
  <c r="V27" i="25"/>
  <c r="F31" i="25"/>
  <c r="V31" i="25"/>
  <c r="F34" i="25"/>
  <c r="R16" i="26"/>
  <c r="J18" i="26"/>
  <c r="F24" i="26"/>
  <c r="V24" i="26"/>
  <c r="R15" i="28"/>
  <c r="P18" i="28"/>
  <c r="R25" i="28"/>
  <c r="J27" i="28"/>
  <c r="R29" i="28"/>
  <c r="J31" i="28"/>
  <c r="R33" i="28"/>
  <c r="J34" i="28"/>
  <c r="R36" i="28"/>
  <c r="Z12" i="29"/>
  <c r="F16" i="29"/>
  <c r="V16" i="29"/>
  <c r="R22" i="29"/>
  <c r="J24" i="29"/>
  <c r="V60" i="30"/>
  <c r="V68" i="30"/>
  <c r="V76" i="30"/>
  <c r="T83" i="30"/>
  <c r="V92" i="30"/>
  <c r="V96" i="30"/>
  <c r="V104" i="30"/>
  <c r="V112" i="30"/>
  <c r="V116" i="30"/>
  <c r="X124" i="30"/>
  <c r="V148" i="30"/>
  <c r="T155" i="30"/>
  <c r="Z13" i="31"/>
  <c r="X13" i="31"/>
  <c r="L24" i="31"/>
  <c r="N65" i="33"/>
  <c r="X77" i="33"/>
  <c r="J16" i="34"/>
  <c r="X26" i="36"/>
  <c r="Z26" i="36" s="1"/>
  <c r="R67" i="36"/>
  <c r="R70" i="36"/>
  <c r="L21" i="38"/>
  <c r="H12" i="39"/>
  <c r="N24" i="39"/>
  <c r="Z69" i="39"/>
  <c r="F75" i="39"/>
  <c r="Z84" i="39"/>
  <c r="N86" i="39"/>
  <c r="L12" i="23"/>
  <c r="F15" i="23"/>
  <c r="D18" i="23"/>
  <c r="F25" i="23"/>
  <c r="F29" i="23"/>
  <c r="F33" i="23"/>
  <c r="F16" i="25"/>
  <c r="F27" i="26"/>
  <c r="V27" i="26"/>
  <c r="F31" i="26"/>
  <c r="V31" i="26"/>
  <c r="H108" i="27"/>
  <c r="J16" i="28"/>
  <c r="P18" i="29"/>
  <c r="R25" i="29"/>
  <c r="J27" i="29"/>
  <c r="R29" i="29"/>
  <c r="J31" i="29"/>
  <c r="R33" i="29"/>
  <c r="V61" i="30"/>
  <c r="V69" i="30"/>
  <c r="V77" i="30"/>
  <c r="V93" i="30"/>
  <c r="V97" i="30"/>
  <c r="V101" i="30"/>
  <c r="V113" i="30"/>
  <c r="V120" i="30"/>
  <c r="V132" i="30"/>
  <c r="V24" i="32"/>
  <c r="X13" i="33"/>
  <c r="Z13" i="33" s="1"/>
  <c r="P12" i="33"/>
  <c r="L16" i="33"/>
  <c r="N16" i="33" s="1"/>
  <c r="J70" i="33"/>
  <c r="X71" i="33"/>
  <c r="Z71" i="33" s="1"/>
  <c r="L73" i="33"/>
  <c r="V74" i="33"/>
  <c r="Z77" i="33"/>
  <c r="T76" i="33"/>
  <c r="F38" i="36"/>
  <c r="N46" i="36"/>
  <c r="R90" i="36"/>
  <c r="L106" i="36"/>
  <c r="N106" i="36" s="1"/>
  <c r="X108" i="36"/>
  <c r="Z108" i="36" s="1"/>
  <c r="H27" i="37"/>
  <c r="V22" i="38"/>
  <c r="V20" i="38"/>
  <c r="V16" i="38"/>
  <c r="Z12" i="38"/>
  <c r="V34" i="38"/>
  <c r="V31" i="38"/>
  <c r="V27" i="38"/>
  <c r="V21" i="38"/>
  <c r="V18" i="38"/>
  <c r="V36" i="38"/>
  <c r="V33" i="38"/>
  <c r="V29" i="38"/>
  <c r="V25" i="38"/>
  <c r="T18" i="38"/>
  <c r="V15" i="38"/>
  <c r="X20" i="39"/>
  <c r="L49" i="39"/>
  <c r="N49" i="39" s="1"/>
  <c r="N12" i="31"/>
  <c r="F18" i="31"/>
  <c r="V18" i="31"/>
  <c r="J22" i="31"/>
  <c r="L12" i="32"/>
  <c r="F15" i="32"/>
  <c r="D18" i="32"/>
  <c r="R21" i="32"/>
  <c r="F25" i="32"/>
  <c r="F29" i="32"/>
  <c r="F33" i="32"/>
  <c r="F36" i="32"/>
  <c r="H76" i="33"/>
  <c r="X12" i="34"/>
  <c r="F27" i="34"/>
  <c r="V27" i="34"/>
  <c r="F31" i="34"/>
  <c r="V31" i="34"/>
  <c r="F34" i="34"/>
  <c r="V34" i="34"/>
  <c r="R16" i="35"/>
  <c r="J18" i="35"/>
  <c r="R20" i="35"/>
  <c r="V24" i="35"/>
  <c r="F18" i="37"/>
  <c r="R24" i="37"/>
  <c r="L12" i="38"/>
  <c r="R27" i="37"/>
  <c r="R31" i="37"/>
  <c r="R34" i="37"/>
  <c r="J22" i="38"/>
  <c r="J18" i="31"/>
  <c r="F24" i="31"/>
  <c r="V24" i="31"/>
  <c r="J15" i="32"/>
  <c r="H18" i="32"/>
  <c r="F21" i="32"/>
  <c r="J25" i="32"/>
  <c r="R27" i="32"/>
  <c r="J29" i="32"/>
  <c r="R31" i="32"/>
  <c r="J33" i="32"/>
  <c r="R34" i="32"/>
  <c r="J36" i="32"/>
  <c r="L14" i="33"/>
  <c r="N14" i="33" s="1"/>
  <c r="R15" i="34"/>
  <c r="P18" i="34"/>
  <c r="R25" i="34"/>
  <c r="R29" i="34"/>
  <c r="R33" i="34"/>
  <c r="R36" i="34"/>
  <c r="Z12" i="35"/>
  <c r="V16" i="35"/>
  <c r="V20" i="35"/>
  <c r="R22" i="35"/>
  <c r="J24" i="35"/>
  <c r="R16" i="37"/>
  <c r="J18" i="37"/>
  <c r="Z18" i="37"/>
  <c r="R20" i="37"/>
  <c r="F24" i="37"/>
  <c r="V24" i="37"/>
  <c r="J15" i="38"/>
  <c r="H18" i="38"/>
  <c r="J25" i="38"/>
  <c r="R27" i="38"/>
  <c r="J29" i="38"/>
  <c r="R31" i="38"/>
  <c r="J33" i="38"/>
  <c r="R34" i="38"/>
  <c r="J36" i="38"/>
  <c r="N13" i="39"/>
  <c r="L14" i="39"/>
  <c r="D27" i="40"/>
  <c r="X98" i="39"/>
  <c r="Z98" i="39" s="1"/>
  <c r="D106" i="39"/>
  <c r="F106" i="39" s="1"/>
  <c r="L108" i="39"/>
  <c r="N108" i="39" s="1"/>
  <c r="N26" i="42"/>
  <c r="N50" i="42"/>
  <c r="N94" i="42"/>
  <c r="F16" i="31"/>
  <c r="F20" i="31"/>
  <c r="V20" i="31"/>
  <c r="J24" i="31"/>
  <c r="J21" i="32"/>
  <c r="F27" i="32"/>
  <c r="F31" i="32"/>
  <c r="P76" i="33"/>
  <c r="X76" i="33" s="1"/>
  <c r="L12" i="34"/>
  <c r="F15" i="34"/>
  <c r="V15" i="34"/>
  <c r="D18" i="34"/>
  <c r="T18" i="34"/>
  <c r="R21" i="34"/>
  <c r="F25" i="34"/>
  <c r="V25" i="34"/>
  <c r="F29" i="34"/>
  <c r="V29" i="34"/>
  <c r="F33" i="34"/>
  <c r="V33" i="34"/>
  <c r="F36" i="34"/>
  <c r="V36" i="34"/>
  <c r="J16" i="35"/>
  <c r="R18" i="35"/>
  <c r="J20" i="35"/>
  <c r="V22" i="35"/>
  <c r="H12" i="36"/>
  <c r="L12" i="36" s="1"/>
  <c r="D105" i="36"/>
  <c r="L105" i="36" s="1"/>
  <c r="T105" i="36"/>
  <c r="X105" i="36" s="1"/>
  <c r="Z12" i="37"/>
  <c r="F16" i="37"/>
  <c r="V16" i="37"/>
  <c r="N18" i="37"/>
  <c r="F20" i="37"/>
  <c r="V20" i="37"/>
  <c r="R22" i="37"/>
  <c r="J24" i="37"/>
  <c r="X12" i="38"/>
  <c r="J21" i="38"/>
  <c r="F27" i="38"/>
  <c r="F31" i="38"/>
  <c r="J24" i="32"/>
  <c r="V18" i="34"/>
  <c r="R21" i="35"/>
  <c r="R15" i="37"/>
  <c r="P18" i="37"/>
  <c r="R25" i="37"/>
  <c r="R29" i="37"/>
  <c r="R33" i="37"/>
  <c r="R36" i="37"/>
  <c r="J24" i="38"/>
  <c r="N98" i="42"/>
  <c r="J16" i="31"/>
  <c r="F22" i="31"/>
  <c r="R25" i="32"/>
  <c r="J27" i="32"/>
  <c r="R29" i="32"/>
  <c r="J31" i="32"/>
  <c r="R33" i="32"/>
  <c r="J34" i="32"/>
  <c r="V21" i="34"/>
  <c r="R27" i="34"/>
  <c r="R31" i="34"/>
  <c r="N12" i="35"/>
  <c r="R24" i="35"/>
  <c r="L13" i="36"/>
  <c r="N13" i="36" s="1"/>
  <c r="X17" i="36"/>
  <c r="Z17" i="36" s="1"/>
  <c r="J16" i="37"/>
  <c r="R18" i="37"/>
  <c r="R15" i="38"/>
  <c r="P18" i="38"/>
  <c r="R25" i="38"/>
  <c r="J27" i="38"/>
  <c r="R29" i="38"/>
  <c r="J31" i="38"/>
  <c r="R33" i="38"/>
  <c r="J34" i="38"/>
  <c r="X14" i="39"/>
  <c r="L18" i="39"/>
  <c r="X22" i="39"/>
  <c r="X103" i="39"/>
  <c r="Z103" i="39" s="1"/>
  <c r="H106" i="39"/>
  <c r="N107" i="39"/>
  <c r="L12" i="31"/>
  <c r="F15" i="31"/>
  <c r="D18" i="31"/>
  <c r="F25" i="31"/>
  <c r="F29" i="31"/>
  <c r="F33" i="31"/>
  <c r="J16" i="32"/>
  <c r="R27" i="35"/>
  <c r="R31" i="35"/>
  <c r="J16" i="38"/>
  <c r="N96" i="39"/>
  <c r="X108" i="39"/>
  <c r="Z108" i="39" s="1"/>
  <c r="T106" i="39"/>
  <c r="Z58" i="42"/>
  <c r="N60" i="42"/>
  <c r="Z98" i="42"/>
  <c r="Z14" i="45"/>
  <c r="L15" i="40"/>
  <c r="J18" i="40"/>
  <c r="F24" i="40"/>
  <c r="V24" i="40"/>
  <c r="J15" i="41"/>
  <c r="H18" i="41"/>
  <c r="F21" i="41"/>
  <c r="V21" i="41"/>
  <c r="J25" i="41"/>
  <c r="R27" i="41"/>
  <c r="J29" i="41"/>
  <c r="R31" i="41"/>
  <c r="J33" i="41"/>
  <c r="R34" i="41"/>
  <c r="J36" i="41"/>
  <c r="R19" i="42"/>
  <c r="J21" i="42"/>
  <c r="J29" i="42"/>
  <c r="V33" i="42"/>
  <c r="R34" i="42"/>
  <c r="J35" i="42"/>
  <c r="V37" i="42"/>
  <c r="R38" i="42"/>
  <c r="V41" i="42"/>
  <c r="R42" i="42"/>
  <c r="J43" i="42"/>
  <c r="R47" i="42"/>
  <c r="J49" i="42"/>
  <c r="V53" i="42"/>
  <c r="J57" i="42"/>
  <c r="V61" i="42"/>
  <c r="J65" i="42"/>
  <c r="J69" i="42"/>
  <c r="J73" i="42"/>
  <c r="R75" i="42"/>
  <c r="V77" i="42"/>
  <c r="R78" i="42"/>
  <c r="J81" i="42"/>
  <c r="V85" i="42"/>
  <c r="R86" i="42"/>
  <c r="J87" i="42"/>
  <c r="R91" i="42"/>
  <c r="J93" i="42"/>
  <c r="V99" i="42"/>
  <c r="R104" i="42"/>
  <c r="F36" i="43"/>
  <c r="F93" i="45"/>
  <c r="F87" i="45"/>
  <c r="F75" i="45"/>
  <c r="F71" i="45"/>
  <c r="F67" i="45"/>
  <c r="F63" i="45"/>
  <c r="F35" i="45"/>
  <c r="F31" i="45"/>
  <c r="F86" i="45"/>
  <c r="F81" i="45"/>
  <c r="F74" i="45"/>
  <c r="F66" i="45"/>
  <c r="F62" i="45"/>
  <c r="F57" i="45"/>
  <c r="F54" i="45"/>
  <c r="F49" i="45"/>
  <c r="F46" i="45"/>
  <c r="F41" i="45"/>
  <c r="F30" i="45"/>
  <c r="F17" i="45"/>
  <c r="F73" i="45"/>
  <c r="F29" i="45"/>
  <c r="F24" i="45"/>
  <c r="F83" i="45"/>
  <c r="F80" i="45"/>
  <c r="F59" i="45"/>
  <c r="F56" i="45"/>
  <c r="F51" i="45"/>
  <c r="F48" i="45"/>
  <c r="F43" i="45"/>
  <c r="F40" i="45"/>
  <c r="F28" i="45"/>
  <c r="L12" i="45"/>
  <c r="N12" i="45" s="1"/>
  <c r="F85" i="45"/>
  <c r="F82" i="45"/>
  <c r="F78" i="45"/>
  <c r="F65" i="45"/>
  <c r="F61" i="45"/>
  <c r="F58" i="45"/>
  <c r="F53" i="45"/>
  <c r="F50" i="45"/>
  <c r="F45" i="45"/>
  <c r="F42" i="45"/>
  <c r="F38" i="45"/>
  <c r="F26" i="45"/>
  <c r="F18" i="45"/>
  <c r="F77" i="45"/>
  <c r="F72" i="45"/>
  <c r="F69" i="45"/>
  <c r="F37" i="45"/>
  <c r="F27" i="45"/>
  <c r="V46" i="45"/>
  <c r="N61" i="45"/>
  <c r="F64" i="45"/>
  <c r="F70" i="45"/>
  <c r="J64" i="48"/>
  <c r="J56" i="48"/>
  <c r="J50" i="48"/>
  <c r="J44" i="48"/>
  <c r="J38" i="48"/>
  <c r="J34" i="48"/>
  <c r="J22" i="48"/>
  <c r="J53" i="48"/>
  <c r="J49" i="48"/>
  <c r="J33" i="48"/>
  <c r="J29" i="48"/>
  <c r="J21" i="48"/>
  <c r="J19" i="48"/>
  <c r="J15" i="48"/>
  <c r="J52" i="48"/>
  <c r="J46" i="48"/>
  <c r="J40" i="48"/>
  <c r="J32" i="48"/>
  <c r="J28" i="48"/>
  <c r="J55" i="48"/>
  <c r="J43" i="48"/>
  <c r="J37" i="48"/>
  <c r="J31" i="48"/>
  <c r="J27" i="48"/>
  <c r="J57" i="48"/>
  <c r="J51" i="48"/>
  <c r="J45" i="48"/>
  <c r="J39" i="48"/>
  <c r="J25" i="48"/>
  <c r="J17" i="48"/>
  <c r="J60" i="48"/>
  <c r="J54" i="48"/>
  <c r="J36" i="48"/>
  <c r="J30" i="48"/>
  <c r="J24" i="48"/>
  <c r="H17" i="48"/>
  <c r="F20" i="49"/>
  <c r="F16" i="49"/>
  <c r="F34" i="49"/>
  <c r="F31" i="49"/>
  <c r="F27" i="49"/>
  <c r="F24" i="49"/>
  <c r="F21" i="49"/>
  <c r="F36" i="49"/>
  <c r="F33" i="49"/>
  <c r="F29" i="49"/>
  <c r="F25" i="49"/>
  <c r="D18" i="49"/>
  <c r="F15" i="49"/>
  <c r="L12" i="49"/>
  <c r="F22" i="49"/>
  <c r="J21" i="40"/>
  <c r="V27" i="40"/>
  <c r="F31" i="40"/>
  <c r="V31" i="40"/>
  <c r="F34" i="40"/>
  <c r="V34" i="40"/>
  <c r="R16" i="41"/>
  <c r="J18" i="41"/>
  <c r="R20" i="41"/>
  <c r="F24" i="41"/>
  <c r="V24" i="41"/>
  <c r="L15" i="42"/>
  <c r="H23" i="42"/>
  <c r="J23" i="42" s="1"/>
  <c r="V26" i="42"/>
  <c r="R27" i="42"/>
  <c r="J30" i="42"/>
  <c r="V34" i="42"/>
  <c r="V38" i="42"/>
  <c r="R39" i="42"/>
  <c r="V42" i="42"/>
  <c r="J46" i="42"/>
  <c r="V50" i="42"/>
  <c r="R51" i="42"/>
  <c r="J52" i="42"/>
  <c r="R56" i="42"/>
  <c r="V58" i="42"/>
  <c r="R59" i="42"/>
  <c r="J60" i="42"/>
  <c r="R64" i="42"/>
  <c r="J66" i="42"/>
  <c r="R68" i="42"/>
  <c r="V70" i="42"/>
  <c r="R71" i="42"/>
  <c r="J74" i="42"/>
  <c r="V78" i="42"/>
  <c r="R79" i="42"/>
  <c r="J82" i="42"/>
  <c r="V86" i="42"/>
  <c r="J90" i="42"/>
  <c r="V94" i="42"/>
  <c r="R95" i="42"/>
  <c r="R98" i="42"/>
  <c r="V104" i="42"/>
  <c r="L13" i="43"/>
  <c r="F18" i="43"/>
  <c r="R24" i="43"/>
  <c r="F27" i="43"/>
  <c r="R29" i="43"/>
  <c r="F33" i="43"/>
  <c r="L13" i="44"/>
  <c r="F16" i="44"/>
  <c r="J86" i="45"/>
  <c r="J74" i="45"/>
  <c r="J66" i="45"/>
  <c r="J62" i="45"/>
  <c r="J54" i="45"/>
  <c r="J46" i="45"/>
  <c r="J30" i="45"/>
  <c r="J24" i="45"/>
  <c r="J83" i="45"/>
  <c r="J73" i="45"/>
  <c r="J59" i="45"/>
  <c r="J51" i="45"/>
  <c r="J43" i="45"/>
  <c r="J29" i="45"/>
  <c r="J80" i="45"/>
  <c r="J70" i="45"/>
  <c r="J56" i="45"/>
  <c r="J48" i="45"/>
  <c r="J40" i="45"/>
  <c r="J34" i="45"/>
  <c r="J28" i="45"/>
  <c r="J85" i="45"/>
  <c r="J79" i="45"/>
  <c r="J65" i="45"/>
  <c r="J61" i="45"/>
  <c r="J53" i="45"/>
  <c r="J45" i="45"/>
  <c r="J39" i="45"/>
  <c r="J27" i="45"/>
  <c r="J19" i="45"/>
  <c r="J89" i="45"/>
  <c r="J77" i="45"/>
  <c r="J69" i="45"/>
  <c r="J55" i="45"/>
  <c r="J47" i="45"/>
  <c r="J37" i="45"/>
  <c r="J33" i="45"/>
  <c r="J25" i="45"/>
  <c r="J23" i="45"/>
  <c r="J84" i="45"/>
  <c r="J76" i="45"/>
  <c r="J68" i="45"/>
  <c r="J64" i="45"/>
  <c r="J60" i="45"/>
  <c r="J52" i="45"/>
  <c r="J44" i="45"/>
  <c r="J36" i="45"/>
  <c r="P12" i="45"/>
  <c r="Z15" i="45"/>
  <c r="F34" i="45"/>
  <c r="N45" i="45"/>
  <c r="F55" i="45"/>
  <c r="J57" i="45"/>
  <c r="J67" i="45"/>
  <c r="Z72" i="45"/>
  <c r="F79" i="45"/>
  <c r="F84" i="45"/>
  <c r="X15" i="46"/>
  <c r="P18" i="46"/>
  <c r="N48" i="48"/>
  <c r="N20" i="49"/>
  <c r="P12" i="51"/>
  <c r="X15" i="51"/>
  <c r="Z15" i="51" s="1"/>
  <c r="P26" i="54"/>
  <c r="Z12" i="40"/>
  <c r="V16" i="40"/>
  <c r="F20" i="40"/>
  <c r="V20" i="40"/>
  <c r="R22" i="40"/>
  <c r="J24" i="40"/>
  <c r="X12" i="41"/>
  <c r="J21" i="41"/>
  <c r="F27" i="41"/>
  <c r="V27" i="41"/>
  <c r="F31" i="41"/>
  <c r="V31" i="41"/>
  <c r="F34" i="41"/>
  <c r="V34" i="41"/>
  <c r="X12" i="42"/>
  <c r="Z12" i="42" s="1"/>
  <c r="V19" i="42"/>
  <c r="R20" i="42"/>
  <c r="R25" i="42"/>
  <c r="V27" i="42"/>
  <c r="R28" i="42"/>
  <c r="J31" i="42"/>
  <c r="V39" i="42"/>
  <c r="R40" i="42"/>
  <c r="J41" i="42"/>
  <c r="R45" i="42"/>
  <c r="V47" i="42"/>
  <c r="R48" i="42"/>
  <c r="V51" i="42"/>
  <c r="J55" i="42"/>
  <c r="V59" i="42"/>
  <c r="J63" i="42"/>
  <c r="J67" i="42"/>
  <c r="V71" i="42"/>
  <c r="R72" i="42"/>
  <c r="V75" i="42"/>
  <c r="R76" i="42"/>
  <c r="J77" i="42"/>
  <c r="V79" i="42"/>
  <c r="R80" i="42"/>
  <c r="J83" i="42"/>
  <c r="R89" i="42"/>
  <c r="V91" i="42"/>
  <c r="R92" i="42"/>
  <c r="V95" i="42"/>
  <c r="J99" i="42"/>
  <c r="F21" i="43"/>
  <c r="Z27" i="43"/>
  <c r="R34" i="43"/>
  <c r="X16" i="44"/>
  <c r="T18" i="44"/>
  <c r="X18" i="44" s="1"/>
  <c r="P27" i="44"/>
  <c r="V82" i="45"/>
  <c r="V78" i="45"/>
  <c r="V58" i="45"/>
  <c r="V50" i="45"/>
  <c r="V42" i="45"/>
  <c r="V38" i="45"/>
  <c r="V26" i="45"/>
  <c r="V18" i="45"/>
  <c r="V81" i="45"/>
  <c r="V77" i="45"/>
  <c r="V69" i="45"/>
  <c r="V57" i="45"/>
  <c r="V49" i="45"/>
  <c r="V41" i="45"/>
  <c r="V37" i="45"/>
  <c r="V33" i="45"/>
  <c r="V25" i="45"/>
  <c r="V17" i="45"/>
  <c r="V84" i="45"/>
  <c r="V76" i="45"/>
  <c r="V68" i="45"/>
  <c r="V64" i="45"/>
  <c r="V60" i="45"/>
  <c r="V52" i="45"/>
  <c r="V44" i="45"/>
  <c r="V36" i="45"/>
  <c r="V32" i="45"/>
  <c r="V24" i="45"/>
  <c r="V93" i="45"/>
  <c r="V87" i="45"/>
  <c r="V83" i="45"/>
  <c r="V75" i="45"/>
  <c r="V71" i="45"/>
  <c r="V67" i="45"/>
  <c r="V63" i="45"/>
  <c r="V59" i="45"/>
  <c r="V51" i="45"/>
  <c r="V43" i="45"/>
  <c r="V35" i="45"/>
  <c r="V31" i="45"/>
  <c r="V21" i="45"/>
  <c r="V85" i="45"/>
  <c r="V73" i="45"/>
  <c r="V65" i="45"/>
  <c r="V61" i="45"/>
  <c r="V53" i="45"/>
  <c r="V45" i="45"/>
  <c r="V29" i="45"/>
  <c r="V80" i="45"/>
  <c r="V72" i="45"/>
  <c r="V56" i="45"/>
  <c r="V48" i="45"/>
  <c r="V40" i="45"/>
  <c r="F19" i="45"/>
  <c r="T21" i="45"/>
  <c r="V23" i="45"/>
  <c r="J26" i="45"/>
  <c r="V27" i="45"/>
  <c r="N34" i="45"/>
  <c r="F44" i="45"/>
  <c r="V47" i="45"/>
  <c r="F60" i="45"/>
  <c r="F76" i="45"/>
  <c r="F89" i="45"/>
  <c r="X29" i="47"/>
  <c r="Z20" i="48"/>
  <c r="N37" i="48"/>
  <c r="L37" i="48"/>
  <c r="J47" i="48"/>
  <c r="J48" i="48"/>
  <c r="X21" i="49"/>
  <c r="R15" i="40"/>
  <c r="P18" i="40"/>
  <c r="R25" i="40"/>
  <c r="J27" i="40"/>
  <c r="R29" i="40"/>
  <c r="J31" i="40"/>
  <c r="R33" i="40"/>
  <c r="J34" i="40"/>
  <c r="R36" i="40"/>
  <c r="Z12" i="41"/>
  <c r="F16" i="41"/>
  <c r="V16" i="41"/>
  <c r="F20" i="41"/>
  <c r="V20" i="41"/>
  <c r="L21" i="41"/>
  <c r="R22" i="41"/>
  <c r="J24" i="41"/>
  <c r="X34" i="41"/>
  <c r="X19" i="42"/>
  <c r="Z19" i="42" s="1"/>
  <c r="V20" i="42"/>
  <c r="R21" i="42"/>
  <c r="J26" i="42"/>
  <c r="V28" i="42"/>
  <c r="R29" i="42"/>
  <c r="J32" i="42"/>
  <c r="J36" i="42"/>
  <c r="V40" i="42"/>
  <c r="J44" i="42"/>
  <c r="V48" i="42"/>
  <c r="R49" i="42"/>
  <c r="J50" i="42"/>
  <c r="R54" i="42"/>
  <c r="V56" i="42"/>
  <c r="R57" i="42"/>
  <c r="J58" i="42"/>
  <c r="R62" i="42"/>
  <c r="V64" i="42"/>
  <c r="R65" i="42"/>
  <c r="V68" i="42"/>
  <c r="R69" i="42"/>
  <c r="J70" i="42"/>
  <c r="V72" i="42"/>
  <c r="R73" i="42"/>
  <c r="V76" i="42"/>
  <c r="V80" i="42"/>
  <c r="R81" i="42"/>
  <c r="J84" i="42"/>
  <c r="J88" i="42"/>
  <c r="V92" i="42"/>
  <c r="R93" i="42"/>
  <c r="J94" i="42"/>
  <c r="P97" i="42"/>
  <c r="V98" i="42"/>
  <c r="R100" i="42"/>
  <c r="R16" i="43"/>
  <c r="J18" i="43"/>
  <c r="Z18" i="43"/>
  <c r="R20" i="43"/>
  <c r="F24" i="43"/>
  <c r="J27" i="43"/>
  <c r="L29" i="43"/>
  <c r="V29" i="43"/>
  <c r="J33" i="43"/>
  <c r="J16" i="44"/>
  <c r="X13" i="45"/>
  <c r="Z13" i="45" s="1"/>
  <c r="Z24" i="45"/>
  <c r="V30" i="45"/>
  <c r="F33" i="45"/>
  <c r="F39" i="45"/>
  <c r="J50" i="45"/>
  <c r="X51" i="45"/>
  <c r="Z61" i="45"/>
  <c r="J63" i="45"/>
  <c r="Z70" i="45"/>
  <c r="J87" i="45"/>
  <c r="L13" i="48"/>
  <c r="D12" i="48"/>
  <c r="Z15" i="48"/>
  <c r="X15" i="48"/>
  <c r="Z19" i="48"/>
  <c r="N30" i="48"/>
  <c r="R52" i="48"/>
  <c r="F18" i="49"/>
  <c r="Z22" i="49"/>
  <c r="N14" i="51"/>
  <c r="L18" i="51"/>
  <c r="N18" i="51" s="1"/>
  <c r="N22" i="51"/>
  <c r="X52" i="51"/>
  <c r="Z53" i="51"/>
  <c r="N63" i="51"/>
  <c r="N75" i="51"/>
  <c r="J16" i="40"/>
  <c r="J20" i="40"/>
  <c r="V22" i="40"/>
  <c r="P18" i="41"/>
  <c r="R25" i="41"/>
  <c r="J27" i="41"/>
  <c r="R29" i="41"/>
  <c r="J31" i="41"/>
  <c r="R33" i="41"/>
  <c r="J34" i="41"/>
  <c r="R36" i="41"/>
  <c r="D12" i="42"/>
  <c r="J19" i="42"/>
  <c r="V21" i="42"/>
  <c r="V25" i="42"/>
  <c r="V29" i="42"/>
  <c r="R30" i="42"/>
  <c r="J33" i="42"/>
  <c r="R35" i="42"/>
  <c r="J37" i="42"/>
  <c r="R43" i="42"/>
  <c r="V45" i="42"/>
  <c r="R46" i="42"/>
  <c r="J47" i="42"/>
  <c r="V49" i="42"/>
  <c r="J53" i="42"/>
  <c r="V57" i="42"/>
  <c r="J61" i="42"/>
  <c r="V65" i="42"/>
  <c r="R66" i="42"/>
  <c r="V69" i="42"/>
  <c r="V73" i="42"/>
  <c r="R74" i="42"/>
  <c r="J75" i="42"/>
  <c r="V81" i="42"/>
  <c r="R82" i="42"/>
  <c r="J85" i="42"/>
  <c r="R87" i="42"/>
  <c r="V89" i="42"/>
  <c r="R90" i="42"/>
  <c r="J91" i="42"/>
  <c r="V93" i="42"/>
  <c r="R97" i="42"/>
  <c r="R25" i="43"/>
  <c r="F29" i="43"/>
  <c r="R31" i="43"/>
  <c r="F34" i="43"/>
  <c r="D18" i="44"/>
  <c r="F22" i="44"/>
  <c r="F32" i="45"/>
  <c r="F36" i="45"/>
  <c r="V54" i="45"/>
  <c r="V70" i="45"/>
  <c r="J78" i="45"/>
  <c r="V79" i="45"/>
  <c r="Z15" i="47"/>
  <c r="X15" i="47"/>
  <c r="T18" i="47"/>
  <c r="N13" i="48"/>
  <c r="J26" i="48"/>
  <c r="J42" i="48"/>
  <c r="N26" i="51"/>
  <c r="L26" i="51"/>
  <c r="Z52" i="51"/>
  <c r="N78" i="51"/>
  <c r="L78" i="51"/>
  <c r="N22" i="52"/>
  <c r="L22" i="52"/>
  <c r="L12" i="40"/>
  <c r="T18" i="40"/>
  <c r="V25" i="40"/>
  <c r="V29" i="40"/>
  <c r="V33" i="40"/>
  <c r="V36" i="40"/>
  <c r="J16" i="41"/>
  <c r="J20" i="41"/>
  <c r="F22" i="41"/>
  <c r="V22" i="41"/>
  <c r="P23" i="42"/>
  <c r="V30" i="42"/>
  <c r="R31" i="42"/>
  <c r="J34" i="42"/>
  <c r="J38" i="42"/>
  <c r="J42" i="42"/>
  <c r="V46" i="42"/>
  <c r="R52" i="42"/>
  <c r="V54" i="42"/>
  <c r="R55" i="42"/>
  <c r="J56" i="42"/>
  <c r="R60" i="42"/>
  <c r="V62" i="42"/>
  <c r="R63" i="42"/>
  <c r="J64" i="42"/>
  <c r="V66" i="42"/>
  <c r="R67" i="42"/>
  <c r="J68" i="42"/>
  <c r="V74" i="42"/>
  <c r="J78" i="42"/>
  <c r="V82" i="42"/>
  <c r="R83" i="42"/>
  <c r="J86" i="42"/>
  <c r="V90" i="42"/>
  <c r="T97" i="42"/>
  <c r="J98" i="42"/>
  <c r="V100" i="42"/>
  <c r="J104" i="42"/>
  <c r="X13" i="43"/>
  <c r="F16" i="43"/>
  <c r="F20" i="43"/>
  <c r="R22" i="43"/>
  <c r="R36" i="43"/>
  <c r="F18" i="44"/>
  <c r="F20" i="44"/>
  <c r="F31" i="44"/>
  <c r="L33" i="44"/>
  <c r="J17" i="45"/>
  <c r="F23" i="45"/>
  <c r="F25" i="45"/>
  <c r="J32" i="45"/>
  <c r="V34" i="45"/>
  <c r="V39" i="45"/>
  <c r="F47" i="45"/>
  <c r="J49" i="45"/>
  <c r="N53" i="45"/>
  <c r="V66" i="45"/>
  <c r="N72" i="45"/>
  <c r="J75" i="45"/>
  <c r="J93" i="45"/>
  <c r="J18" i="47"/>
  <c r="J36" i="47"/>
  <c r="J33" i="47"/>
  <c r="J29" i="47"/>
  <c r="J25" i="47"/>
  <c r="H18" i="47"/>
  <c r="J15" i="47"/>
  <c r="J22" i="47"/>
  <c r="N12" i="47"/>
  <c r="J34" i="47"/>
  <c r="J31" i="47"/>
  <c r="J27" i="47"/>
  <c r="J24" i="47"/>
  <c r="J21" i="47"/>
  <c r="R55" i="48"/>
  <c r="R48" i="48"/>
  <c r="R43" i="48"/>
  <c r="R31" i="48"/>
  <c r="R27" i="48"/>
  <c r="R20" i="48"/>
  <c r="R51" i="48"/>
  <c r="R42" i="48"/>
  <c r="R39" i="48"/>
  <c r="R26" i="48"/>
  <c r="R60" i="48"/>
  <c r="R57" i="48"/>
  <c r="R54" i="48"/>
  <c r="R45" i="48"/>
  <c r="R30" i="48"/>
  <c r="R25" i="48"/>
  <c r="P17" i="48"/>
  <c r="R41" i="48"/>
  <c r="R36" i="48"/>
  <c r="R24" i="48"/>
  <c r="R64" i="48"/>
  <c r="R50" i="48"/>
  <c r="R38" i="48"/>
  <c r="R34" i="48"/>
  <c r="R22" i="48"/>
  <c r="R19" i="48"/>
  <c r="R15" i="48"/>
  <c r="R53" i="48"/>
  <c r="R49" i="48"/>
  <c r="R46" i="48"/>
  <c r="R33" i="48"/>
  <c r="R29" i="48"/>
  <c r="R21" i="48"/>
  <c r="J23" i="48"/>
  <c r="J35" i="48"/>
  <c r="R47" i="48"/>
  <c r="Z48" i="48"/>
  <c r="N60" i="48"/>
  <c r="N15" i="49"/>
  <c r="L15" i="49"/>
  <c r="N16" i="49"/>
  <c r="N25" i="49"/>
  <c r="L25" i="49"/>
  <c r="N13" i="51"/>
  <c r="H12" i="51"/>
  <c r="T12" i="51"/>
  <c r="Z14" i="51"/>
  <c r="X14" i="51"/>
  <c r="Z18" i="51"/>
  <c r="N21" i="51"/>
  <c r="Z22" i="51"/>
  <c r="X22" i="51"/>
  <c r="L29" i="51"/>
  <c r="N35" i="51"/>
  <c r="Z75" i="51"/>
  <c r="N91" i="51"/>
  <c r="X92" i="51"/>
  <c r="Z92" i="51" s="1"/>
  <c r="P91" i="51"/>
  <c r="X91" i="51" s="1"/>
  <c r="Z91" i="51" s="1"/>
  <c r="N12" i="40"/>
  <c r="X15" i="40"/>
  <c r="V18" i="40"/>
  <c r="J22" i="40"/>
  <c r="X25" i="40"/>
  <c r="X29" i="40"/>
  <c r="X33" i="40"/>
  <c r="L12" i="41"/>
  <c r="F15" i="41"/>
  <c r="V15" i="41"/>
  <c r="L16" i="41"/>
  <c r="D18" i="41"/>
  <c r="T18" i="41"/>
  <c r="L20" i="41"/>
  <c r="R21" i="41"/>
  <c r="X22" i="41"/>
  <c r="F25" i="41"/>
  <c r="V25" i="41"/>
  <c r="F29" i="41"/>
  <c r="V29" i="41"/>
  <c r="F33" i="41"/>
  <c r="V33" i="41"/>
  <c r="F36" i="41"/>
  <c r="V36" i="41"/>
  <c r="R23" i="42"/>
  <c r="J25" i="42"/>
  <c r="J27" i="42"/>
  <c r="V31" i="42"/>
  <c r="R32" i="42"/>
  <c r="V35" i="42"/>
  <c r="R36" i="42"/>
  <c r="J39" i="42"/>
  <c r="R41" i="42"/>
  <c r="V43" i="42"/>
  <c r="R44" i="42"/>
  <c r="J45" i="42"/>
  <c r="J51" i="42"/>
  <c r="X54" i="42"/>
  <c r="Z54" i="42" s="1"/>
  <c r="V55" i="42"/>
  <c r="L56" i="42"/>
  <c r="N56" i="42" s="1"/>
  <c r="J59" i="42"/>
  <c r="X62" i="42"/>
  <c r="Z62" i="42" s="1"/>
  <c r="V63" i="42"/>
  <c r="L64" i="42"/>
  <c r="N64" i="42" s="1"/>
  <c r="V67" i="42"/>
  <c r="L68" i="42"/>
  <c r="J71" i="42"/>
  <c r="R77" i="42"/>
  <c r="J79" i="42"/>
  <c r="V83" i="42"/>
  <c r="R84" i="42"/>
  <c r="V87" i="42"/>
  <c r="R88" i="42"/>
  <c r="J89" i="42"/>
  <c r="J95" i="42"/>
  <c r="V97" i="42"/>
  <c r="L98" i="42"/>
  <c r="R99" i="42"/>
  <c r="X100" i="42"/>
  <c r="Z100" i="42" s="1"/>
  <c r="X16" i="43"/>
  <c r="X20" i="43"/>
  <c r="L24" i="43"/>
  <c r="L25" i="43"/>
  <c r="F31" i="43"/>
  <c r="R33" i="43"/>
  <c r="T36" i="43"/>
  <c r="Z36" i="43" s="1"/>
  <c r="F24" i="44"/>
  <c r="F21" i="44"/>
  <c r="F36" i="44"/>
  <c r="F33" i="44"/>
  <c r="F29" i="44"/>
  <c r="F25" i="44"/>
  <c r="L15" i="44"/>
  <c r="X15" i="44"/>
  <c r="X20" i="44"/>
  <c r="X21" i="44"/>
  <c r="F27" i="44"/>
  <c r="D21" i="45"/>
  <c r="J38" i="45"/>
  <c r="F52" i="45"/>
  <c r="V55" i="45"/>
  <c r="N65" i="45"/>
  <c r="F68" i="45"/>
  <c r="J71" i="45"/>
  <c r="J72" i="45"/>
  <c r="J82" i="45"/>
  <c r="Z13" i="47"/>
  <c r="X13" i="47"/>
  <c r="Z16" i="47"/>
  <c r="N24" i="47"/>
  <c r="T12" i="48"/>
  <c r="X13" i="48"/>
  <c r="Z13" i="48" s="1"/>
  <c r="N20" i="48"/>
  <c r="J41" i="48"/>
  <c r="N54" i="48"/>
  <c r="R56" i="48"/>
  <c r="H59" i="48"/>
  <c r="N29" i="49"/>
  <c r="L29" i="49"/>
  <c r="N22" i="50"/>
  <c r="L22" i="50"/>
  <c r="Z26" i="51"/>
  <c r="X30" i="51"/>
  <c r="Z30" i="51" s="1"/>
  <c r="X88" i="51"/>
  <c r="Z88" i="51" s="1"/>
  <c r="T27" i="52"/>
  <c r="Z18" i="52"/>
  <c r="J15" i="40"/>
  <c r="H18" i="40"/>
  <c r="J25" i="40"/>
  <c r="R27" i="40"/>
  <c r="J29" i="40"/>
  <c r="R31" i="40"/>
  <c r="J33" i="40"/>
  <c r="N12" i="41"/>
  <c r="J20" i="42"/>
  <c r="T23" i="42"/>
  <c r="V23" i="42" s="1"/>
  <c r="R26" i="42"/>
  <c r="J28" i="42"/>
  <c r="V32" i="42"/>
  <c r="R33" i="42"/>
  <c r="V36" i="42"/>
  <c r="R37" i="42"/>
  <c r="J40" i="42"/>
  <c r="V44" i="42"/>
  <c r="J48" i="42"/>
  <c r="R50" i="42"/>
  <c r="V52" i="42"/>
  <c r="R53" i="42"/>
  <c r="J54" i="42"/>
  <c r="R58" i="42"/>
  <c r="V60" i="42"/>
  <c r="R61" i="42"/>
  <c r="J62" i="42"/>
  <c r="R70" i="42"/>
  <c r="J72" i="42"/>
  <c r="J76" i="42"/>
  <c r="J80" i="42"/>
  <c r="V84" i="42"/>
  <c r="R85" i="42"/>
  <c r="J92" i="42"/>
  <c r="R94" i="42"/>
  <c r="H97" i="42"/>
  <c r="J97" i="42" s="1"/>
  <c r="J100" i="42"/>
  <c r="J16" i="43"/>
  <c r="R18" i="43"/>
  <c r="F22" i="43"/>
  <c r="V22" i="43"/>
  <c r="V36" i="43"/>
  <c r="J18" i="44"/>
  <c r="J36" i="44"/>
  <c r="J33" i="44"/>
  <c r="J29" i="44"/>
  <c r="J25" i="44"/>
  <c r="H18" i="44"/>
  <c r="J15" i="44"/>
  <c r="F15" i="44"/>
  <c r="J20" i="44"/>
  <c r="X22" i="44"/>
  <c r="L25" i="44"/>
  <c r="J31" i="44"/>
  <c r="J34" i="44"/>
  <c r="N13" i="45"/>
  <c r="N14" i="45"/>
  <c r="H21" i="45"/>
  <c r="L23" i="45"/>
  <c r="N23" i="45" s="1"/>
  <c r="J31" i="45"/>
  <c r="J35" i="45"/>
  <c r="J42" i="45"/>
  <c r="X43" i="45"/>
  <c r="Z43" i="45" s="1"/>
  <c r="J58" i="45"/>
  <c r="X59" i="45"/>
  <c r="Z59" i="45" s="1"/>
  <c r="L61" i="45"/>
  <c r="V62" i="45"/>
  <c r="Z83" i="45"/>
  <c r="V86" i="45"/>
  <c r="V89" i="45"/>
  <c r="J20" i="48"/>
  <c r="R32" i="48"/>
  <c r="Z46" i="48"/>
  <c r="R59" i="48"/>
  <c r="N33" i="49"/>
  <c r="L33" i="49"/>
  <c r="X17" i="51"/>
  <c r="Z17" i="51" s="1"/>
  <c r="N28" i="51"/>
  <c r="N53" i="51"/>
  <c r="Z78" i="51"/>
  <c r="R25" i="46"/>
  <c r="J27" i="46"/>
  <c r="R29" i="46"/>
  <c r="J31" i="46"/>
  <c r="R33" i="46"/>
  <c r="J34" i="46"/>
  <c r="R36" i="46"/>
  <c r="F16" i="47"/>
  <c r="F20" i="47"/>
  <c r="J16" i="49"/>
  <c r="J20" i="49"/>
  <c r="V22" i="49"/>
  <c r="R15" i="50"/>
  <c r="P18" i="50"/>
  <c r="R25" i="50"/>
  <c r="J27" i="50"/>
  <c r="R29" i="50"/>
  <c r="J31" i="50"/>
  <c r="R33" i="50"/>
  <c r="J34" i="50"/>
  <c r="R36" i="50"/>
  <c r="D12" i="51"/>
  <c r="R15" i="52"/>
  <c r="P18" i="52"/>
  <c r="R25" i="52"/>
  <c r="J27" i="52"/>
  <c r="R29" i="52"/>
  <c r="J31" i="52"/>
  <c r="R33" i="52"/>
  <c r="J34" i="52"/>
  <c r="R36" i="52"/>
  <c r="X13" i="53"/>
  <c r="F16" i="53"/>
  <c r="F20" i="53"/>
  <c r="J24" i="53"/>
  <c r="X12" i="54"/>
  <c r="H16" i="54"/>
  <c r="J26" i="54"/>
  <c r="F28" i="54"/>
  <c r="V28" i="54"/>
  <c r="X21" i="55"/>
  <c r="L25" i="55"/>
  <c r="J14" i="56"/>
  <c r="J30" i="56"/>
  <c r="J32" i="56"/>
  <c r="V42" i="56"/>
  <c r="X51" i="56"/>
  <c r="Z51" i="56" s="1"/>
  <c r="L53" i="56"/>
  <c r="N53" i="56" s="1"/>
  <c r="P16" i="57"/>
  <c r="V42" i="58"/>
  <c r="L49" i="58"/>
  <c r="N49" i="58" s="1"/>
  <c r="V22" i="59"/>
  <c r="V26" i="59"/>
  <c r="N29" i="59"/>
  <c r="L29" i="59"/>
  <c r="J16" i="46"/>
  <c r="R18" i="46"/>
  <c r="J20" i="46"/>
  <c r="F22" i="46"/>
  <c r="V15" i="49"/>
  <c r="T18" i="49"/>
  <c r="V25" i="49"/>
  <c r="V29" i="49"/>
  <c r="V33" i="49"/>
  <c r="V36" i="49"/>
  <c r="J16" i="50"/>
  <c r="J20" i="50"/>
  <c r="F22" i="50"/>
  <c r="J16" i="52"/>
  <c r="J20" i="52"/>
  <c r="L34" i="52"/>
  <c r="X16" i="53"/>
  <c r="X20" i="53"/>
  <c r="L24" i="53"/>
  <c r="J27" i="53"/>
  <c r="J31" i="53"/>
  <c r="J34" i="53"/>
  <c r="Z12" i="54"/>
  <c r="P16" i="55"/>
  <c r="X14" i="55"/>
  <c r="N16" i="55"/>
  <c r="Z21" i="55"/>
  <c r="L23" i="55"/>
  <c r="N23" i="55" s="1"/>
  <c r="J55" i="56"/>
  <c r="J39" i="56"/>
  <c r="J31" i="56"/>
  <c r="J27" i="56"/>
  <c r="J67" i="56"/>
  <c r="J61" i="56"/>
  <c r="J57" i="56"/>
  <c r="J51" i="56"/>
  <c r="J41" i="56"/>
  <c r="J33" i="56"/>
  <c r="J29" i="56"/>
  <c r="J25" i="56"/>
  <c r="J19" i="56"/>
  <c r="J38" i="56"/>
  <c r="J24" i="56"/>
  <c r="J16" i="56"/>
  <c r="J65" i="56"/>
  <c r="J59" i="56"/>
  <c r="J53" i="56"/>
  <c r="J47" i="56"/>
  <c r="J43" i="56"/>
  <c r="J35" i="56"/>
  <c r="J23" i="56"/>
  <c r="H16" i="56"/>
  <c r="J70" i="56"/>
  <c r="J63" i="56"/>
  <c r="J49" i="56"/>
  <c r="J45" i="56"/>
  <c r="J37" i="56"/>
  <c r="J21" i="56"/>
  <c r="J58" i="56"/>
  <c r="J52" i="56"/>
  <c r="J42" i="56"/>
  <c r="X19" i="56"/>
  <c r="Z19" i="56" s="1"/>
  <c r="V26" i="56"/>
  <c r="V28" i="56"/>
  <c r="J34" i="56"/>
  <c r="V40" i="56"/>
  <c r="J44" i="56"/>
  <c r="V50" i="56"/>
  <c r="V54" i="56"/>
  <c r="N14" i="57"/>
  <c r="L14" i="57"/>
  <c r="N28" i="57"/>
  <c r="J61" i="58"/>
  <c r="J51" i="58"/>
  <c r="J47" i="58"/>
  <c r="J39" i="58"/>
  <c r="J31" i="58"/>
  <c r="J27" i="58"/>
  <c r="J63" i="58"/>
  <c r="J57" i="58"/>
  <c r="J53" i="58"/>
  <c r="J41" i="58"/>
  <c r="J25" i="58"/>
  <c r="J19" i="58"/>
  <c r="J60" i="58"/>
  <c r="J56" i="58"/>
  <c r="J46" i="58"/>
  <c r="J38" i="58"/>
  <c r="J30" i="58"/>
  <c r="J24" i="58"/>
  <c r="J16" i="58"/>
  <c r="J55" i="58"/>
  <c r="J49" i="58"/>
  <c r="J43" i="58"/>
  <c r="J35" i="58"/>
  <c r="J23" i="58"/>
  <c r="H16" i="58"/>
  <c r="J59" i="58"/>
  <c r="J45" i="58"/>
  <c r="J37" i="58"/>
  <c r="J33" i="58"/>
  <c r="J29" i="58"/>
  <c r="J21" i="58"/>
  <c r="J70" i="58"/>
  <c r="J64" i="58"/>
  <c r="J54" i="58"/>
  <c r="J48" i="58"/>
  <c r="J42" i="58"/>
  <c r="J32" i="58"/>
  <c r="J28" i="58"/>
  <c r="J20" i="58"/>
  <c r="J18" i="58"/>
  <c r="J14" i="58"/>
  <c r="N12" i="58"/>
  <c r="N19" i="58"/>
  <c r="Z38" i="58"/>
  <c r="Z61" i="58"/>
  <c r="J75" i="58"/>
  <c r="V47" i="59"/>
  <c r="V39" i="59"/>
  <c r="V31" i="59"/>
  <c r="V27" i="59"/>
  <c r="V19" i="59"/>
  <c r="V61" i="59"/>
  <c r="V56" i="59"/>
  <c r="V54" i="59"/>
  <c r="V50" i="59"/>
  <c r="V46" i="59"/>
  <c r="V34" i="59"/>
  <c r="V49" i="59"/>
  <c r="V33" i="59"/>
  <c r="V29" i="59"/>
  <c r="V25" i="59"/>
  <c r="T16" i="59"/>
  <c r="V36" i="59"/>
  <c r="V24" i="59"/>
  <c r="V43" i="59"/>
  <c r="V35" i="59"/>
  <c r="V23" i="59"/>
  <c r="V58" i="59"/>
  <c r="V52" i="59"/>
  <c r="V42" i="59"/>
  <c r="V38" i="59"/>
  <c r="V45" i="59"/>
  <c r="V41" i="59"/>
  <c r="V37" i="59"/>
  <c r="V21" i="59"/>
  <c r="V48" i="59"/>
  <c r="V44" i="59"/>
  <c r="V40" i="59"/>
  <c r="V32" i="59"/>
  <c r="V28" i="59"/>
  <c r="V20" i="59"/>
  <c r="Z12" i="59"/>
  <c r="V14" i="59"/>
  <c r="J16" i="53"/>
  <c r="J20" i="53"/>
  <c r="V31" i="54"/>
  <c r="Z19" i="55"/>
  <c r="Z25" i="55"/>
  <c r="X32" i="57"/>
  <c r="Z32" i="57" s="1"/>
  <c r="Z19" i="59"/>
  <c r="X19" i="59"/>
  <c r="Z29" i="59"/>
  <c r="V25" i="44"/>
  <c r="V29" i="44"/>
  <c r="V33" i="44"/>
  <c r="V36" i="44"/>
  <c r="N12" i="46"/>
  <c r="F18" i="46"/>
  <c r="J22" i="46"/>
  <c r="R24" i="46"/>
  <c r="L12" i="47"/>
  <c r="F15" i="47"/>
  <c r="D18" i="47"/>
  <c r="F25" i="47"/>
  <c r="F29" i="47"/>
  <c r="F33" i="47"/>
  <c r="F36" i="47"/>
  <c r="J15" i="49"/>
  <c r="H18" i="49"/>
  <c r="V21" i="49"/>
  <c r="J25" i="49"/>
  <c r="R27" i="49"/>
  <c r="J29" i="49"/>
  <c r="R31" i="49"/>
  <c r="J33" i="49"/>
  <c r="R34" i="49"/>
  <c r="J36" i="49"/>
  <c r="N12" i="50"/>
  <c r="F18" i="50"/>
  <c r="J22" i="50"/>
  <c r="R24" i="50"/>
  <c r="N12" i="52"/>
  <c r="F18" i="52"/>
  <c r="J22" i="52"/>
  <c r="R24" i="52"/>
  <c r="L12" i="53"/>
  <c r="F15" i="53"/>
  <c r="D18" i="53"/>
  <c r="T18" i="53"/>
  <c r="F25" i="53"/>
  <c r="F29" i="53"/>
  <c r="F33" i="53"/>
  <c r="F36" i="53"/>
  <c r="F14" i="54"/>
  <c r="V14" i="54"/>
  <c r="F18" i="54"/>
  <c r="V18" i="54"/>
  <c r="F22" i="54"/>
  <c r="V22" i="54"/>
  <c r="V24" i="54"/>
  <c r="F29" i="54"/>
  <c r="V29" i="54"/>
  <c r="X25" i="55"/>
  <c r="V18" i="56"/>
  <c r="V30" i="56"/>
  <c r="J46" i="56"/>
  <c r="J48" i="56"/>
  <c r="Z53" i="56"/>
  <c r="N34" i="57"/>
  <c r="L34" i="57"/>
  <c r="X36" i="57"/>
  <c r="X52" i="57"/>
  <c r="V59" i="58"/>
  <c r="V55" i="58"/>
  <c r="V43" i="58"/>
  <c r="V35" i="58"/>
  <c r="V23" i="58"/>
  <c r="V61" i="58"/>
  <c r="V45" i="58"/>
  <c r="V37" i="58"/>
  <c r="V33" i="58"/>
  <c r="V29" i="58"/>
  <c r="V21" i="58"/>
  <c r="V75" i="58"/>
  <c r="V70" i="58"/>
  <c r="V68" i="58"/>
  <c r="V64" i="58"/>
  <c r="V48" i="58"/>
  <c r="V44" i="58"/>
  <c r="V36" i="58"/>
  <c r="V32" i="58"/>
  <c r="V28" i="58"/>
  <c r="V20" i="58"/>
  <c r="Z12" i="58"/>
  <c r="V63" i="58"/>
  <c r="V51" i="58"/>
  <c r="V47" i="58"/>
  <c r="V39" i="58"/>
  <c r="V31" i="58"/>
  <c r="V27" i="58"/>
  <c r="V19" i="58"/>
  <c r="V57" i="58"/>
  <c r="V53" i="58"/>
  <c r="V49" i="58"/>
  <c r="V41" i="58"/>
  <c r="V25" i="58"/>
  <c r="T16" i="58"/>
  <c r="V72" i="58"/>
  <c r="V66" i="58"/>
  <c r="V60" i="58"/>
  <c r="V56" i="58"/>
  <c r="V52" i="58"/>
  <c r="V40" i="58"/>
  <c r="V24" i="58"/>
  <c r="X19" i="58"/>
  <c r="V46" i="58"/>
  <c r="Z49" i="58"/>
  <c r="Z18" i="59"/>
  <c r="Z49" i="59"/>
  <c r="J15" i="46"/>
  <c r="H18" i="46"/>
  <c r="F21" i="46"/>
  <c r="J25" i="46"/>
  <c r="R27" i="46"/>
  <c r="J29" i="46"/>
  <c r="R31" i="46"/>
  <c r="J33" i="46"/>
  <c r="R34" i="46"/>
  <c r="J36" i="46"/>
  <c r="F18" i="47"/>
  <c r="J18" i="49"/>
  <c r="R20" i="49"/>
  <c r="V24" i="49"/>
  <c r="J15" i="50"/>
  <c r="H18" i="50"/>
  <c r="F21" i="50"/>
  <c r="J25" i="50"/>
  <c r="R27" i="50"/>
  <c r="J29" i="50"/>
  <c r="R31" i="50"/>
  <c r="J33" i="50"/>
  <c r="R34" i="50"/>
  <c r="J36" i="50"/>
  <c r="J15" i="52"/>
  <c r="H18" i="52"/>
  <c r="F21" i="52"/>
  <c r="J25" i="52"/>
  <c r="R27" i="52"/>
  <c r="J29" i="52"/>
  <c r="R31" i="52"/>
  <c r="J33" i="52"/>
  <c r="R34" i="52"/>
  <c r="J36" i="52"/>
  <c r="N12" i="53"/>
  <c r="X15" i="53"/>
  <c r="F18" i="53"/>
  <c r="J22" i="53"/>
  <c r="X25" i="53"/>
  <c r="X29" i="53"/>
  <c r="X33" i="53"/>
  <c r="L12" i="54"/>
  <c r="X14" i="54"/>
  <c r="X18" i="54"/>
  <c r="Z29" i="54"/>
  <c r="Z23" i="55"/>
  <c r="V70" i="56"/>
  <c r="V65" i="56"/>
  <c r="V63" i="56"/>
  <c r="V59" i="56"/>
  <c r="V47" i="56"/>
  <c r="V43" i="56"/>
  <c r="V35" i="56"/>
  <c r="V23" i="56"/>
  <c r="V49" i="56"/>
  <c r="V45" i="56"/>
  <c r="V37" i="56"/>
  <c r="V21" i="56"/>
  <c r="V52" i="56"/>
  <c r="V48" i="56"/>
  <c r="V44" i="56"/>
  <c r="V36" i="56"/>
  <c r="V20" i="56"/>
  <c r="Z12" i="56"/>
  <c r="V67" i="56"/>
  <c r="V61" i="56"/>
  <c r="V55" i="56"/>
  <c r="V51" i="56"/>
  <c r="V39" i="56"/>
  <c r="V31" i="56"/>
  <c r="V27" i="56"/>
  <c r="V19" i="56"/>
  <c r="X12" i="56"/>
  <c r="V57" i="56"/>
  <c r="V53" i="56"/>
  <c r="V41" i="56"/>
  <c r="V33" i="56"/>
  <c r="V29" i="56"/>
  <c r="V25" i="56"/>
  <c r="T16" i="56"/>
  <c r="V56" i="56"/>
  <c r="J20" i="56"/>
  <c r="N18" i="57"/>
  <c r="L18" i="57"/>
  <c r="Z28" i="57"/>
  <c r="X28" i="57"/>
  <c r="Z36" i="57"/>
  <c r="Z52" i="57"/>
  <c r="Z56" i="57"/>
  <c r="X56" i="57"/>
  <c r="Z19" i="58"/>
  <c r="Z30" i="58"/>
  <c r="J58" i="58"/>
  <c r="N59" i="58"/>
  <c r="J62" i="58"/>
  <c r="V16" i="59"/>
  <c r="V18" i="59"/>
  <c r="N16" i="60"/>
  <c r="H46" i="60"/>
  <c r="N19" i="60"/>
  <c r="V21" i="44"/>
  <c r="R27" i="44"/>
  <c r="R31" i="44"/>
  <c r="R16" i="46"/>
  <c r="J18" i="46"/>
  <c r="R20" i="46"/>
  <c r="F24" i="46"/>
  <c r="V24" i="46"/>
  <c r="F21" i="47"/>
  <c r="V21" i="47"/>
  <c r="R27" i="47"/>
  <c r="R31" i="47"/>
  <c r="R34" i="47"/>
  <c r="X12" i="49"/>
  <c r="J21" i="49"/>
  <c r="V27" i="49"/>
  <c r="V31" i="49"/>
  <c r="V34" i="49"/>
  <c r="R16" i="50"/>
  <c r="J18" i="50"/>
  <c r="R20" i="50"/>
  <c r="F24" i="50"/>
  <c r="V24" i="50"/>
  <c r="R16" i="52"/>
  <c r="J18" i="52"/>
  <c r="R20" i="52"/>
  <c r="F24" i="52"/>
  <c r="V24" i="52"/>
  <c r="J15" i="53"/>
  <c r="H18" i="53"/>
  <c r="F21" i="53"/>
  <c r="V21" i="53"/>
  <c r="J25" i="53"/>
  <c r="R27" i="53"/>
  <c r="J29" i="53"/>
  <c r="R31" i="53"/>
  <c r="J33" i="53"/>
  <c r="R34" i="53"/>
  <c r="J36" i="53"/>
  <c r="N12" i="54"/>
  <c r="J14" i="54"/>
  <c r="J18" i="54"/>
  <c r="J22" i="54"/>
  <c r="V26" i="54"/>
  <c r="X28" i="54"/>
  <c r="Z28" i="54" s="1"/>
  <c r="J29" i="54"/>
  <c r="F31" i="54"/>
  <c r="V14" i="56"/>
  <c r="J28" i="56"/>
  <c r="V32" i="56"/>
  <c r="J40" i="56"/>
  <c r="J56" i="56"/>
  <c r="V58" i="56"/>
  <c r="N38" i="57"/>
  <c r="N54" i="57"/>
  <c r="V30" i="58"/>
  <c r="N40" i="58"/>
  <c r="J22" i="59"/>
  <c r="J26" i="59"/>
  <c r="F27" i="46"/>
  <c r="V27" i="46"/>
  <c r="F31" i="46"/>
  <c r="V31" i="46"/>
  <c r="R16" i="47"/>
  <c r="Z12" i="49"/>
  <c r="V16" i="49"/>
  <c r="F27" i="50"/>
  <c r="V27" i="50"/>
  <c r="F31" i="50"/>
  <c r="V31" i="50"/>
  <c r="F27" i="52"/>
  <c r="V27" i="52"/>
  <c r="F31" i="52"/>
  <c r="V31" i="52"/>
  <c r="R16" i="53"/>
  <c r="J18" i="53"/>
  <c r="D16" i="54"/>
  <c r="T16" i="54"/>
  <c r="F24" i="54"/>
  <c r="J19" i="55"/>
  <c r="J21" i="55"/>
  <c r="J32" i="55"/>
  <c r="J26" i="55"/>
  <c r="J23" i="55"/>
  <c r="J25" i="55"/>
  <c r="L12" i="55"/>
  <c r="N21" i="55"/>
  <c r="J18" i="56"/>
  <c r="V24" i="56"/>
  <c r="J26" i="56"/>
  <c r="V34" i="56"/>
  <c r="V46" i="56"/>
  <c r="J50" i="56"/>
  <c r="J54" i="56"/>
  <c r="D65" i="57"/>
  <c r="Z18" i="57"/>
  <c r="V18" i="58"/>
  <c r="J34" i="58"/>
  <c r="J36" i="58"/>
  <c r="J40" i="58"/>
  <c r="J50" i="58"/>
  <c r="X63" i="58"/>
  <c r="Z63" i="58" s="1"/>
  <c r="J68" i="58"/>
  <c r="J72" i="58"/>
  <c r="P50" i="60"/>
  <c r="Z19" i="60"/>
  <c r="F16" i="54"/>
  <c r="V16" i="54"/>
  <c r="F20" i="54"/>
  <c r="H34" i="55"/>
  <c r="N19" i="55"/>
  <c r="N16" i="57"/>
  <c r="H61" i="57"/>
  <c r="Z59" i="58"/>
  <c r="X59" i="58"/>
  <c r="N61" i="58"/>
  <c r="L61" i="58"/>
  <c r="J49" i="59"/>
  <c r="J43" i="59"/>
  <c r="J33" i="59"/>
  <c r="J29" i="59"/>
  <c r="J23" i="59"/>
  <c r="H16" i="59"/>
  <c r="J42" i="59"/>
  <c r="J38" i="59"/>
  <c r="J45" i="59"/>
  <c r="J41" i="59"/>
  <c r="J35" i="59"/>
  <c r="J21" i="59"/>
  <c r="J58" i="59"/>
  <c r="J52" i="59"/>
  <c r="J48" i="59"/>
  <c r="J40" i="59"/>
  <c r="J32" i="59"/>
  <c r="J28" i="59"/>
  <c r="J20" i="59"/>
  <c r="J18" i="59"/>
  <c r="J14" i="59"/>
  <c r="N12" i="59"/>
  <c r="J47" i="59"/>
  <c r="J37" i="59"/>
  <c r="J31" i="59"/>
  <c r="J27" i="59"/>
  <c r="J56" i="59"/>
  <c r="J50" i="59"/>
  <c r="J44" i="59"/>
  <c r="J34" i="59"/>
  <c r="J39" i="59"/>
  <c r="J25" i="59"/>
  <c r="J19" i="59"/>
  <c r="J61" i="59"/>
  <c r="J54" i="59"/>
  <c r="J46" i="59"/>
  <c r="J36" i="59"/>
  <c r="J24" i="59"/>
  <c r="J16" i="59"/>
  <c r="Z37" i="60"/>
  <c r="R19" i="57"/>
  <c r="R26" i="57"/>
  <c r="R30" i="57"/>
  <c r="R42" i="57"/>
  <c r="R46" i="57"/>
  <c r="L33" i="59"/>
  <c r="N33" i="59" s="1"/>
  <c r="X39" i="59"/>
  <c r="Z39" i="59" s="1"/>
  <c r="L49" i="59"/>
  <c r="N49" i="59" s="1"/>
  <c r="V16" i="60"/>
  <c r="V26" i="60"/>
  <c r="V34" i="60"/>
  <c r="X37" i="60"/>
  <c r="V38" i="60"/>
  <c r="X41" i="60"/>
  <c r="Z41" i="60" s="1"/>
  <c r="V42" i="60"/>
  <c r="V46" i="60"/>
  <c r="V48" i="60"/>
  <c r="V53" i="60"/>
  <c r="N12" i="61"/>
  <c r="J14" i="61"/>
  <c r="J18" i="61"/>
  <c r="Z31" i="61"/>
  <c r="L33" i="61"/>
  <c r="J35" i="61"/>
  <c r="N42" i="61"/>
  <c r="L42" i="61"/>
  <c r="F20" i="55"/>
  <c r="R21" i="55"/>
  <c r="F23" i="55"/>
  <c r="V23" i="55"/>
  <c r="R24" i="55"/>
  <c r="D16" i="56"/>
  <c r="R19" i="56"/>
  <c r="F22" i="56"/>
  <c r="R26" i="56"/>
  <c r="R30" i="56"/>
  <c r="F46" i="56"/>
  <c r="F50" i="56"/>
  <c r="R51" i="56"/>
  <c r="F53" i="56"/>
  <c r="R54" i="56"/>
  <c r="R61" i="56"/>
  <c r="R67" i="56"/>
  <c r="F16" i="57"/>
  <c r="V16" i="57"/>
  <c r="J22" i="57"/>
  <c r="F23" i="57"/>
  <c r="V26" i="57"/>
  <c r="R27" i="57"/>
  <c r="J28" i="57"/>
  <c r="V30" i="57"/>
  <c r="R31" i="57"/>
  <c r="J32" i="57"/>
  <c r="F35" i="57"/>
  <c r="R36" i="57"/>
  <c r="F38" i="57"/>
  <c r="V38" i="57"/>
  <c r="R39" i="57"/>
  <c r="V42" i="57"/>
  <c r="V46" i="57"/>
  <c r="J50" i="57"/>
  <c r="F51" i="57"/>
  <c r="R52" i="57"/>
  <c r="F54" i="57"/>
  <c r="V54" i="57"/>
  <c r="R55" i="57"/>
  <c r="J56" i="57"/>
  <c r="D16" i="58"/>
  <c r="R19" i="58"/>
  <c r="F22" i="58"/>
  <c r="R26" i="58"/>
  <c r="F34" i="58"/>
  <c r="F49" i="58"/>
  <c r="R50" i="58"/>
  <c r="R58" i="58"/>
  <c r="F62" i="58"/>
  <c r="R63" i="58"/>
  <c r="R22" i="59"/>
  <c r="F26" i="59"/>
  <c r="F30" i="59"/>
  <c r="F34" i="59"/>
  <c r="R35" i="59"/>
  <c r="F37" i="59"/>
  <c r="R38" i="59"/>
  <c r="R42" i="59"/>
  <c r="F50" i="59"/>
  <c r="F56" i="59"/>
  <c r="X12" i="60"/>
  <c r="V19" i="60"/>
  <c r="J23" i="60"/>
  <c r="V27" i="60"/>
  <c r="J31" i="60"/>
  <c r="V35" i="60"/>
  <c r="J37" i="60"/>
  <c r="V39" i="60"/>
  <c r="J41" i="60"/>
  <c r="R46" i="61"/>
  <c r="R40" i="61"/>
  <c r="R37" i="61"/>
  <c r="R32" i="61"/>
  <c r="R28" i="61"/>
  <c r="R36" i="61"/>
  <c r="R33" i="61"/>
  <c r="R48" i="61"/>
  <c r="R42" i="61"/>
  <c r="R38" i="61"/>
  <c r="R35" i="61"/>
  <c r="R30" i="61"/>
  <c r="R26" i="61"/>
  <c r="R19" i="61"/>
  <c r="D16" i="61"/>
  <c r="T16" i="61"/>
  <c r="R22" i="61"/>
  <c r="R23" i="61"/>
  <c r="R24" i="61"/>
  <c r="R27" i="61"/>
  <c r="V28" i="61"/>
  <c r="R29" i="61"/>
  <c r="F33" i="61"/>
  <c r="J40" i="61"/>
  <c r="J42" i="61"/>
  <c r="R44" i="61"/>
  <c r="J48" i="61"/>
  <c r="F14" i="62"/>
  <c r="F26" i="62"/>
  <c r="D42" i="63"/>
  <c r="Z24" i="63"/>
  <c r="J89" i="64"/>
  <c r="J82" i="64"/>
  <c r="J70" i="64"/>
  <c r="J58" i="64"/>
  <c r="J52" i="64"/>
  <c r="J48" i="64"/>
  <c r="J44" i="64"/>
  <c r="J36" i="64"/>
  <c r="J28" i="64"/>
  <c r="N12" i="64"/>
  <c r="J77" i="64"/>
  <c r="J63" i="64"/>
  <c r="J47" i="64"/>
  <c r="J43" i="64"/>
  <c r="J41" i="64"/>
  <c r="J35" i="64"/>
  <c r="J74" i="64"/>
  <c r="J66" i="64"/>
  <c r="J60" i="64"/>
  <c r="J54" i="64"/>
  <c r="J34" i="64"/>
  <c r="J73" i="64"/>
  <c r="J69" i="64"/>
  <c r="J65" i="64"/>
  <c r="J57" i="64"/>
  <c r="J51" i="64"/>
  <c r="J33" i="64"/>
  <c r="J27" i="64"/>
  <c r="J86" i="64"/>
  <c r="J80" i="64"/>
  <c r="J76" i="64"/>
  <c r="J72" i="64"/>
  <c r="J68" i="64"/>
  <c r="J62" i="64"/>
  <c r="J56" i="64"/>
  <c r="J46" i="64"/>
  <c r="J42" i="64"/>
  <c r="J32" i="64"/>
  <c r="J71" i="64"/>
  <c r="J59" i="64"/>
  <c r="J53" i="64"/>
  <c r="J39" i="64"/>
  <c r="J31" i="64"/>
  <c r="J84" i="64"/>
  <c r="J78" i="64"/>
  <c r="J64" i="64"/>
  <c r="J50" i="64"/>
  <c r="H39" i="64"/>
  <c r="J30" i="64"/>
  <c r="J75" i="64"/>
  <c r="J67" i="64"/>
  <c r="J61" i="64"/>
  <c r="J55" i="64"/>
  <c r="J49" i="64"/>
  <c r="J45" i="64"/>
  <c r="J37" i="64"/>
  <c r="J29" i="64"/>
  <c r="Z16" i="64"/>
  <c r="N18" i="65"/>
  <c r="V51" i="61"/>
  <c r="V46" i="61"/>
  <c r="V44" i="61"/>
  <c r="V40" i="61"/>
  <c r="V32" i="61"/>
  <c r="V39" i="61"/>
  <c r="V31" i="61"/>
  <c r="V35" i="61"/>
  <c r="V38" i="61"/>
  <c r="V30" i="61"/>
  <c r="V26" i="61"/>
  <c r="V37" i="61"/>
  <c r="V29" i="61"/>
  <c r="V25" i="61"/>
  <c r="V16" i="61"/>
  <c r="V19" i="61"/>
  <c r="V22" i="61"/>
  <c r="V23" i="61"/>
  <c r="V24" i="61"/>
  <c r="Z27" i="61"/>
  <c r="J32" i="61"/>
  <c r="N33" i="61"/>
  <c r="J46" i="61"/>
  <c r="V48" i="61"/>
  <c r="F93" i="62"/>
  <c r="F76" i="62"/>
  <c r="F72" i="62"/>
  <c r="F48" i="62"/>
  <c r="F33" i="62"/>
  <c r="F29" i="62"/>
  <c r="F21" i="62"/>
  <c r="F87" i="62"/>
  <c r="F84" i="62"/>
  <c r="F67" i="62"/>
  <c r="F64" i="62"/>
  <c r="F59" i="62"/>
  <c r="F56" i="62"/>
  <c r="F51" i="62"/>
  <c r="F44" i="62"/>
  <c r="F39" i="62"/>
  <c r="F32" i="62"/>
  <c r="F28" i="62"/>
  <c r="F19" i="62"/>
  <c r="L12" i="62"/>
  <c r="F102" i="62"/>
  <c r="F96" i="62"/>
  <c r="F83" i="62"/>
  <c r="F78" i="62"/>
  <c r="F75" i="62"/>
  <c r="F71" i="62"/>
  <c r="F47" i="62"/>
  <c r="F27" i="62"/>
  <c r="F100" i="62"/>
  <c r="F89" i="62"/>
  <c r="F86" i="62"/>
  <c r="F82" i="62"/>
  <c r="F74" i="62"/>
  <c r="F70" i="62"/>
  <c r="F66" i="62"/>
  <c r="F61" i="62"/>
  <c r="F58" i="62"/>
  <c r="F53" i="62"/>
  <c r="F50" i="62"/>
  <c r="F46" i="62"/>
  <c r="F92" i="62"/>
  <c r="F81" i="62"/>
  <c r="F77" i="62"/>
  <c r="F73" i="62"/>
  <c r="F69" i="62"/>
  <c r="F49" i="62"/>
  <c r="F37" i="62"/>
  <c r="F25" i="62"/>
  <c r="F20" i="62"/>
  <c r="F88" i="62"/>
  <c r="F80" i="62"/>
  <c r="F68" i="62"/>
  <c r="F63" i="62"/>
  <c r="F60" i="62"/>
  <c r="F55" i="62"/>
  <c r="F52" i="62"/>
  <c r="F43" i="62"/>
  <c r="F40" i="62"/>
  <c r="F36" i="62"/>
  <c r="F31" i="62"/>
  <c r="F24" i="62"/>
  <c r="F17" i="62"/>
  <c r="F105" i="62"/>
  <c r="F98" i="62"/>
  <c r="F91" i="62"/>
  <c r="F79" i="62"/>
  <c r="F35" i="62"/>
  <c r="F23" i="62"/>
  <c r="D17" i="62"/>
  <c r="F15" i="62"/>
  <c r="F95" i="62"/>
  <c r="F90" i="62"/>
  <c r="F85" i="62"/>
  <c r="F65" i="62"/>
  <c r="F62" i="62"/>
  <c r="F57" i="62"/>
  <c r="F54" i="62"/>
  <c r="F45" i="62"/>
  <c r="F42" i="62"/>
  <c r="F34" i="62"/>
  <c r="F30" i="62"/>
  <c r="F22" i="62"/>
  <c r="D16" i="55"/>
  <c r="T16" i="55"/>
  <c r="R19" i="55"/>
  <c r="F21" i="55"/>
  <c r="V21" i="55"/>
  <c r="R22" i="55"/>
  <c r="F26" i="55"/>
  <c r="F32" i="55"/>
  <c r="F19" i="56"/>
  <c r="R20" i="56"/>
  <c r="F24" i="56"/>
  <c r="F51" i="56"/>
  <c r="R52" i="56"/>
  <c r="F61" i="56"/>
  <c r="F67" i="56"/>
  <c r="Z12" i="57"/>
  <c r="R14" i="57"/>
  <c r="J16" i="57"/>
  <c r="Z16" i="57"/>
  <c r="R18" i="57"/>
  <c r="X19" i="57"/>
  <c r="Z19" i="57" s="1"/>
  <c r="V20" i="57"/>
  <c r="R21" i="57"/>
  <c r="J24" i="57"/>
  <c r="F25" i="57"/>
  <c r="F29" i="57"/>
  <c r="F33" i="57"/>
  <c r="R34" i="57"/>
  <c r="F36" i="57"/>
  <c r="V36" i="57"/>
  <c r="R37" i="57"/>
  <c r="J38" i="57"/>
  <c r="V40" i="57"/>
  <c r="L41" i="57"/>
  <c r="N41" i="57" s="1"/>
  <c r="J44" i="57"/>
  <c r="F45" i="57"/>
  <c r="J48" i="57"/>
  <c r="F52" i="57"/>
  <c r="V52" i="57"/>
  <c r="R53" i="57"/>
  <c r="J54" i="57"/>
  <c r="F57" i="57"/>
  <c r="F63" i="57"/>
  <c r="X12" i="58"/>
  <c r="F19" i="58"/>
  <c r="R20" i="58"/>
  <c r="F24" i="58"/>
  <c r="R28" i="58"/>
  <c r="R32" i="58"/>
  <c r="R48" i="58"/>
  <c r="L52" i="58"/>
  <c r="F56" i="58"/>
  <c r="F60" i="58"/>
  <c r="R61" i="58"/>
  <c r="F63" i="58"/>
  <c r="R64" i="58"/>
  <c r="R70" i="58"/>
  <c r="L12" i="59"/>
  <c r="P16" i="59"/>
  <c r="F20" i="59"/>
  <c r="R24" i="59"/>
  <c r="F28" i="59"/>
  <c r="R29" i="59"/>
  <c r="F32" i="59"/>
  <c r="R33" i="59"/>
  <c r="F35" i="59"/>
  <c r="R36" i="59"/>
  <c r="F40" i="59"/>
  <c r="L44" i="59"/>
  <c r="F48" i="59"/>
  <c r="R49" i="59"/>
  <c r="X52" i="59"/>
  <c r="J19" i="60"/>
  <c r="V21" i="60"/>
  <c r="R22" i="60"/>
  <c r="J25" i="60"/>
  <c r="F26" i="60"/>
  <c r="J29" i="60"/>
  <c r="V33" i="60"/>
  <c r="F38" i="60"/>
  <c r="F42" i="60"/>
  <c r="F48" i="60"/>
  <c r="X12" i="61"/>
  <c r="H16" i="61"/>
  <c r="F19" i="61"/>
  <c r="V20" i="61"/>
  <c r="V21" i="61"/>
  <c r="V27" i="61"/>
  <c r="V34" i="61"/>
  <c r="J102" i="62"/>
  <c r="J96" i="62"/>
  <c r="J84" i="62"/>
  <c r="J78" i="62"/>
  <c r="J64" i="62"/>
  <c r="J56" i="62"/>
  <c r="J44" i="62"/>
  <c r="J32" i="62"/>
  <c r="J28" i="62"/>
  <c r="J14" i="62"/>
  <c r="N12" i="62"/>
  <c r="J89" i="62"/>
  <c r="J83" i="62"/>
  <c r="J75" i="62"/>
  <c r="J71" i="62"/>
  <c r="J61" i="62"/>
  <c r="J53" i="62"/>
  <c r="J47" i="62"/>
  <c r="J41" i="62"/>
  <c r="J27" i="62"/>
  <c r="J100" i="62"/>
  <c r="J92" i="62"/>
  <c r="J86" i="62"/>
  <c r="J82" i="62"/>
  <c r="J74" i="62"/>
  <c r="J70" i="62"/>
  <c r="J66" i="62"/>
  <c r="J58" i="62"/>
  <c r="J50" i="62"/>
  <c r="J46" i="62"/>
  <c r="J38" i="62"/>
  <c r="J26" i="62"/>
  <c r="J20" i="62"/>
  <c r="J81" i="62"/>
  <c r="J77" i="62"/>
  <c r="J73" i="62"/>
  <c r="J69" i="62"/>
  <c r="J63" i="62"/>
  <c r="J55" i="62"/>
  <c r="J49" i="62"/>
  <c r="J43" i="62"/>
  <c r="J105" i="62"/>
  <c r="J98" i="62"/>
  <c r="J88" i="62"/>
  <c r="J80" i="62"/>
  <c r="J68" i="62"/>
  <c r="J60" i="62"/>
  <c r="J52" i="62"/>
  <c r="J40" i="62"/>
  <c r="J36" i="62"/>
  <c r="J24" i="62"/>
  <c r="J95" i="62"/>
  <c r="J91" i="62"/>
  <c r="J85" i="62"/>
  <c r="J79" i="62"/>
  <c r="J65" i="62"/>
  <c r="J57" i="62"/>
  <c r="J45" i="62"/>
  <c r="J35" i="62"/>
  <c r="J23" i="62"/>
  <c r="J15" i="62"/>
  <c r="J90" i="62"/>
  <c r="J76" i="62"/>
  <c r="J72" i="62"/>
  <c r="J62" i="62"/>
  <c r="J54" i="62"/>
  <c r="J48" i="62"/>
  <c r="J42" i="62"/>
  <c r="J34" i="62"/>
  <c r="J30" i="62"/>
  <c r="J22" i="62"/>
  <c r="J93" i="62"/>
  <c r="J87" i="62"/>
  <c r="J67" i="62"/>
  <c r="J59" i="62"/>
  <c r="J51" i="62"/>
  <c r="J39" i="62"/>
  <c r="J33" i="62"/>
  <c r="J29" i="62"/>
  <c r="J21" i="62"/>
  <c r="J19" i="62"/>
  <c r="J25" i="62"/>
  <c r="Z72" i="62"/>
  <c r="Z78" i="62"/>
  <c r="Z89" i="62"/>
  <c r="R80" i="64"/>
  <c r="R73" i="64"/>
  <c r="R69" i="64"/>
  <c r="R65" i="64"/>
  <c r="R62" i="64"/>
  <c r="R57" i="64"/>
  <c r="R46" i="64"/>
  <c r="R42" i="64"/>
  <c r="R33" i="64"/>
  <c r="R76" i="64"/>
  <c r="R72" i="64"/>
  <c r="R68" i="64"/>
  <c r="R56" i="64"/>
  <c r="R53" i="64"/>
  <c r="R39" i="64"/>
  <c r="R32" i="64"/>
  <c r="R71" i="64"/>
  <c r="R64" i="64"/>
  <c r="R59" i="64"/>
  <c r="P39" i="64"/>
  <c r="R31" i="64"/>
  <c r="R84" i="64"/>
  <c r="R78" i="64"/>
  <c r="R75" i="64"/>
  <c r="R67" i="64"/>
  <c r="R55" i="64"/>
  <c r="R50" i="64"/>
  <c r="R30" i="64"/>
  <c r="R70" i="64"/>
  <c r="R61" i="64"/>
  <c r="R58" i="64"/>
  <c r="R49" i="64"/>
  <c r="R45" i="64"/>
  <c r="R37" i="64"/>
  <c r="R29" i="64"/>
  <c r="R77" i="64"/>
  <c r="R52" i="64"/>
  <c r="R48" i="64"/>
  <c r="R44" i="64"/>
  <c r="R41" i="64"/>
  <c r="R36" i="64"/>
  <c r="R28" i="64"/>
  <c r="R63" i="64"/>
  <c r="R60" i="64"/>
  <c r="R47" i="64"/>
  <c r="R43" i="64"/>
  <c r="R35" i="64"/>
  <c r="R74" i="64"/>
  <c r="R66" i="64"/>
  <c r="R54" i="64"/>
  <c r="R51" i="64"/>
  <c r="R34" i="64"/>
  <c r="R27" i="64"/>
  <c r="Z15" i="64"/>
  <c r="V16" i="55"/>
  <c r="V22" i="55"/>
  <c r="F28" i="55"/>
  <c r="V28" i="55"/>
  <c r="F34" i="55"/>
  <c r="V34" i="55"/>
  <c r="F25" i="56"/>
  <c r="F29" i="56"/>
  <c r="F33" i="56"/>
  <c r="R34" i="56"/>
  <c r="F36" i="56"/>
  <c r="R37" i="56"/>
  <c r="F41" i="56"/>
  <c r="R42" i="56"/>
  <c r="F44" i="56"/>
  <c r="R45" i="56"/>
  <c r="F48" i="56"/>
  <c r="R49" i="56"/>
  <c r="F57" i="56"/>
  <c r="R58" i="56"/>
  <c r="L16" i="57"/>
  <c r="J19" i="57"/>
  <c r="V21" i="57"/>
  <c r="R22" i="57"/>
  <c r="J25" i="57"/>
  <c r="F26" i="57"/>
  <c r="J29" i="57"/>
  <c r="F30" i="57"/>
  <c r="J33" i="57"/>
  <c r="V37" i="57"/>
  <c r="F42" i="57"/>
  <c r="R43" i="57"/>
  <c r="J45" i="57"/>
  <c r="F46" i="57"/>
  <c r="R47" i="57"/>
  <c r="F49" i="57"/>
  <c r="V49" i="57"/>
  <c r="R50" i="57"/>
  <c r="V53" i="57"/>
  <c r="J57" i="57"/>
  <c r="F59" i="57"/>
  <c r="V59" i="57"/>
  <c r="J63" i="57"/>
  <c r="F65" i="57"/>
  <c r="V65" i="57"/>
  <c r="R14" i="58"/>
  <c r="R18" i="58"/>
  <c r="R21" i="58"/>
  <c r="F25" i="58"/>
  <c r="R29" i="58"/>
  <c r="R33" i="58"/>
  <c r="F36" i="58"/>
  <c r="R37" i="58"/>
  <c r="F41" i="58"/>
  <c r="R42" i="58"/>
  <c r="F44" i="58"/>
  <c r="R45" i="58"/>
  <c r="F53" i="58"/>
  <c r="R54" i="58"/>
  <c r="F57" i="58"/>
  <c r="F68" i="58"/>
  <c r="F75" i="58"/>
  <c r="R16" i="59"/>
  <c r="F21" i="59"/>
  <c r="R25" i="59"/>
  <c r="F41" i="59"/>
  <c r="F45" i="59"/>
  <c r="R46" i="59"/>
  <c r="R54" i="59"/>
  <c r="R61" i="59"/>
  <c r="V14" i="60"/>
  <c r="V18" i="60"/>
  <c r="V22" i="60"/>
  <c r="J26" i="60"/>
  <c r="V30" i="60"/>
  <c r="J32" i="60"/>
  <c r="F35" i="60"/>
  <c r="J38" i="60"/>
  <c r="F39" i="60"/>
  <c r="J42" i="60"/>
  <c r="F44" i="60"/>
  <c r="V44" i="60"/>
  <c r="J48" i="60"/>
  <c r="F50" i="60"/>
  <c r="V50" i="60"/>
  <c r="Z12" i="61"/>
  <c r="J16" i="61"/>
  <c r="R18" i="61"/>
  <c r="Z33" i="61"/>
  <c r="V42" i="61"/>
  <c r="Z18" i="65"/>
  <c r="F19" i="55"/>
  <c r="V19" i="55"/>
  <c r="F24" i="55"/>
  <c r="R25" i="55"/>
  <c r="R22" i="56"/>
  <c r="F26" i="56"/>
  <c r="F30" i="56"/>
  <c r="R46" i="56"/>
  <c r="R50" i="56"/>
  <c r="F54" i="56"/>
  <c r="R63" i="56"/>
  <c r="R70" i="56"/>
  <c r="F14" i="57"/>
  <c r="F18" i="57"/>
  <c r="V22" i="57"/>
  <c r="R23" i="57"/>
  <c r="J26" i="57"/>
  <c r="F27" i="57"/>
  <c r="R28" i="57"/>
  <c r="J30" i="57"/>
  <c r="F31" i="57"/>
  <c r="R32" i="57"/>
  <c r="F34" i="57"/>
  <c r="V34" i="57"/>
  <c r="R35" i="57"/>
  <c r="J36" i="57"/>
  <c r="F39" i="57"/>
  <c r="J42" i="57"/>
  <c r="J46" i="57"/>
  <c r="V50" i="57"/>
  <c r="R51" i="57"/>
  <c r="J52" i="57"/>
  <c r="F55" i="57"/>
  <c r="R56" i="57"/>
  <c r="R22" i="58"/>
  <c r="F26" i="58"/>
  <c r="R34" i="58"/>
  <c r="F50" i="58"/>
  <c r="F58" i="58"/>
  <c r="R59" i="58"/>
  <c r="F61" i="58"/>
  <c r="R62" i="58"/>
  <c r="D16" i="59"/>
  <c r="R19" i="59"/>
  <c r="F22" i="59"/>
  <c r="R26" i="59"/>
  <c r="F29" i="59"/>
  <c r="R30" i="59"/>
  <c r="F33" i="59"/>
  <c r="R34" i="59"/>
  <c r="F38" i="59"/>
  <c r="R39" i="59"/>
  <c r="F42" i="59"/>
  <c r="F49" i="59"/>
  <c r="R50" i="59"/>
  <c r="R56" i="59"/>
  <c r="V23" i="60"/>
  <c r="J27" i="60"/>
  <c r="V31" i="60"/>
  <c r="J35" i="60"/>
  <c r="J39" i="60"/>
  <c r="F51" i="61"/>
  <c r="F44" i="61"/>
  <c r="F39" i="61"/>
  <c r="F36" i="61"/>
  <c r="F31" i="61"/>
  <c r="F46" i="61"/>
  <c r="F40" i="61"/>
  <c r="F35" i="61"/>
  <c r="F32" i="61"/>
  <c r="F28" i="61"/>
  <c r="F23" i="61"/>
  <c r="F37" i="61"/>
  <c r="F34" i="61"/>
  <c r="F22" i="61"/>
  <c r="J19" i="61"/>
  <c r="F24" i="61"/>
  <c r="F29" i="61"/>
  <c r="F30" i="61"/>
  <c r="N31" i="61"/>
  <c r="V33" i="61"/>
  <c r="Z14" i="62"/>
  <c r="X14" i="62"/>
  <c r="L20" i="62"/>
  <c r="N20" i="62" s="1"/>
  <c r="F38" i="62"/>
  <c r="N43" i="62"/>
  <c r="Z96" i="62"/>
  <c r="T38" i="65"/>
  <c r="Z16" i="65"/>
  <c r="J36" i="61"/>
  <c r="J33" i="61"/>
  <c r="J37" i="61"/>
  <c r="J51" i="61"/>
  <c r="J44" i="61"/>
  <c r="J34" i="61"/>
  <c r="J22" i="61"/>
  <c r="J39" i="61"/>
  <c r="J31" i="61"/>
  <c r="J27" i="61"/>
  <c r="J21" i="61"/>
  <c r="V14" i="61"/>
  <c r="V18" i="61"/>
  <c r="J23" i="61"/>
  <c r="J24" i="61"/>
  <c r="J28" i="61"/>
  <c r="J29" i="61"/>
  <c r="J30" i="61"/>
  <c r="N17" i="62"/>
  <c r="H98" i="62"/>
  <c r="F22" i="55"/>
  <c r="R23" i="55"/>
  <c r="R26" i="55"/>
  <c r="L12" i="56"/>
  <c r="P16" i="56"/>
  <c r="F20" i="56"/>
  <c r="R24" i="56"/>
  <c r="F52" i="56"/>
  <c r="F63" i="56"/>
  <c r="N12" i="57"/>
  <c r="J14" i="57"/>
  <c r="R16" i="57"/>
  <c r="J18" i="57"/>
  <c r="J20" i="57"/>
  <c r="F21" i="57"/>
  <c r="V24" i="57"/>
  <c r="R25" i="57"/>
  <c r="F28" i="57"/>
  <c r="V28" i="57"/>
  <c r="R29" i="57"/>
  <c r="F32" i="57"/>
  <c r="V32" i="57"/>
  <c r="R33" i="57"/>
  <c r="J34" i="57"/>
  <c r="F37" i="57"/>
  <c r="R38" i="57"/>
  <c r="V44" i="57"/>
  <c r="R45" i="57"/>
  <c r="V48" i="57"/>
  <c r="F53" i="57"/>
  <c r="R54" i="57"/>
  <c r="R57" i="57"/>
  <c r="L12" i="58"/>
  <c r="P16" i="58"/>
  <c r="F20" i="58"/>
  <c r="R24" i="58"/>
  <c r="F28" i="58"/>
  <c r="F32" i="58"/>
  <c r="F48" i="58"/>
  <c r="R49" i="58"/>
  <c r="R56" i="58"/>
  <c r="F59" i="58"/>
  <c r="F64" i="58"/>
  <c r="X12" i="59"/>
  <c r="F19" i="59"/>
  <c r="R20" i="59"/>
  <c r="F24" i="59"/>
  <c r="R28" i="59"/>
  <c r="R32" i="59"/>
  <c r="F36" i="59"/>
  <c r="R37" i="59"/>
  <c r="R40" i="59"/>
  <c r="D16" i="60"/>
  <c r="T16" i="60"/>
  <c r="X16" i="60" s="1"/>
  <c r="R19" i="60"/>
  <c r="J21" i="60"/>
  <c r="F22" i="60"/>
  <c r="V25" i="60"/>
  <c r="R26" i="60"/>
  <c r="V29" i="60"/>
  <c r="F37" i="60"/>
  <c r="V37" i="60"/>
  <c r="R38" i="60"/>
  <c r="R42" i="60"/>
  <c r="L12" i="61"/>
  <c r="P16" i="61"/>
  <c r="J20" i="61"/>
  <c r="F21" i="61"/>
  <c r="J25" i="61"/>
  <c r="J26" i="61"/>
  <c r="N27" i="61"/>
  <c r="R31" i="61"/>
  <c r="Z39" i="61"/>
  <c r="F42" i="61"/>
  <c r="F48" i="61"/>
  <c r="R51" i="61"/>
  <c r="J17" i="62"/>
  <c r="Z20" i="62"/>
  <c r="J31" i="62"/>
  <c r="J37" i="62"/>
  <c r="Z61" i="62"/>
  <c r="N92" i="62"/>
  <c r="P42" i="65"/>
  <c r="X38" i="65"/>
  <c r="R17" i="62"/>
  <c r="V25" i="62"/>
  <c r="R26" i="62"/>
  <c r="R31" i="62"/>
  <c r="V37" i="62"/>
  <c r="R38" i="62"/>
  <c r="R43" i="62"/>
  <c r="V45" i="62"/>
  <c r="R46" i="62"/>
  <c r="V49" i="62"/>
  <c r="R50" i="62"/>
  <c r="R55" i="62"/>
  <c r="V57" i="62"/>
  <c r="R58" i="62"/>
  <c r="R63" i="62"/>
  <c r="V65" i="62"/>
  <c r="R66" i="62"/>
  <c r="V69" i="62"/>
  <c r="R70" i="62"/>
  <c r="V73" i="62"/>
  <c r="R74" i="62"/>
  <c r="V77" i="62"/>
  <c r="V81" i="62"/>
  <c r="R82" i="62"/>
  <c r="V85" i="62"/>
  <c r="R86" i="62"/>
  <c r="V95" i="62"/>
  <c r="L96" i="62"/>
  <c r="N96" i="62" s="1"/>
  <c r="R100" i="62"/>
  <c r="L12" i="63"/>
  <c r="P16" i="63"/>
  <c r="F20" i="63"/>
  <c r="V23" i="63"/>
  <c r="F28" i="63"/>
  <c r="R29" i="63"/>
  <c r="F31" i="63"/>
  <c r="V31" i="63"/>
  <c r="R32" i="63"/>
  <c r="J33" i="63"/>
  <c r="H38" i="63"/>
  <c r="H16" i="65"/>
  <c r="X16" i="65"/>
  <c r="F19" i="65"/>
  <c r="R20" i="65"/>
  <c r="J21" i="65"/>
  <c r="F24" i="65"/>
  <c r="R25" i="65"/>
  <c r="J27" i="65"/>
  <c r="F31" i="65"/>
  <c r="V31" i="65"/>
  <c r="R32" i="65"/>
  <c r="J33" i="65"/>
  <c r="Z111" i="66"/>
  <c r="T17" i="62"/>
  <c r="R20" i="62"/>
  <c r="V26" i="62"/>
  <c r="R27" i="62"/>
  <c r="V38" i="62"/>
  <c r="V46" i="62"/>
  <c r="R47" i="62"/>
  <c r="V50" i="62"/>
  <c r="V58" i="62"/>
  <c r="V66" i="62"/>
  <c r="V70" i="62"/>
  <c r="R71" i="62"/>
  <c r="V74" i="62"/>
  <c r="R75" i="62"/>
  <c r="V82" i="62"/>
  <c r="R83" i="62"/>
  <c r="V86" i="62"/>
  <c r="R92" i="62"/>
  <c r="V98" i="62"/>
  <c r="V100" i="62"/>
  <c r="V105" i="62"/>
  <c r="R16" i="63"/>
  <c r="F21" i="63"/>
  <c r="F25" i="63"/>
  <c r="V32" i="63"/>
  <c r="R36" i="63"/>
  <c r="J38" i="63"/>
  <c r="R42" i="63"/>
  <c r="J45" i="63"/>
  <c r="T12" i="64"/>
  <c r="J16" i="65"/>
  <c r="J24" i="65"/>
  <c r="R29" i="65"/>
  <c r="V36" i="65"/>
  <c r="P12" i="66"/>
  <c r="X16" i="66"/>
  <c r="Z16" i="66" s="1"/>
  <c r="Z26" i="66"/>
  <c r="Z89" i="66"/>
  <c r="N91" i="66"/>
  <c r="N109" i="66"/>
  <c r="Z35" i="67"/>
  <c r="V27" i="62"/>
  <c r="R28" i="62"/>
  <c r="V31" i="62"/>
  <c r="R32" i="62"/>
  <c r="R41" i="62"/>
  <c r="V43" i="62"/>
  <c r="R44" i="62"/>
  <c r="V47" i="62"/>
  <c r="R53" i="62"/>
  <c r="V55" i="62"/>
  <c r="R56" i="62"/>
  <c r="R61" i="62"/>
  <c r="V63" i="62"/>
  <c r="R64" i="62"/>
  <c r="V71" i="62"/>
  <c r="V75" i="62"/>
  <c r="V83" i="62"/>
  <c r="R84" i="62"/>
  <c r="R89" i="62"/>
  <c r="T16" i="63"/>
  <c r="R19" i="63"/>
  <c r="F26" i="63"/>
  <c r="R27" i="63"/>
  <c r="F29" i="63"/>
  <c r="V29" i="63"/>
  <c r="R30" i="63"/>
  <c r="F34" i="63"/>
  <c r="F40" i="63"/>
  <c r="F42" i="65"/>
  <c r="F40" i="65"/>
  <c r="F45" i="65"/>
  <c r="J19" i="65"/>
  <c r="F22" i="65"/>
  <c r="R23" i="65"/>
  <c r="F25" i="65"/>
  <c r="R26" i="65"/>
  <c r="R30" i="65"/>
  <c r="F34" i="65"/>
  <c r="F36" i="65"/>
  <c r="F105" i="66"/>
  <c r="F98" i="66"/>
  <c r="F94" i="66"/>
  <c r="F89" i="66"/>
  <c r="F66" i="66"/>
  <c r="F50" i="66"/>
  <c r="F42" i="66"/>
  <c r="F110" i="66"/>
  <c r="F101" i="66"/>
  <c r="F85" i="66"/>
  <c r="F80" i="66"/>
  <c r="F77" i="66"/>
  <c r="F65" i="66"/>
  <c r="F60" i="66"/>
  <c r="F49" i="66"/>
  <c r="F41" i="66"/>
  <c r="F104" i="66"/>
  <c r="F100" i="66"/>
  <c r="F91" i="66"/>
  <c r="F88" i="66"/>
  <c r="F76" i="66"/>
  <c r="F64" i="66"/>
  <c r="F48" i="66"/>
  <c r="F40" i="66"/>
  <c r="F108" i="66"/>
  <c r="F103" i="66"/>
  <c r="F87" i="66"/>
  <c r="F82" i="66"/>
  <c r="F79" i="66"/>
  <c r="F75" i="66"/>
  <c r="F70" i="66"/>
  <c r="F63" i="66"/>
  <c r="D57" i="66"/>
  <c r="F55" i="66"/>
  <c r="F47" i="66"/>
  <c r="F39" i="66"/>
  <c r="F111" i="66"/>
  <c r="F106" i="66"/>
  <c r="F97" i="66"/>
  <c r="F93" i="66"/>
  <c r="F90" i="66"/>
  <c r="F74" i="66"/>
  <c r="F62" i="66"/>
  <c r="F54" i="66"/>
  <c r="F46" i="66"/>
  <c r="F115" i="66"/>
  <c r="F84" i="66"/>
  <c r="F81" i="66"/>
  <c r="F73" i="66"/>
  <c r="F69" i="66"/>
  <c r="F61" i="66"/>
  <c r="F53" i="66"/>
  <c r="F45" i="66"/>
  <c r="F109" i="66"/>
  <c r="F99" i="66"/>
  <c r="F96" i="66"/>
  <c r="F92" i="66"/>
  <c r="F72" i="66"/>
  <c r="F68" i="66"/>
  <c r="F59" i="66"/>
  <c r="F52" i="66"/>
  <c r="F44" i="66"/>
  <c r="F102" i="66"/>
  <c r="F95" i="66"/>
  <c r="F86" i="66"/>
  <c r="F83" i="66"/>
  <c r="F78" i="66"/>
  <c r="F71" i="66"/>
  <c r="F67" i="66"/>
  <c r="F51" i="66"/>
  <c r="F43" i="66"/>
  <c r="F38" i="66"/>
  <c r="J54" i="67"/>
  <c r="J48" i="67"/>
  <c r="J44" i="67"/>
  <c r="J36" i="67"/>
  <c r="J28" i="67"/>
  <c r="H21" i="67"/>
  <c r="N12" i="67"/>
  <c r="J41" i="67"/>
  <c r="J33" i="67"/>
  <c r="J27" i="67"/>
  <c r="J19" i="67"/>
  <c r="J52" i="67"/>
  <c r="J46" i="67"/>
  <c r="J38" i="67"/>
  <c r="J26" i="67"/>
  <c r="J43" i="67"/>
  <c r="J35" i="67"/>
  <c r="J25" i="67"/>
  <c r="J23" i="67"/>
  <c r="J57" i="67"/>
  <c r="J50" i="67"/>
  <c r="J40" i="67"/>
  <c r="J32" i="67"/>
  <c r="J18" i="67"/>
  <c r="J45" i="67"/>
  <c r="J37" i="67"/>
  <c r="J31" i="67"/>
  <c r="J42" i="67"/>
  <c r="J34" i="67"/>
  <c r="J30" i="67"/>
  <c r="J24" i="67"/>
  <c r="J39" i="67"/>
  <c r="J29" i="67"/>
  <c r="J21" i="67"/>
  <c r="Z37" i="67"/>
  <c r="Z42" i="69"/>
  <c r="V44" i="62"/>
  <c r="V56" i="62"/>
  <c r="V64" i="62"/>
  <c r="R78" i="62"/>
  <c r="V84" i="62"/>
  <c r="V92" i="62"/>
  <c r="R93" i="62"/>
  <c r="R96" i="62"/>
  <c r="R102" i="62"/>
  <c r="V16" i="63"/>
  <c r="R24" i="63"/>
  <c r="V30" i="63"/>
  <c r="F36" i="63"/>
  <c r="V36" i="63"/>
  <c r="F42" i="63"/>
  <c r="V42" i="63"/>
  <c r="J40" i="65"/>
  <c r="J45" i="65"/>
  <c r="J38" i="65"/>
  <c r="F14" i="65"/>
  <c r="F18" i="65"/>
  <c r="J22" i="65"/>
  <c r="R27" i="65"/>
  <c r="J28" i="65"/>
  <c r="J34" i="65"/>
  <c r="N19" i="66"/>
  <c r="L19" i="66"/>
  <c r="H12" i="66"/>
  <c r="N23" i="66"/>
  <c r="N38" i="66"/>
  <c r="N59" i="66"/>
  <c r="N23" i="67"/>
  <c r="N52" i="69"/>
  <c r="R51" i="62"/>
  <c r="V53" i="62"/>
  <c r="R54" i="62"/>
  <c r="R59" i="62"/>
  <c r="V61" i="62"/>
  <c r="R62" i="62"/>
  <c r="R67" i="62"/>
  <c r="R87" i="62"/>
  <c r="V89" i="62"/>
  <c r="R90" i="62"/>
  <c r="V93" i="62"/>
  <c r="X12" i="63"/>
  <c r="V19" i="63"/>
  <c r="R20" i="63"/>
  <c r="F27" i="63"/>
  <c r="V27" i="63"/>
  <c r="R28" i="63"/>
  <c r="F32" i="63"/>
  <c r="R33" i="63"/>
  <c r="X36" i="63"/>
  <c r="D12" i="64"/>
  <c r="L42" i="64"/>
  <c r="L46" i="64"/>
  <c r="X60" i="64"/>
  <c r="Z60" i="64" s="1"/>
  <c r="L62" i="64"/>
  <c r="L80" i="64"/>
  <c r="L12" i="65"/>
  <c r="X14" i="65"/>
  <c r="F20" i="65"/>
  <c r="R21" i="65"/>
  <c r="F23" i="65"/>
  <c r="R24" i="65"/>
  <c r="J25" i="65"/>
  <c r="L28" i="65"/>
  <c r="N28" i="65" s="1"/>
  <c r="F32" i="65"/>
  <c r="R33" i="65"/>
  <c r="J36" i="65"/>
  <c r="F38" i="65"/>
  <c r="N14" i="66"/>
  <c r="Z15" i="66"/>
  <c r="X15" i="66"/>
  <c r="Z45" i="67"/>
  <c r="F134" i="69"/>
  <c r="F131" i="69"/>
  <c r="F123" i="69"/>
  <c r="F143" i="69"/>
  <c r="F133" i="69"/>
  <c r="F129" i="69"/>
  <c r="F128" i="69"/>
  <c r="F135" i="69"/>
  <c r="F138" i="69"/>
  <c r="F132" i="69"/>
  <c r="F124" i="69"/>
  <c r="F118" i="69"/>
  <c r="F115" i="69"/>
  <c r="F111" i="69"/>
  <c r="F106" i="69"/>
  <c r="F99" i="69"/>
  <c r="F87" i="69"/>
  <c r="F79" i="69"/>
  <c r="F71" i="69"/>
  <c r="F63" i="69"/>
  <c r="F127" i="69"/>
  <c r="F126" i="69"/>
  <c r="F117" i="69"/>
  <c r="F108" i="69"/>
  <c r="F105" i="69"/>
  <c r="F97" i="69"/>
  <c r="F93" i="69"/>
  <c r="F77" i="69"/>
  <c r="F69" i="69"/>
  <c r="F61" i="69"/>
  <c r="F56" i="69"/>
  <c r="F120" i="69"/>
  <c r="F104" i="69"/>
  <c r="F96" i="69"/>
  <c r="F92" i="69"/>
  <c r="F76" i="69"/>
  <c r="F68" i="69"/>
  <c r="F60" i="69"/>
  <c r="F139" i="69"/>
  <c r="F119" i="69"/>
  <c r="F110" i="69"/>
  <c r="F107" i="69"/>
  <c r="F91" i="69"/>
  <c r="F86" i="69"/>
  <c r="F75" i="69"/>
  <c r="F67" i="69"/>
  <c r="F59" i="69"/>
  <c r="F122" i="69"/>
  <c r="F116" i="69"/>
  <c r="F109" i="69"/>
  <c r="F89" i="69"/>
  <c r="D83" i="69"/>
  <c r="F83" i="69" s="1"/>
  <c r="F81" i="69"/>
  <c r="F73" i="69"/>
  <c r="F65" i="69"/>
  <c r="F57" i="69"/>
  <c r="F112" i="69"/>
  <c r="F103" i="69"/>
  <c r="F100" i="69"/>
  <c r="F95" i="69"/>
  <c r="F88" i="69"/>
  <c r="F80" i="69"/>
  <c r="F72" i="69"/>
  <c r="F64" i="69"/>
  <c r="F94" i="69"/>
  <c r="F58" i="69"/>
  <c r="F114" i="69"/>
  <c r="F113" i="69"/>
  <c r="F130" i="69"/>
  <c r="F70" i="69"/>
  <c r="F62" i="69"/>
  <c r="F74" i="69"/>
  <c r="F125" i="69"/>
  <c r="F90" i="69"/>
  <c r="F121" i="69"/>
  <c r="F85" i="69"/>
  <c r="F66" i="69"/>
  <c r="F102" i="69"/>
  <c r="F101" i="69"/>
  <c r="F98" i="69"/>
  <c r="F78" i="69"/>
  <c r="Z19" i="69"/>
  <c r="Z27" i="69"/>
  <c r="V22" i="62"/>
  <c r="R23" i="62"/>
  <c r="V30" i="62"/>
  <c r="V34" i="62"/>
  <c r="R35" i="62"/>
  <c r="V42" i="62"/>
  <c r="R48" i="62"/>
  <c r="V54" i="62"/>
  <c r="V62" i="62"/>
  <c r="R72" i="62"/>
  <c r="R76" i="62"/>
  <c r="V78" i="62"/>
  <c r="R79" i="62"/>
  <c r="V90" i="62"/>
  <c r="R91" i="62"/>
  <c r="P95" i="62"/>
  <c r="V96" i="62"/>
  <c r="V102" i="62"/>
  <c r="Z12" i="63"/>
  <c r="R14" i="63"/>
  <c r="J16" i="63"/>
  <c r="R18" i="63"/>
  <c r="V20" i="63"/>
  <c r="R21" i="63"/>
  <c r="F24" i="63"/>
  <c r="V24" i="63"/>
  <c r="R25" i="63"/>
  <c r="V28" i="63"/>
  <c r="J32" i="63"/>
  <c r="J36" i="63"/>
  <c r="R38" i="63"/>
  <c r="J42" i="63"/>
  <c r="R45" i="63"/>
  <c r="N12" i="65"/>
  <c r="J14" i="65"/>
  <c r="Z14" i="65"/>
  <c r="J18" i="65"/>
  <c r="J20" i="65"/>
  <c r="V24" i="65"/>
  <c r="F29" i="65"/>
  <c r="J32" i="65"/>
  <c r="L36" i="65"/>
  <c r="J42" i="65"/>
  <c r="N13" i="66"/>
  <c r="Z19" i="66"/>
  <c r="N22" i="66"/>
  <c r="Z34" i="66"/>
  <c r="Z59" i="66"/>
  <c r="Z23" i="67"/>
  <c r="V35" i="62"/>
  <c r="R36" i="62"/>
  <c r="V39" i="62"/>
  <c r="R40" i="62"/>
  <c r="R45" i="62"/>
  <c r="V51" i="62"/>
  <c r="R52" i="62"/>
  <c r="R57" i="62"/>
  <c r="V59" i="62"/>
  <c r="R60" i="62"/>
  <c r="R65" i="62"/>
  <c r="V67" i="62"/>
  <c r="R68" i="62"/>
  <c r="V79" i="62"/>
  <c r="R80" i="62"/>
  <c r="R85" i="62"/>
  <c r="V87" i="62"/>
  <c r="R88" i="62"/>
  <c r="V91" i="62"/>
  <c r="R95" i="62"/>
  <c r="L16" i="63"/>
  <c r="V21" i="63"/>
  <c r="R22" i="63"/>
  <c r="V25" i="63"/>
  <c r="R26" i="63"/>
  <c r="J27" i="63"/>
  <c r="F30" i="63"/>
  <c r="R31" i="63"/>
  <c r="F33" i="63"/>
  <c r="V33" i="63"/>
  <c r="R34" i="63"/>
  <c r="R40" i="63"/>
  <c r="R42" i="65"/>
  <c r="R36" i="65"/>
  <c r="R40" i="65"/>
  <c r="R45" i="65"/>
  <c r="D16" i="65"/>
  <c r="R19" i="65"/>
  <c r="F21" i="65"/>
  <c r="R22" i="65"/>
  <c r="J23" i="65"/>
  <c r="F26" i="65"/>
  <c r="J29" i="65"/>
  <c r="F30" i="65"/>
  <c r="R31" i="65"/>
  <c r="F33" i="65"/>
  <c r="R34" i="65"/>
  <c r="R38" i="65"/>
  <c r="T12" i="66"/>
  <c r="Z93" i="66"/>
  <c r="L108" i="66"/>
  <c r="N108" i="66" s="1"/>
  <c r="R138" i="69"/>
  <c r="R135" i="69"/>
  <c r="R132" i="69"/>
  <c r="R124" i="69"/>
  <c r="R134" i="69"/>
  <c r="R139" i="69"/>
  <c r="R131" i="69"/>
  <c r="R123" i="69"/>
  <c r="R143" i="69"/>
  <c r="R133" i="69"/>
  <c r="R129" i="69"/>
  <c r="R125" i="69"/>
  <c r="R119" i="69"/>
  <c r="R116" i="69"/>
  <c r="R107" i="69"/>
  <c r="R91" i="69"/>
  <c r="P83" i="69"/>
  <c r="R83" i="69" s="1"/>
  <c r="R75" i="69"/>
  <c r="R67" i="69"/>
  <c r="R59" i="69"/>
  <c r="R130" i="69"/>
  <c r="R122" i="69"/>
  <c r="R118" i="69"/>
  <c r="R109" i="69"/>
  <c r="R106" i="69"/>
  <c r="R89" i="69"/>
  <c r="R81" i="69"/>
  <c r="R73" i="69"/>
  <c r="R65" i="69"/>
  <c r="R57" i="69"/>
  <c r="R121" i="69"/>
  <c r="R112" i="69"/>
  <c r="R100" i="69"/>
  <c r="R88" i="69"/>
  <c r="R85" i="69"/>
  <c r="R80" i="69"/>
  <c r="R72" i="69"/>
  <c r="R64" i="69"/>
  <c r="R115" i="69"/>
  <c r="R111" i="69"/>
  <c r="R108" i="69"/>
  <c r="R99" i="69"/>
  <c r="R87" i="69"/>
  <c r="R79" i="69"/>
  <c r="R71" i="69"/>
  <c r="R63" i="69"/>
  <c r="R56" i="69"/>
  <c r="R128" i="69"/>
  <c r="R117" i="69"/>
  <c r="R110" i="69"/>
  <c r="R105" i="69"/>
  <c r="R97" i="69"/>
  <c r="R93" i="69"/>
  <c r="R86" i="69"/>
  <c r="R77" i="69"/>
  <c r="R69" i="69"/>
  <c r="R61" i="69"/>
  <c r="R126" i="69"/>
  <c r="R120" i="69"/>
  <c r="R113" i="69"/>
  <c r="R104" i="69"/>
  <c r="R101" i="69"/>
  <c r="R96" i="69"/>
  <c r="R92" i="69"/>
  <c r="R76" i="69"/>
  <c r="R68" i="69"/>
  <c r="R60" i="69"/>
  <c r="R74" i="69"/>
  <c r="R90" i="69"/>
  <c r="R103" i="69"/>
  <c r="R66" i="69"/>
  <c r="R102" i="69"/>
  <c r="R98" i="69"/>
  <c r="R95" i="69"/>
  <c r="R78" i="69"/>
  <c r="R127" i="69"/>
  <c r="R94" i="69"/>
  <c r="R58" i="69"/>
  <c r="R114" i="69"/>
  <c r="R70" i="69"/>
  <c r="R62" i="69"/>
  <c r="V24" i="62"/>
  <c r="R25" i="62"/>
  <c r="V36" i="62"/>
  <c r="R37" i="62"/>
  <c r="V40" i="62"/>
  <c r="V48" i="62"/>
  <c r="R49" i="62"/>
  <c r="V52" i="62"/>
  <c r="V60" i="62"/>
  <c r="V68" i="62"/>
  <c r="R69" i="62"/>
  <c r="V72" i="62"/>
  <c r="R73" i="62"/>
  <c r="V76" i="62"/>
  <c r="R77" i="62"/>
  <c r="V80" i="62"/>
  <c r="R81" i="62"/>
  <c r="T95" i="62"/>
  <c r="R98" i="62"/>
  <c r="F14" i="63"/>
  <c r="V14" i="63"/>
  <c r="F18" i="63"/>
  <c r="V18" i="63"/>
  <c r="V22" i="63"/>
  <c r="J24" i="63"/>
  <c r="V26" i="63"/>
  <c r="V34" i="63"/>
  <c r="F38" i="63"/>
  <c r="V38" i="63"/>
  <c r="V40" i="63"/>
  <c r="V42" i="65"/>
  <c r="V45" i="65"/>
  <c r="V40" i="65"/>
  <c r="F16" i="65"/>
  <c r="V16" i="65"/>
  <c r="V22" i="65"/>
  <c r="J26" i="65"/>
  <c r="F27" i="65"/>
  <c r="R28" i="65"/>
  <c r="J30" i="65"/>
  <c r="V34" i="65"/>
  <c r="V38" i="65"/>
  <c r="N89" i="66"/>
  <c r="Z105" i="66"/>
  <c r="F29" i="67"/>
  <c r="F24" i="67"/>
  <c r="F44" i="67"/>
  <c r="F39" i="67"/>
  <c r="F36" i="67"/>
  <c r="F28" i="67"/>
  <c r="F21" i="67"/>
  <c r="L12" i="67"/>
  <c r="F54" i="67"/>
  <c r="F48" i="67"/>
  <c r="F27" i="67"/>
  <c r="D21" i="67"/>
  <c r="F19" i="67"/>
  <c r="F52" i="67"/>
  <c r="F46" i="67"/>
  <c r="F41" i="67"/>
  <c r="F38" i="67"/>
  <c r="F33" i="67"/>
  <c r="F26" i="67"/>
  <c r="F25" i="67"/>
  <c r="F43" i="67"/>
  <c r="F40" i="67"/>
  <c r="F35" i="67"/>
  <c r="F32" i="67"/>
  <c r="F23" i="67"/>
  <c r="F57" i="67"/>
  <c r="F50" i="67"/>
  <c r="F31" i="67"/>
  <c r="F18" i="67"/>
  <c r="F45" i="67"/>
  <c r="F42" i="67"/>
  <c r="F37" i="67"/>
  <c r="F34" i="67"/>
  <c r="F30" i="67"/>
  <c r="X23" i="66"/>
  <c r="Z23" i="66" s="1"/>
  <c r="L27" i="66"/>
  <c r="X31" i="66"/>
  <c r="Z31" i="66" s="1"/>
  <c r="L35" i="66"/>
  <c r="N35" i="66" s="1"/>
  <c r="P12" i="67"/>
  <c r="N13" i="67"/>
  <c r="L14" i="67"/>
  <c r="V25" i="67"/>
  <c r="V37" i="67"/>
  <c r="V45" i="67"/>
  <c r="T12" i="69"/>
  <c r="N14" i="69"/>
  <c r="Z18" i="69"/>
  <c r="N22" i="69"/>
  <c r="Z26" i="69"/>
  <c r="N30" i="69"/>
  <c r="X32" i="69"/>
  <c r="Z32" i="69" s="1"/>
  <c r="N34" i="69"/>
  <c r="X36" i="69"/>
  <c r="Z36" i="69" s="1"/>
  <c r="N38" i="69"/>
  <c r="X40" i="69"/>
  <c r="Z44" i="69"/>
  <c r="N51" i="69"/>
  <c r="X38" i="66"/>
  <c r="Z38" i="66" s="1"/>
  <c r="L60" i="66"/>
  <c r="N60" i="66" s="1"/>
  <c r="X78" i="66"/>
  <c r="Z78" i="66" s="1"/>
  <c r="L80" i="66"/>
  <c r="X86" i="66"/>
  <c r="Z86" i="66" s="1"/>
  <c r="X102" i="66"/>
  <c r="Z102" i="66" s="1"/>
  <c r="L110" i="66"/>
  <c r="V18" i="67"/>
  <c r="V26" i="67"/>
  <c r="X37" i="67"/>
  <c r="V38" i="67"/>
  <c r="L39" i="67"/>
  <c r="N39" i="67" s="1"/>
  <c r="V46" i="67"/>
  <c r="V50" i="67"/>
  <c r="V52" i="67"/>
  <c r="V57" i="67"/>
  <c r="Z43" i="69"/>
  <c r="N110" i="66"/>
  <c r="L16" i="67"/>
  <c r="V19" i="67"/>
  <c r="V23" i="67"/>
  <c r="V27" i="67"/>
  <c r="V35" i="67"/>
  <c r="V43" i="67"/>
  <c r="Z31" i="69"/>
  <c r="Z35" i="69"/>
  <c r="Z39" i="69"/>
  <c r="X42" i="69"/>
  <c r="Z106" i="69"/>
  <c r="X106" i="69"/>
  <c r="N108" i="69"/>
  <c r="L108" i="69"/>
  <c r="Z12" i="67"/>
  <c r="V28" i="67"/>
  <c r="V36" i="67"/>
  <c r="V44" i="67"/>
  <c r="X34" i="69"/>
  <c r="Z34" i="69" s="1"/>
  <c r="X38" i="69"/>
  <c r="Z38" i="69" s="1"/>
  <c r="L47" i="69"/>
  <c r="N47" i="69" s="1"/>
  <c r="X48" i="69"/>
  <c r="Z48" i="69" s="1"/>
  <c r="Z51" i="69"/>
  <c r="N56" i="69"/>
  <c r="X86" i="69"/>
  <c r="Z110" i="69"/>
  <c r="Z132" i="69"/>
  <c r="X93" i="66"/>
  <c r="L109" i="66"/>
  <c r="X111" i="66"/>
  <c r="V29" i="67"/>
  <c r="V33" i="67"/>
  <c r="V41" i="67"/>
  <c r="H12" i="69"/>
  <c r="L44" i="69"/>
  <c r="N44" i="69" s="1"/>
  <c r="Z86" i="69"/>
  <c r="T21" i="67"/>
  <c r="V30" i="67"/>
  <c r="V34" i="67"/>
  <c r="V42" i="67"/>
  <c r="V48" i="67"/>
  <c r="V54" i="67"/>
  <c r="L32" i="69"/>
  <c r="L36" i="69"/>
  <c r="L40" i="69"/>
  <c r="L52" i="69"/>
  <c r="Z118" i="69"/>
  <c r="X118" i="69"/>
  <c r="V21" i="67"/>
  <c r="V31" i="67"/>
  <c r="V39" i="67"/>
  <c r="Z47" i="69"/>
  <c r="P137" i="69"/>
  <c r="X138" i="69"/>
  <c r="Z138" i="69" s="1"/>
  <c r="N35" i="69"/>
  <c r="N39" i="69"/>
  <c r="L43" i="69"/>
  <c r="X47" i="69"/>
  <c r="N132" i="69"/>
  <c r="X134" i="69"/>
  <c r="Z13" i="70"/>
  <c r="Z21" i="70"/>
  <c r="L31" i="70"/>
  <c r="J44" i="70"/>
  <c r="Z61" i="70"/>
  <c r="Z71" i="70"/>
  <c r="N22" i="71"/>
  <c r="N92" i="71"/>
  <c r="J30" i="70"/>
  <c r="N31" i="70"/>
  <c r="J66" i="70"/>
  <c r="Z124" i="69"/>
  <c r="D12" i="70"/>
  <c r="P12" i="70"/>
  <c r="Z18" i="70"/>
  <c r="X18" i="70"/>
  <c r="J28" i="70"/>
  <c r="Z31" i="70"/>
  <c r="Z63" i="70"/>
  <c r="Z18" i="71"/>
  <c r="N21" i="71"/>
  <c r="N52" i="71"/>
  <c r="L138" i="69"/>
  <c r="N138" i="69" s="1"/>
  <c r="D137" i="69"/>
  <c r="F137" i="69" s="1"/>
  <c r="N14" i="70"/>
  <c r="L14" i="70"/>
  <c r="N22" i="70"/>
  <c r="L22" i="70"/>
  <c r="J58" i="70"/>
  <c r="L13" i="71"/>
  <c r="N17" i="71"/>
  <c r="Z82" i="71"/>
  <c r="N86" i="71"/>
  <c r="H137" i="69"/>
  <c r="L13" i="70"/>
  <c r="X14" i="70"/>
  <c r="Z14" i="70" s="1"/>
  <c r="X15" i="70"/>
  <c r="Z15" i="70" s="1"/>
  <c r="X22" i="70"/>
  <c r="J26" i="70"/>
  <c r="J36" i="70"/>
  <c r="N61" i="70"/>
  <c r="H12" i="71"/>
  <c r="N13" i="71"/>
  <c r="Z21" i="71"/>
  <c r="J58" i="73"/>
  <c r="J46" i="73"/>
  <c r="J38" i="73"/>
  <c r="J34" i="73"/>
  <c r="J30" i="73"/>
  <c r="J57" i="73"/>
  <c r="J49" i="73"/>
  <c r="J43" i="73"/>
  <c r="J33" i="73"/>
  <c r="J29" i="73"/>
  <c r="J70" i="73"/>
  <c r="J64" i="73"/>
  <c r="J60" i="73"/>
  <c r="J56" i="73"/>
  <c r="J52" i="73"/>
  <c r="J40" i="73"/>
  <c r="J28" i="73"/>
  <c r="J68" i="73"/>
  <c r="J62" i="73"/>
  <c r="J54" i="73"/>
  <c r="J48" i="73"/>
  <c r="J42" i="73"/>
  <c r="J32" i="73"/>
  <c r="J26" i="73"/>
  <c r="J18" i="73"/>
  <c r="J59" i="73"/>
  <c r="J39" i="73"/>
  <c r="J25" i="73"/>
  <c r="J17" i="73"/>
  <c r="J55" i="73"/>
  <c r="J24" i="73"/>
  <c r="H20" i="73"/>
  <c r="N12" i="73"/>
  <c r="J47" i="73"/>
  <c r="J73" i="73"/>
  <c r="J50" i="73"/>
  <c r="J23" i="73"/>
  <c r="J45" i="73"/>
  <c r="J44" i="73"/>
  <c r="J66" i="73"/>
  <c r="J53" i="73"/>
  <c r="J51" i="73"/>
  <c r="J37" i="73"/>
  <c r="J35" i="73"/>
  <c r="J22" i="73"/>
  <c r="J61" i="73"/>
  <c r="J36" i="73"/>
  <c r="J41" i="73"/>
  <c r="J31" i="73"/>
  <c r="J27" i="73"/>
  <c r="J20" i="73"/>
  <c r="J16" i="73"/>
  <c r="T44" i="74"/>
  <c r="T137" i="69"/>
  <c r="J65" i="70"/>
  <c r="J55" i="70"/>
  <c r="J49" i="70"/>
  <c r="J33" i="70"/>
  <c r="J75" i="70"/>
  <c r="J69" i="70"/>
  <c r="J61" i="70"/>
  <c r="J57" i="70"/>
  <c r="J51" i="70"/>
  <c r="J43" i="70"/>
  <c r="J39" i="70"/>
  <c r="J25" i="70"/>
  <c r="J54" i="70"/>
  <c r="J48" i="70"/>
  <c r="J42" i="70"/>
  <c r="J38" i="70"/>
  <c r="J79" i="70"/>
  <c r="J71" i="70"/>
  <c r="J63" i="70"/>
  <c r="J53" i="70"/>
  <c r="J45" i="70"/>
  <c r="J41" i="70"/>
  <c r="J37" i="70"/>
  <c r="J31" i="70"/>
  <c r="J68" i="70"/>
  <c r="J60" i="70"/>
  <c r="J56" i="70"/>
  <c r="J50" i="70"/>
  <c r="J67" i="70"/>
  <c r="J59" i="70"/>
  <c r="J47" i="70"/>
  <c r="J35" i="70"/>
  <c r="H28" i="70"/>
  <c r="J70" i="70"/>
  <c r="J46" i="70"/>
  <c r="J52" i="70"/>
  <c r="N15" i="71"/>
  <c r="N30" i="71"/>
  <c r="Z94" i="71"/>
  <c r="P12" i="71"/>
  <c r="X52" i="71"/>
  <c r="Z52" i="71" s="1"/>
  <c r="R55" i="73"/>
  <c r="R51" i="73"/>
  <c r="R48" i="73"/>
  <c r="R32" i="73"/>
  <c r="R27" i="73"/>
  <c r="R68" i="73"/>
  <c r="R62" i="73"/>
  <c r="R59" i="73"/>
  <c r="R54" i="73"/>
  <c r="R42" i="73"/>
  <c r="R39" i="73"/>
  <c r="R26" i="73"/>
  <c r="R73" i="73"/>
  <c r="R66" i="73"/>
  <c r="R50" i="73"/>
  <c r="R25" i="73"/>
  <c r="R47" i="73"/>
  <c r="R35" i="73"/>
  <c r="R31" i="73"/>
  <c r="R16" i="73"/>
  <c r="R58" i="73"/>
  <c r="R46" i="73"/>
  <c r="R43" i="73"/>
  <c r="R38" i="73"/>
  <c r="R34" i="73"/>
  <c r="R30" i="73"/>
  <c r="R23" i="73"/>
  <c r="R29" i="73"/>
  <c r="R56" i="73"/>
  <c r="Z36" i="77"/>
  <c r="X36" i="77"/>
  <c r="V23" i="78"/>
  <c r="T20" i="78"/>
  <c r="V26" i="78"/>
  <c r="V22" i="78"/>
  <c r="V18" i="78"/>
  <c r="V17" i="78"/>
  <c r="V16" i="78"/>
  <c r="V24" i="78"/>
  <c r="V30" i="78"/>
  <c r="T12" i="71"/>
  <c r="P91" i="71"/>
  <c r="T12" i="73"/>
  <c r="N22" i="73"/>
  <c r="R28" i="73"/>
  <c r="R33" i="73"/>
  <c r="R40" i="73"/>
  <c r="X48" i="73"/>
  <c r="Z48" i="73" s="1"/>
  <c r="Z30" i="74"/>
  <c r="V34" i="74"/>
  <c r="Z39" i="74"/>
  <c r="X16" i="75"/>
  <c r="Z16" i="75" s="1"/>
  <c r="J65" i="76"/>
  <c r="J77" i="76"/>
  <c r="J63" i="76"/>
  <c r="J48" i="76"/>
  <c r="J42" i="76"/>
  <c r="J28" i="76"/>
  <c r="J20" i="76"/>
  <c r="N12" i="76"/>
  <c r="J80" i="76"/>
  <c r="J61" i="76"/>
  <c r="J53" i="76"/>
  <c r="J45" i="76"/>
  <c r="J39" i="76"/>
  <c r="J27" i="76"/>
  <c r="H20" i="76"/>
  <c r="J56" i="76"/>
  <c r="J50" i="76"/>
  <c r="J36" i="76"/>
  <c r="J32" i="76"/>
  <c r="J26" i="76"/>
  <c r="J18" i="76"/>
  <c r="J71" i="76"/>
  <c r="J69" i="76"/>
  <c r="J68" i="76"/>
  <c r="J47" i="76"/>
  <c r="J41" i="76"/>
  <c r="J25" i="76"/>
  <c r="J17" i="76"/>
  <c r="J73" i="76"/>
  <c r="J67" i="76"/>
  <c r="J66" i="76"/>
  <c r="J60" i="76"/>
  <c r="J52" i="76"/>
  <c r="J44" i="76"/>
  <c r="J38" i="76"/>
  <c r="J24" i="76"/>
  <c r="J22" i="76"/>
  <c r="J75" i="76"/>
  <c r="J59" i="76"/>
  <c r="J55" i="76"/>
  <c r="J49" i="76"/>
  <c r="J43" i="76"/>
  <c r="J35" i="76"/>
  <c r="J31" i="76"/>
  <c r="J58" i="76"/>
  <c r="J54" i="76"/>
  <c r="J46" i="76"/>
  <c r="J40" i="76"/>
  <c r="J34" i="76"/>
  <c r="J30" i="76"/>
  <c r="J16" i="76"/>
  <c r="Z22" i="76"/>
  <c r="F30" i="76"/>
  <c r="J37" i="76"/>
  <c r="N51" i="76"/>
  <c r="F58" i="76"/>
  <c r="L65" i="77"/>
  <c r="N65" i="77" s="1"/>
  <c r="X12" i="73"/>
  <c r="R24" i="73"/>
  <c r="R60" i="73"/>
  <c r="D44" i="74"/>
  <c r="D12" i="75"/>
  <c r="L13" i="75"/>
  <c r="N15" i="75"/>
  <c r="T12" i="77"/>
  <c r="R110" i="77"/>
  <c r="R104" i="77"/>
  <c r="R101" i="77"/>
  <c r="R103" i="77"/>
  <c r="R98" i="77"/>
  <c r="R90" i="77"/>
  <c r="R86" i="77"/>
  <c r="R82" i="77"/>
  <c r="R79" i="77"/>
  <c r="R74" i="77"/>
  <c r="R71" i="77"/>
  <c r="R66" i="77"/>
  <c r="R62" i="77"/>
  <c r="R58" i="77"/>
  <c r="R42" i="77"/>
  <c r="R97" i="77"/>
  <c r="R93" i="77"/>
  <c r="R89" i="77"/>
  <c r="R85" i="77"/>
  <c r="R61" i="77"/>
  <c r="R57" i="77"/>
  <c r="R50" i="77"/>
  <c r="R41" i="77"/>
  <c r="R100" i="77"/>
  <c r="R96" i="77"/>
  <c r="R92" i="77"/>
  <c r="R88" i="77"/>
  <c r="R84" i="77"/>
  <c r="R81" i="77"/>
  <c r="R76" i="77"/>
  <c r="R73" i="77"/>
  <c r="R68" i="77"/>
  <c r="R65" i="77"/>
  <c r="R60" i="77"/>
  <c r="R56" i="77"/>
  <c r="R40" i="77"/>
  <c r="R106" i="77"/>
  <c r="R95" i="77"/>
  <c r="R55" i="77"/>
  <c r="P47" i="77"/>
  <c r="R39" i="77"/>
  <c r="R102" i="77"/>
  <c r="R99" i="77"/>
  <c r="R91" i="77"/>
  <c r="R87" i="77"/>
  <c r="R83" i="77"/>
  <c r="R78" i="77"/>
  <c r="R75" i="77"/>
  <c r="R70" i="77"/>
  <c r="R67" i="77"/>
  <c r="R59" i="77"/>
  <c r="R54" i="77"/>
  <c r="R49" i="77"/>
  <c r="R43" i="77"/>
  <c r="X12" i="77"/>
  <c r="R80" i="77"/>
  <c r="R69" i="77"/>
  <c r="R51" i="77"/>
  <c r="R44" i="77"/>
  <c r="R77" i="77"/>
  <c r="R63" i="77"/>
  <c r="R52" i="77"/>
  <c r="R45" i="77"/>
  <c r="R94" i="77"/>
  <c r="R53" i="77"/>
  <c r="R64" i="77"/>
  <c r="Z30" i="77"/>
  <c r="P74" i="70"/>
  <c r="X13" i="71"/>
  <c r="Z13" i="71" s="1"/>
  <c r="L17" i="71"/>
  <c r="X21" i="71"/>
  <c r="X29" i="71"/>
  <c r="Z29" i="71" s="1"/>
  <c r="L33" i="71"/>
  <c r="D91" i="71"/>
  <c r="T91" i="71"/>
  <c r="X13" i="73"/>
  <c r="Z13" i="73" s="1"/>
  <c r="R18" i="73"/>
  <c r="P20" i="73"/>
  <c r="R41" i="73"/>
  <c r="R70" i="73"/>
  <c r="Z14" i="74"/>
  <c r="F54" i="76"/>
  <c r="Z79" i="77"/>
  <c r="X79" i="77"/>
  <c r="T12" i="70"/>
  <c r="D12" i="71"/>
  <c r="D12" i="73"/>
  <c r="R17" i="73"/>
  <c r="R20" i="73"/>
  <c r="R22" i="73"/>
  <c r="Z32" i="73"/>
  <c r="R36" i="73"/>
  <c r="X37" i="73"/>
  <c r="Z37" i="73" s="1"/>
  <c r="R52" i="73"/>
  <c r="Z59" i="73"/>
  <c r="R61" i="73"/>
  <c r="N64" i="73"/>
  <c r="L64" i="73"/>
  <c r="R39" i="74"/>
  <c r="R34" i="74"/>
  <c r="R17" i="74"/>
  <c r="R33" i="74"/>
  <c r="R30" i="74"/>
  <c r="R25" i="74"/>
  <c r="P17" i="74"/>
  <c r="R36" i="74"/>
  <c r="R24" i="74"/>
  <c r="R48" i="74"/>
  <c r="R42" i="74"/>
  <c r="R32" i="74"/>
  <c r="R27" i="74"/>
  <c r="R23" i="74"/>
  <c r="R15" i="74"/>
  <c r="R38" i="74"/>
  <c r="R35" i="74"/>
  <c r="R22" i="74"/>
  <c r="R19" i="74"/>
  <c r="R29" i="74"/>
  <c r="R26" i="74"/>
  <c r="R21" i="74"/>
  <c r="R14" i="74"/>
  <c r="R46" i="74"/>
  <c r="R40" i="74"/>
  <c r="R37" i="74"/>
  <c r="X12" i="74"/>
  <c r="R51" i="74"/>
  <c r="Z15" i="75"/>
  <c r="V80" i="76"/>
  <c r="V75" i="76"/>
  <c r="V73" i="76"/>
  <c r="V69" i="76"/>
  <c r="V61" i="76"/>
  <c r="V68" i="76"/>
  <c r="V66" i="76"/>
  <c r="V60" i="76"/>
  <c r="V52" i="76"/>
  <c r="V44" i="76"/>
  <c r="V40" i="76"/>
  <c r="V24" i="76"/>
  <c r="V16" i="76"/>
  <c r="V67" i="76"/>
  <c r="V59" i="76"/>
  <c r="V55" i="76"/>
  <c r="V51" i="76"/>
  <c r="V43" i="76"/>
  <c r="V35" i="76"/>
  <c r="V31" i="76"/>
  <c r="V23" i="76"/>
  <c r="V58" i="76"/>
  <c r="V54" i="76"/>
  <c r="V46" i="76"/>
  <c r="V42" i="76"/>
  <c r="V34" i="76"/>
  <c r="V30" i="76"/>
  <c r="V20" i="76"/>
  <c r="V77" i="76"/>
  <c r="V65" i="76"/>
  <c r="V64" i="76"/>
  <c r="V57" i="76"/>
  <c r="V53" i="76"/>
  <c r="V45" i="76"/>
  <c r="V37" i="76"/>
  <c r="V33" i="76"/>
  <c r="V29" i="76"/>
  <c r="T20" i="76"/>
  <c r="V63" i="76"/>
  <c r="V62" i="76"/>
  <c r="V56" i="76"/>
  <c r="V48" i="76"/>
  <c r="V36" i="76"/>
  <c r="V32" i="76"/>
  <c r="V28" i="76"/>
  <c r="Z12" i="76"/>
  <c r="V47" i="76"/>
  <c r="V39" i="76"/>
  <c r="V27" i="76"/>
  <c r="V50" i="76"/>
  <c r="V38" i="76"/>
  <c r="V26" i="76"/>
  <c r="V22" i="76"/>
  <c r="V18" i="76"/>
  <c r="V17" i="76"/>
  <c r="J29" i="76"/>
  <c r="R47" i="76"/>
  <c r="F49" i="76"/>
  <c r="T74" i="70"/>
  <c r="H91" i="71"/>
  <c r="R37" i="73"/>
  <c r="V33" i="74"/>
  <c r="V25" i="74"/>
  <c r="V48" i="74"/>
  <c r="V42" i="74"/>
  <c r="V36" i="74"/>
  <c r="V32" i="74"/>
  <c r="V24" i="74"/>
  <c r="V35" i="74"/>
  <c r="V27" i="74"/>
  <c r="V23" i="74"/>
  <c r="V19" i="74"/>
  <c r="V15" i="74"/>
  <c r="V38" i="74"/>
  <c r="V26" i="74"/>
  <c r="V22" i="74"/>
  <c r="V14" i="74"/>
  <c r="V37" i="74"/>
  <c r="V29" i="74"/>
  <c r="V21" i="74"/>
  <c r="V51" i="74"/>
  <c r="V46" i="74"/>
  <c r="V44" i="74"/>
  <c r="V40" i="74"/>
  <c r="V28" i="74"/>
  <c r="V20" i="74"/>
  <c r="Z12" i="74"/>
  <c r="V39" i="74"/>
  <c r="V31" i="74"/>
  <c r="V17" i="74"/>
  <c r="R62" i="76"/>
  <c r="R75" i="76"/>
  <c r="R69" i="76"/>
  <c r="R66" i="76"/>
  <c r="R68" i="76"/>
  <c r="R41" i="76"/>
  <c r="R38" i="76"/>
  <c r="R25" i="76"/>
  <c r="R22" i="76"/>
  <c r="R17" i="76"/>
  <c r="R71" i="76"/>
  <c r="R60" i="76"/>
  <c r="R52" i="76"/>
  <c r="R49" i="76"/>
  <c r="R44" i="76"/>
  <c r="R24" i="76"/>
  <c r="R67" i="76"/>
  <c r="R59" i="76"/>
  <c r="R55" i="76"/>
  <c r="R43" i="76"/>
  <c r="R40" i="76"/>
  <c r="R35" i="76"/>
  <c r="R31" i="76"/>
  <c r="R16" i="76"/>
  <c r="R58" i="76"/>
  <c r="R54" i="76"/>
  <c r="R51" i="76"/>
  <c r="R46" i="76"/>
  <c r="R34" i="76"/>
  <c r="R30" i="76"/>
  <c r="R23" i="76"/>
  <c r="R65" i="76"/>
  <c r="R64" i="76"/>
  <c r="R57" i="76"/>
  <c r="R42" i="76"/>
  <c r="R37" i="76"/>
  <c r="R33" i="76"/>
  <c r="R29" i="76"/>
  <c r="R63" i="76"/>
  <c r="R61" i="76"/>
  <c r="R53" i="76"/>
  <c r="R48" i="76"/>
  <c r="R45" i="76"/>
  <c r="R28" i="76"/>
  <c r="P20" i="76"/>
  <c r="X12" i="76"/>
  <c r="R56" i="76"/>
  <c r="R39" i="76"/>
  <c r="R36" i="76"/>
  <c r="R32" i="76"/>
  <c r="R27" i="76"/>
  <c r="L16" i="76"/>
  <c r="N16" i="76" s="1"/>
  <c r="L16" i="77"/>
  <c r="N16" i="77" s="1"/>
  <c r="L25" i="77"/>
  <c r="Z28" i="77"/>
  <c r="X28" i="77"/>
  <c r="R45" i="73"/>
  <c r="R53" i="73"/>
  <c r="R64" i="73"/>
  <c r="N19" i="74"/>
  <c r="V31" i="75"/>
  <c r="V25" i="75"/>
  <c r="V21" i="75"/>
  <c r="V20" i="75"/>
  <c r="Z12" i="75"/>
  <c r="V19" i="75"/>
  <c r="V18" i="75"/>
  <c r="V27" i="75"/>
  <c r="T23" i="75"/>
  <c r="P29" i="75"/>
  <c r="X23" i="75"/>
  <c r="R38" i="77"/>
  <c r="H74" i="70"/>
  <c r="J74" i="70" s="1"/>
  <c r="R44" i="73"/>
  <c r="R49" i="73"/>
  <c r="R57" i="73"/>
  <c r="J18" i="75"/>
  <c r="J27" i="75"/>
  <c r="J23" i="75"/>
  <c r="H23" i="75"/>
  <c r="J31" i="75"/>
  <c r="J21" i="75"/>
  <c r="J20" i="75"/>
  <c r="J25" i="75"/>
  <c r="J19" i="75"/>
  <c r="L25" i="75"/>
  <c r="F68" i="76"/>
  <c r="F67" i="76"/>
  <c r="F63" i="76"/>
  <c r="F64" i="76"/>
  <c r="F62" i="76"/>
  <c r="F57" i="76"/>
  <c r="F40" i="76"/>
  <c r="F37" i="76"/>
  <c r="F33" i="76"/>
  <c r="F29" i="76"/>
  <c r="F16" i="76"/>
  <c r="F51" i="76"/>
  <c r="F48" i="76"/>
  <c r="F28" i="76"/>
  <c r="F23" i="76"/>
  <c r="L12" i="76"/>
  <c r="F42" i="76"/>
  <c r="F39" i="76"/>
  <c r="F27" i="76"/>
  <c r="F61" i="76"/>
  <c r="F53" i="76"/>
  <c r="F50" i="76"/>
  <c r="F45" i="76"/>
  <c r="F26" i="76"/>
  <c r="D20" i="76"/>
  <c r="F18" i="76"/>
  <c r="F69" i="76"/>
  <c r="F56" i="76"/>
  <c r="F41" i="76"/>
  <c r="F36" i="76"/>
  <c r="F32" i="76"/>
  <c r="F25" i="76"/>
  <c r="F17" i="76"/>
  <c r="F71" i="76"/>
  <c r="F60" i="76"/>
  <c r="F52" i="76"/>
  <c r="F47" i="76"/>
  <c r="F44" i="76"/>
  <c r="F24" i="76"/>
  <c r="F75" i="76"/>
  <c r="F66" i="76"/>
  <c r="F59" i="76"/>
  <c r="F55" i="76"/>
  <c r="F43" i="76"/>
  <c r="F38" i="76"/>
  <c r="F35" i="76"/>
  <c r="F31" i="76"/>
  <c r="F22" i="76"/>
  <c r="F34" i="76"/>
  <c r="N42" i="76"/>
  <c r="Z49" i="76"/>
  <c r="J62" i="76"/>
  <c r="V71" i="76"/>
  <c r="R72" i="77"/>
  <c r="J15" i="74"/>
  <c r="F17" i="74"/>
  <c r="J23" i="74"/>
  <c r="F24" i="74"/>
  <c r="J27" i="74"/>
  <c r="F36" i="74"/>
  <c r="F39" i="74"/>
  <c r="R23" i="75"/>
  <c r="R27" i="75"/>
  <c r="N14" i="76"/>
  <c r="H12" i="77"/>
  <c r="Z19" i="77"/>
  <c r="X29" i="77"/>
  <c r="Z29" i="77" s="1"/>
  <c r="N33" i="77"/>
  <c r="Z38" i="77"/>
  <c r="J20" i="78"/>
  <c r="F16" i="79"/>
  <c r="R17" i="79"/>
  <c r="Z22" i="79"/>
  <c r="R25" i="79"/>
  <c r="V52" i="79"/>
  <c r="R61" i="79"/>
  <c r="V70" i="79"/>
  <c r="H17" i="74"/>
  <c r="F20" i="74"/>
  <c r="J24" i="74"/>
  <c r="F25" i="74"/>
  <c r="F28" i="74"/>
  <c r="J30" i="74"/>
  <c r="F33" i="74"/>
  <c r="J36" i="74"/>
  <c r="F44" i="74"/>
  <c r="F51" i="74"/>
  <c r="R18" i="75"/>
  <c r="N66" i="76"/>
  <c r="L15" i="77"/>
  <c r="N15" i="77" s="1"/>
  <c r="L50" i="77"/>
  <c r="N50" i="77" s="1"/>
  <c r="L14" i="79"/>
  <c r="X41" i="79"/>
  <c r="L43" i="79"/>
  <c r="V44" i="79"/>
  <c r="N57" i="79"/>
  <c r="V74" i="79"/>
  <c r="R25" i="82"/>
  <c r="R16" i="82"/>
  <c r="R37" i="82"/>
  <c r="R31" i="82"/>
  <c r="R24" i="82"/>
  <c r="R21" i="82"/>
  <c r="P16" i="82"/>
  <c r="R27" i="82"/>
  <c r="R23" i="82"/>
  <c r="R35" i="82"/>
  <c r="R29" i="82"/>
  <c r="R26" i="82"/>
  <c r="R18" i="82"/>
  <c r="R14" i="82"/>
  <c r="R40" i="82"/>
  <c r="R33" i="82"/>
  <c r="R20" i="82"/>
  <c r="X12" i="82"/>
  <c r="R28" i="82"/>
  <c r="R22" i="82"/>
  <c r="R19" i="82"/>
  <c r="F34" i="74"/>
  <c r="F37" i="74"/>
  <c r="F78" i="79"/>
  <c r="F76" i="79"/>
  <c r="F79" i="79"/>
  <c r="F73" i="79"/>
  <c r="F75" i="79"/>
  <c r="F43" i="79"/>
  <c r="F40" i="79"/>
  <c r="F28" i="79"/>
  <c r="F23" i="79"/>
  <c r="F62" i="79"/>
  <c r="F54" i="79"/>
  <c r="F51" i="79"/>
  <c r="F46" i="79"/>
  <c r="F27" i="79"/>
  <c r="F20" i="79"/>
  <c r="F57" i="79"/>
  <c r="F42" i="79"/>
  <c r="F37" i="79"/>
  <c r="F26" i="79"/>
  <c r="D20" i="79"/>
  <c r="F18" i="79"/>
  <c r="F74" i="79"/>
  <c r="F72" i="79"/>
  <c r="F71" i="79"/>
  <c r="F70" i="79"/>
  <c r="F69" i="79"/>
  <c r="F64" i="79"/>
  <c r="F61" i="79"/>
  <c r="F53" i="79"/>
  <c r="F48" i="79"/>
  <c r="F45" i="79"/>
  <c r="F32" i="79"/>
  <c r="F25" i="79"/>
  <c r="F17" i="79"/>
  <c r="F68" i="79"/>
  <c r="F60" i="79"/>
  <c r="F56" i="79"/>
  <c r="F44" i="79"/>
  <c r="F39" i="79"/>
  <c r="F36" i="79"/>
  <c r="F24" i="79"/>
  <c r="F67" i="79"/>
  <c r="F63" i="79"/>
  <c r="F59" i="79"/>
  <c r="F55" i="79"/>
  <c r="F50" i="79"/>
  <c r="F47" i="79"/>
  <c r="F35" i="79"/>
  <c r="F31" i="79"/>
  <c r="F22" i="79"/>
  <c r="F83" i="79"/>
  <c r="F66" i="79"/>
  <c r="F58" i="79"/>
  <c r="F41" i="79"/>
  <c r="F38" i="79"/>
  <c r="F34" i="79"/>
  <c r="F30" i="79"/>
  <c r="V24" i="79"/>
  <c r="N43" i="79"/>
  <c r="V60" i="79"/>
  <c r="F65" i="79"/>
  <c r="F14" i="74"/>
  <c r="J20" i="74"/>
  <c r="F26" i="74"/>
  <c r="J28" i="74"/>
  <c r="F31" i="74"/>
  <c r="J34" i="74"/>
  <c r="J44" i="74"/>
  <c r="J51" i="74"/>
  <c r="L15" i="75"/>
  <c r="R19" i="75"/>
  <c r="X14" i="76"/>
  <c r="X61" i="76"/>
  <c r="Z61" i="76" s="1"/>
  <c r="N20" i="77"/>
  <c r="N81" i="77"/>
  <c r="X101" i="77"/>
  <c r="N103" i="77"/>
  <c r="F23" i="78"/>
  <c r="L12" i="78"/>
  <c r="D20" i="78"/>
  <c r="F20" i="78" s="1"/>
  <c r="F18" i="78"/>
  <c r="F26" i="78"/>
  <c r="F17" i="78"/>
  <c r="F30" i="78"/>
  <c r="F24" i="78"/>
  <c r="F22" i="78"/>
  <c r="H12" i="79"/>
  <c r="R83" i="79"/>
  <c r="R72" i="79"/>
  <c r="R74" i="79"/>
  <c r="R70" i="79"/>
  <c r="R79" i="79"/>
  <c r="R76" i="79"/>
  <c r="R73" i="79"/>
  <c r="R68" i="79"/>
  <c r="R60" i="79"/>
  <c r="R56" i="79"/>
  <c r="R44" i="79"/>
  <c r="R41" i="79"/>
  <c r="R36" i="79"/>
  <c r="R24" i="79"/>
  <c r="R67" i="79"/>
  <c r="R63" i="79"/>
  <c r="R59" i="79"/>
  <c r="R55" i="79"/>
  <c r="R52" i="79"/>
  <c r="R47" i="79"/>
  <c r="R35" i="79"/>
  <c r="R31" i="79"/>
  <c r="R16" i="79"/>
  <c r="R66" i="79"/>
  <c r="R58" i="79"/>
  <c r="R43" i="79"/>
  <c r="R38" i="79"/>
  <c r="R34" i="79"/>
  <c r="R30" i="79"/>
  <c r="R23" i="79"/>
  <c r="R65" i="79"/>
  <c r="R62" i="79"/>
  <c r="R54" i="79"/>
  <c r="R49" i="79"/>
  <c r="R46" i="79"/>
  <c r="R33" i="79"/>
  <c r="R29" i="79"/>
  <c r="R20" i="79"/>
  <c r="R57" i="79"/>
  <c r="R40" i="79"/>
  <c r="R37" i="79"/>
  <c r="R28" i="79"/>
  <c r="P20" i="79"/>
  <c r="X12" i="79"/>
  <c r="R64" i="79"/>
  <c r="R51" i="79"/>
  <c r="R48" i="79"/>
  <c r="R32" i="79"/>
  <c r="R27" i="79"/>
  <c r="R42" i="79"/>
  <c r="R39" i="79"/>
  <c r="R26" i="79"/>
  <c r="R18" i="79"/>
  <c r="R50" i="79"/>
  <c r="R53" i="79"/>
  <c r="L12" i="74"/>
  <c r="X14" i="74"/>
  <c r="F19" i="74"/>
  <c r="L20" i="74"/>
  <c r="X26" i="74"/>
  <c r="Z26" i="74" s="1"/>
  <c r="L28" i="74"/>
  <c r="N28" i="74" s="1"/>
  <c r="J31" i="74"/>
  <c r="F35" i="74"/>
  <c r="J37" i="74"/>
  <c r="F40" i="74"/>
  <c r="F46" i="74"/>
  <c r="X12" i="75"/>
  <c r="X18" i="75"/>
  <c r="Z18" i="75" s="1"/>
  <c r="R20" i="75"/>
  <c r="R25" i="75"/>
  <c r="R29" i="75"/>
  <c r="X45" i="76"/>
  <c r="Z45" i="76" s="1"/>
  <c r="L47" i="76"/>
  <c r="N47" i="76" s="1"/>
  <c r="X53" i="76"/>
  <c r="Z53" i="76" s="1"/>
  <c r="X71" i="76"/>
  <c r="X69" i="77"/>
  <c r="Z69" i="77" s="1"/>
  <c r="Z77" i="77"/>
  <c r="Z101" i="77"/>
  <c r="H20" i="78"/>
  <c r="J32" i="78"/>
  <c r="J26" i="78"/>
  <c r="J18" i="78"/>
  <c r="J17" i="78"/>
  <c r="J30" i="78"/>
  <c r="J24" i="78"/>
  <c r="J22" i="78"/>
  <c r="J35" i="78"/>
  <c r="J28" i="78"/>
  <c r="J16" i="78"/>
  <c r="J23" i="78"/>
  <c r="R30" i="78"/>
  <c r="R24" i="78"/>
  <c r="R16" i="78"/>
  <c r="R23" i="78"/>
  <c r="P20" i="78"/>
  <c r="R20" i="78" s="1"/>
  <c r="X12" i="78"/>
  <c r="Z12" i="78" s="1"/>
  <c r="R26" i="78"/>
  <c r="R18" i="78"/>
  <c r="V16" i="79"/>
  <c r="F29" i="79"/>
  <c r="F52" i="79"/>
  <c r="V56" i="79"/>
  <c r="V68" i="79"/>
  <c r="H16" i="81"/>
  <c r="N14" i="81"/>
  <c r="N12" i="74"/>
  <c r="J14" i="74"/>
  <c r="F21" i="74"/>
  <c r="J26" i="74"/>
  <c r="F29" i="74"/>
  <c r="F32" i="74"/>
  <c r="J40" i="74"/>
  <c r="F42" i="74"/>
  <c r="F48" i="74"/>
  <c r="R21" i="75"/>
  <c r="Z13" i="77"/>
  <c r="Z14" i="77"/>
  <c r="N18" i="77"/>
  <c r="Z21" i="77"/>
  <c r="Z22" i="77"/>
  <c r="L26" i="77"/>
  <c r="L34" i="77"/>
  <c r="X49" i="77"/>
  <c r="Z49" i="77" s="1"/>
  <c r="L71" i="77"/>
  <c r="N73" i="77"/>
  <c r="L81" i="77"/>
  <c r="Z103" i="77"/>
  <c r="Z23" i="79"/>
  <c r="F33" i="79"/>
  <c r="N52" i="79"/>
  <c r="F22" i="74"/>
  <c r="X68" i="76"/>
  <c r="Z68" i="76" s="1"/>
  <c r="N17" i="77"/>
  <c r="X30" i="77"/>
  <c r="N34" i="77"/>
  <c r="V78" i="79"/>
  <c r="V71" i="79"/>
  <c r="V85" i="79"/>
  <c r="V79" i="79"/>
  <c r="V73" i="79"/>
  <c r="V69" i="79"/>
  <c r="V75" i="79"/>
  <c r="V81" i="79"/>
  <c r="V67" i="79"/>
  <c r="V63" i="79"/>
  <c r="V59" i="79"/>
  <c r="V55" i="79"/>
  <c r="V47" i="79"/>
  <c r="V43" i="79"/>
  <c r="V35" i="79"/>
  <c r="V31" i="79"/>
  <c r="V23" i="79"/>
  <c r="V88" i="79"/>
  <c r="V76" i="79"/>
  <c r="V66" i="79"/>
  <c r="V62" i="79"/>
  <c r="V58" i="79"/>
  <c r="V54" i="79"/>
  <c r="V46" i="79"/>
  <c r="V38" i="79"/>
  <c r="V34" i="79"/>
  <c r="V30" i="79"/>
  <c r="V20" i="79"/>
  <c r="V65" i="79"/>
  <c r="V57" i="79"/>
  <c r="V49" i="79"/>
  <c r="V37" i="79"/>
  <c r="V33" i="79"/>
  <c r="V29" i="79"/>
  <c r="T20" i="79"/>
  <c r="V83" i="79"/>
  <c r="V64" i="79"/>
  <c r="V48" i="79"/>
  <c r="V40" i="79"/>
  <c r="V32" i="79"/>
  <c r="V28" i="79"/>
  <c r="Z12" i="79"/>
  <c r="V51" i="79"/>
  <c r="V39" i="79"/>
  <c r="V27" i="79"/>
  <c r="V50" i="79"/>
  <c r="V42" i="79"/>
  <c r="V26" i="79"/>
  <c r="V22" i="79"/>
  <c r="V18" i="79"/>
  <c r="V61" i="79"/>
  <c r="V53" i="79"/>
  <c r="V45" i="79"/>
  <c r="V41" i="79"/>
  <c r="V25" i="79"/>
  <c r="V17" i="79"/>
  <c r="L16" i="80"/>
  <c r="D32" i="80"/>
  <c r="D12" i="77"/>
  <c r="N13" i="78"/>
  <c r="N13" i="79"/>
  <c r="Z73" i="79"/>
  <c r="Z75" i="79"/>
  <c r="N16" i="80"/>
  <c r="H32" i="80"/>
  <c r="R22" i="80"/>
  <c r="R34" i="80"/>
  <c r="L12" i="81"/>
  <c r="L18" i="81"/>
  <c r="F20" i="81"/>
  <c r="X28" i="81"/>
  <c r="Z28" i="81" s="1"/>
  <c r="Z28" i="82"/>
  <c r="N19" i="84"/>
  <c r="Z26" i="84"/>
  <c r="F80" i="85"/>
  <c r="F67" i="85"/>
  <c r="F54" i="85"/>
  <c r="F51" i="85"/>
  <c r="F46" i="85"/>
  <c r="F78" i="85"/>
  <c r="F73" i="85"/>
  <c r="F64" i="85"/>
  <c r="F56" i="85"/>
  <c r="F53" i="85"/>
  <c r="F48" i="85"/>
  <c r="F45" i="85"/>
  <c r="F81" i="85"/>
  <c r="F75" i="85"/>
  <c r="F72" i="85"/>
  <c r="F59" i="85"/>
  <c r="F44" i="85"/>
  <c r="F39" i="85"/>
  <c r="F36" i="85"/>
  <c r="F85" i="85"/>
  <c r="F71" i="85"/>
  <c r="F66" i="85"/>
  <c r="F63" i="85"/>
  <c r="F55" i="85"/>
  <c r="F50" i="85"/>
  <c r="F47" i="85"/>
  <c r="F35" i="85"/>
  <c r="F77" i="85"/>
  <c r="F74" i="85"/>
  <c r="F70" i="85"/>
  <c r="F62" i="85"/>
  <c r="F58" i="85"/>
  <c r="F41" i="85"/>
  <c r="F38" i="85"/>
  <c r="F69" i="85"/>
  <c r="F65" i="85"/>
  <c r="F61" i="85"/>
  <c r="F57" i="85"/>
  <c r="F52" i="85"/>
  <c r="F49" i="85"/>
  <c r="F68" i="85"/>
  <c r="F43" i="85"/>
  <c r="F40" i="85"/>
  <c r="F28" i="85"/>
  <c r="F23" i="85"/>
  <c r="L12" i="85"/>
  <c r="F27" i="85"/>
  <c r="F20" i="85"/>
  <c r="F60" i="85"/>
  <c r="F26" i="85"/>
  <c r="D20" i="85"/>
  <c r="F18" i="85"/>
  <c r="F32" i="85"/>
  <c r="F25" i="85"/>
  <c r="F17" i="85"/>
  <c r="F24" i="85"/>
  <c r="F42" i="85"/>
  <c r="F31" i="85"/>
  <c r="F22" i="85"/>
  <c r="F76" i="85"/>
  <c r="F37" i="85"/>
  <c r="F34" i="85"/>
  <c r="F30" i="85"/>
  <c r="Z23" i="85"/>
  <c r="F33" i="85"/>
  <c r="X79" i="79"/>
  <c r="P78" i="79"/>
  <c r="R16" i="80"/>
  <c r="R20" i="80"/>
  <c r="N18" i="81"/>
  <c r="F30" i="81"/>
  <c r="F39" i="81"/>
  <c r="F49" i="81"/>
  <c r="N60" i="81"/>
  <c r="L60" i="81"/>
  <c r="F66" i="81"/>
  <c r="D42" i="83"/>
  <c r="L38" i="83"/>
  <c r="N19" i="83"/>
  <c r="L19" i="83"/>
  <c r="J25" i="84"/>
  <c r="J17" i="84"/>
  <c r="J38" i="84"/>
  <c r="J32" i="84"/>
  <c r="J22" i="84"/>
  <c r="H17" i="84"/>
  <c r="J27" i="84"/>
  <c r="J36" i="84"/>
  <c r="J30" i="84"/>
  <c r="J24" i="84"/>
  <c r="J29" i="84"/>
  <c r="J21" i="84"/>
  <c r="J19" i="84"/>
  <c r="J15" i="84"/>
  <c r="J41" i="84"/>
  <c r="J34" i="84"/>
  <c r="J26" i="84"/>
  <c r="N12" i="84"/>
  <c r="J23" i="84"/>
  <c r="X16" i="77"/>
  <c r="Z16" i="77" s="1"/>
  <c r="L20" i="77"/>
  <c r="X24" i="77"/>
  <c r="Z24" i="77" s="1"/>
  <c r="L28" i="77"/>
  <c r="X32" i="77"/>
  <c r="Z32" i="77" s="1"/>
  <c r="L36" i="77"/>
  <c r="Z79" i="79"/>
  <c r="T78" i="79"/>
  <c r="Z78" i="79" s="1"/>
  <c r="F26" i="81"/>
  <c r="F41" i="81"/>
  <c r="Z57" i="81"/>
  <c r="N69" i="81"/>
  <c r="L16" i="82"/>
  <c r="D33" i="82"/>
  <c r="N23" i="82"/>
  <c r="H42" i="83"/>
  <c r="N38" i="83"/>
  <c r="N33" i="83"/>
  <c r="J28" i="84"/>
  <c r="Z19" i="80"/>
  <c r="L23" i="80"/>
  <c r="X14" i="81"/>
  <c r="F29" i="81"/>
  <c r="N34" i="81"/>
  <c r="Z36" i="81"/>
  <c r="F38" i="81"/>
  <c r="F53" i="81"/>
  <c r="Z60" i="81"/>
  <c r="H40" i="82"/>
  <c r="Z19" i="83"/>
  <c r="X25" i="83"/>
  <c r="Z25" i="83" s="1"/>
  <c r="X19" i="84"/>
  <c r="Z19" i="84" s="1"/>
  <c r="H12" i="85"/>
  <c r="Z22" i="85"/>
  <c r="F29" i="85"/>
  <c r="N75" i="79"/>
  <c r="T36" i="80"/>
  <c r="Z18" i="81"/>
  <c r="F25" i="81"/>
  <c r="F46" i="81"/>
  <c r="X49" i="81"/>
  <c r="P68" i="81"/>
  <c r="X68" i="81" s="1"/>
  <c r="Z68" i="81" s="1"/>
  <c r="X70" i="81"/>
  <c r="T33" i="82"/>
  <c r="Z16" i="82"/>
  <c r="T42" i="83"/>
  <c r="D12" i="84"/>
  <c r="L13" i="84"/>
  <c r="Z15" i="84"/>
  <c r="X15" i="84"/>
  <c r="R24" i="80"/>
  <c r="R21" i="80"/>
  <c r="P16" i="80"/>
  <c r="R36" i="80"/>
  <c r="R30" i="80"/>
  <c r="R26" i="80"/>
  <c r="R23" i="80"/>
  <c r="R18" i="80"/>
  <c r="R14" i="80"/>
  <c r="R39" i="80"/>
  <c r="R32" i="80"/>
  <c r="N18" i="80"/>
  <c r="F32" i="81"/>
  <c r="F37" i="81"/>
  <c r="Z49" i="81"/>
  <c r="Z70" i="81"/>
  <c r="N27" i="83"/>
  <c r="L27" i="83"/>
  <c r="Z33" i="83"/>
  <c r="X33" i="83"/>
  <c r="L79" i="79"/>
  <c r="D78" i="79"/>
  <c r="L78" i="79" s="1"/>
  <c r="R28" i="80"/>
  <c r="F79" i="81"/>
  <c r="F72" i="81"/>
  <c r="F60" i="81"/>
  <c r="F69" i="81"/>
  <c r="F56" i="81"/>
  <c r="F52" i="81"/>
  <c r="F48" i="81"/>
  <c r="F43" i="81"/>
  <c r="F40" i="81"/>
  <c r="F24" i="81"/>
  <c r="F19" i="81"/>
  <c r="F62" i="81"/>
  <c r="F59" i="81"/>
  <c r="F55" i="81"/>
  <c r="F51" i="81"/>
  <c r="F34" i="81"/>
  <c r="F23" i="81"/>
  <c r="F16" i="81"/>
  <c r="F65" i="81"/>
  <c r="F58" i="81"/>
  <c r="F54" i="81"/>
  <c r="F50" i="81"/>
  <c r="F45" i="81"/>
  <c r="F42" i="81"/>
  <c r="F22" i="81"/>
  <c r="D16" i="81"/>
  <c r="F76" i="81"/>
  <c r="F70" i="81"/>
  <c r="F61" i="81"/>
  <c r="F36" i="81"/>
  <c r="F33" i="81"/>
  <c r="F28" i="81"/>
  <c r="F21" i="81"/>
  <c r="F74" i="81"/>
  <c r="F64" i="81"/>
  <c r="F47" i="81"/>
  <c r="F44" i="81"/>
  <c r="F68" i="81"/>
  <c r="F63" i="81"/>
  <c r="F35" i="81"/>
  <c r="F31" i="81"/>
  <c r="F27" i="81"/>
  <c r="F18" i="81"/>
  <c r="F14" i="81"/>
  <c r="L14" i="81"/>
  <c r="P72" i="81"/>
  <c r="Z41" i="81"/>
  <c r="L43" i="81"/>
  <c r="X53" i="81"/>
  <c r="Z53" i="81" s="1"/>
  <c r="N23" i="85"/>
  <c r="L23" i="85"/>
  <c r="F16" i="80"/>
  <c r="V16" i="80"/>
  <c r="V22" i="80"/>
  <c r="J26" i="80"/>
  <c r="J30" i="80"/>
  <c r="J36" i="80"/>
  <c r="V14" i="81"/>
  <c r="V18" i="81"/>
  <c r="V22" i="81"/>
  <c r="R23" i="81"/>
  <c r="J26" i="81"/>
  <c r="R28" i="81"/>
  <c r="J30" i="81"/>
  <c r="R36" i="81"/>
  <c r="J38" i="81"/>
  <c r="V42" i="81"/>
  <c r="J46" i="81"/>
  <c r="V50" i="81"/>
  <c r="R51" i="81"/>
  <c r="V54" i="81"/>
  <c r="R55" i="81"/>
  <c r="V58" i="81"/>
  <c r="R59" i="81"/>
  <c r="J60" i="81"/>
  <c r="J66" i="81"/>
  <c r="V68" i="81"/>
  <c r="R70" i="81"/>
  <c r="J72" i="81"/>
  <c r="R76" i="81"/>
  <c r="J79" i="81"/>
  <c r="F16" i="82"/>
  <c r="V16" i="82"/>
  <c r="V22" i="82"/>
  <c r="F27" i="82"/>
  <c r="L16" i="83"/>
  <c r="J19" i="83"/>
  <c r="V21" i="83"/>
  <c r="R22" i="83"/>
  <c r="F25" i="83"/>
  <c r="V25" i="83"/>
  <c r="R26" i="83"/>
  <c r="J27" i="83"/>
  <c r="F30" i="83"/>
  <c r="R31" i="83"/>
  <c r="F33" i="83"/>
  <c r="V33" i="83"/>
  <c r="R34" i="83"/>
  <c r="R40" i="83"/>
  <c r="P12" i="85"/>
  <c r="N13" i="85"/>
  <c r="L14" i="85"/>
  <c r="N14" i="85" s="1"/>
  <c r="V17" i="85"/>
  <c r="N46" i="85"/>
  <c r="N56" i="85"/>
  <c r="Z13" i="87"/>
  <c r="H68" i="81"/>
  <c r="L68" i="81" s="1"/>
  <c r="N16" i="83"/>
  <c r="J30" i="83"/>
  <c r="V80" i="85"/>
  <c r="V74" i="85"/>
  <c r="V70" i="85"/>
  <c r="V62" i="85"/>
  <c r="V58" i="85"/>
  <c r="V54" i="85"/>
  <c r="V46" i="85"/>
  <c r="V38" i="85"/>
  <c r="V34" i="85"/>
  <c r="V73" i="85"/>
  <c r="V69" i="85"/>
  <c r="V65" i="85"/>
  <c r="V61" i="85"/>
  <c r="V57" i="85"/>
  <c r="V49" i="85"/>
  <c r="V76" i="85"/>
  <c r="V68" i="85"/>
  <c r="V64" i="85"/>
  <c r="V60" i="85"/>
  <c r="V56" i="85"/>
  <c r="V48" i="85"/>
  <c r="V40" i="85"/>
  <c r="V81" i="85"/>
  <c r="V75" i="85"/>
  <c r="V67" i="85"/>
  <c r="V59" i="85"/>
  <c r="V51" i="85"/>
  <c r="V39" i="85"/>
  <c r="V78" i="85"/>
  <c r="V66" i="85"/>
  <c r="V50" i="85"/>
  <c r="V42" i="85"/>
  <c r="V77" i="85"/>
  <c r="V53" i="85"/>
  <c r="V45" i="85"/>
  <c r="V41" i="85"/>
  <c r="V72" i="85"/>
  <c r="V52" i="85"/>
  <c r="V44" i="85"/>
  <c r="V36" i="85"/>
  <c r="V18" i="85"/>
  <c r="V22" i="85"/>
  <c r="V26" i="85"/>
  <c r="L47" i="86"/>
  <c r="N47" i="86" s="1"/>
  <c r="Z12" i="80"/>
  <c r="J16" i="80"/>
  <c r="V20" i="80"/>
  <c r="J24" i="80"/>
  <c r="V28" i="80"/>
  <c r="F32" i="80"/>
  <c r="V32" i="80"/>
  <c r="V34" i="80"/>
  <c r="F39" i="80"/>
  <c r="V39" i="80"/>
  <c r="J14" i="81"/>
  <c r="R16" i="81"/>
  <c r="J18" i="81"/>
  <c r="J20" i="81"/>
  <c r="V24" i="81"/>
  <c r="R25" i="81"/>
  <c r="V28" i="81"/>
  <c r="R29" i="81"/>
  <c r="J32" i="81"/>
  <c r="R34" i="81"/>
  <c r="V36" i="81"/>
  <c r="R37" i="81"/>
  <c r="V40" i="81"/>
  <c r="J44" i="81"/>
  <c r="V48" i="81"/>
  <c r="V52" i="81"/>
  <c r="V56" i="81"/>
  <c r="R62" i="81"/>
  <c r="J64" i="81"/>
  <c r="J68" i="81"/>
  <c r="V70" i="81"/>
  <c r="J74" i="81"/>
  <c r="V76" i="81"/>
  <c r="Z12" i="82"/>
  <c r="J16" i="82"/>
  <c r="V20" i="82"/>
  <c r="J24" i="82"/>
  <c r="F25" i="82"/>
  <c r="F28" i="82"/>
  <c r="V28" i="82"/>
  <c r="L12" i="83"/>
  <c r="P16" i="83"/>
  <c r="F20" i="83"/>
  <c r="V23" i="83"/>
  <c r="R24" i="83"/>
  <c r="J25" i="83"/>
  <c r="F28" i="83"/>
  <c r="R29" i="83"/>
  <c r="F31" i="83"/>
  <c r="V31" i="83"/>
  <c r="R32" i="83"/>
  <c r="J33" i="83"/>
  <c r="R17" i="84"/>
  <c r="V27" i="85"/>
  <c r="V43" i="85"/>
  <c r="Z45" i="86"/>
  <c r="X45" i="86"/>
  <c r="J27" i="87"/>
  <c r="J21" i="87"/>
  <c r="J19" i="87"/>
  <c r="J20" i="87"/>
  <c r="H17" i="87"/>
  <c r="J17" i="87" s="1"/>
  <c r="J23" i="87"/>
  <c r="J15" i="87"/>
  <c r="J19" i="80"/>
  <c r="F22" i="80"/>
  <c r="F25" i="80"/>
  <c r="V25" i="80"/>
  <c r="J27" i="80"/>
  <c r="T16" i="81"/>
  <c r="R19" i="81"/>
  <c r="J21" i="81"/>
  <c r="V25" i="81"/>
  <c r="R26" i="81"/>
  <c r="V29" i="81"/>
  <c r="R30" i="81"/>
  <c r="J33" i="81"/>
  <c r="V37" i="81"/>
  <c r="R38" i="81"/>
  <c r="J39" i="81"/>
  <c r="R43" i="81"/>
  <c r="V45" i="81"/>
  <c r="R46" i="81"/>
  <c r="J47" i="81"/>
  <c r="J61" i="81"/>
  <c r="V65" i="81"/>
  <c r="R66" i="81"/>
  <c r="R69" i="81"/>
  <c r="J19" i="82"/>
  <c r="F22" i="82"/>
  <c r="J25" i="82"/>
  <c r="V29" i="82"/>
  <c r="F33" i="82"/>
  <c r="V33" i="82"/>
  <c r="V35" i="82"/>
  <c r="F40" i="82"/>
  <c r="V40" i="82"/>
  <c r="N12" i="83"/>
  <c r="J14" i="83"/>
  <c r="R16" i="83"/>
  <c r="J18" i="83"/>
  <c r="J20" i="83"/>
  <c r="F21" i="83"/>
  <c r="V24" i="83"/>
  <c r="J28" i="83"/>
  <c r="V32" i="83"/>
  <c r="R36" i="83"/>
  <c r="J38" i="83"/>
  <c r="R42" i="83"/>
  <c r="J45" i="83"/>
  <c r="T12" i="84"/>
  <c r="R20" i="84"/>
  <c r="R23" i="84"/>
  <c r="R28" i="84"/>
  <c r="V28" i="85"/>
  <c r="V32" i="85"/>
  <c r="Z50" i="85"/>
  <c r="V63" i="85"/>
  <c r="L19" i="86"/>
  <c r="N19" i="86" s="1"/>
  <c r="P25" i="87"/>
  <c r="F14" i="80"/>
  <c r="V14" i="80"/>
  <c r="F18" i="80"/>
  <c r="V18" i="80"/>
  <c r="J22" i="80"/>
  <c r="V26" i="80"/>
  <c r="J32" i="80"/>
  <c r="J39" i="80"/>
  <c r="V16" i="81"/>
  <c r="J22" i="81"/>
  <c r="V26" i="81"/>
  <c r="R27" i="81"/>
  <c r="J28" i="81"/>
  <c r="V30" i="81"/>
  <c r="R31" i="81"/>
  <c r="V34" i="81"/>
  <c r="R35" i="81"/>
  <c r="J36" i="81"/>
  <c r="V38" i="81"/>
  <c r="J42" i="81"/>
  <c r="V46" i="81"/>
  <c r="J50" i="81"/>
  <c r="J54" i="81"/>
  <c r="J58" i="81"/>
  <c r="R60" i="81"/>
  <c r="V62" i="81"/>
  <c r="R63" i="81"/>
  <c r="V66" i="81"/>
  <c r="J70" i="81"/>
  <c r="R72" i="81"/>
  <c r="J76" i="81"/>
  <c r="R79" i="81"/>
  <c r="N16" i="82"/>
  <c r="J22" i="82"/>
  <c r="J28" i="82"/>
  <c r="R19" i="83"/>
  <c r="J21" i="83"/>
  <c r="R27" i="83"/>
  <c r="F29" i="83"/>
  <c r="J31" i="83"/>
  <c r="F34" i="83"/>
  <c r="F40" i="83"/>
  <c r="P34" i="84"/>
  <c r="T20" i="85"/>
  <c r="V29" i="85"/>
  <c r="V33" i="85"/>
  <c r="V55" i="85"/>
  <c r="N19" i="91"/>
  <c r="L19" i="91"/>
  <c r="F20" i="80"/>
  <c r="F23" i="80"/>
  <c r="F28" i="80"/>
  <c r="V19" i="81"/>
  <c r="R20" i="81"/>
  <c r="J23" i="81"/>
  <c r="V27" i="81"/>
  <c r="V31" i="81"/>
  <c r="R32" i="81"/>
  <c r="V35" i="81"/>
  <c r="R41" i="81"/>
  <c r="V43" i="81"/>
  <c r="R44" i="81"/>
  <c r="J45" i="81"/>
  <c r="R49" i="81"/>
  <c r="J51" i="81"/>
  <c r="R53" i="81"/>
  <c r="J55" i="81"/>
  <c r="R57" i="81"/>
  <c r="J59" i="81"/>
  <c r="V63" i="81"/>
  <c r="R64" i="81"/>
  <c r="L12" i="82"/>
  <c r="F20" i="82"/>
  <c r="V23" i="82"/>
  <c r="J33" i="82"/>
  <c r="F16" i="83"/>
  <c r="V16" i="83"/>
  <c r="J22" i="83"/>
  <c r="F23" i="83"/>
  <c r="J26" i="83"/>
  <c r="V30" i="83"/>
  <c r="J34" i="83"/>
  <c r="F36" i="83"/>
  <c r="V36" i="83"/>
  <c r="R21" i="84"/>
  <c r="R26" i="84"/>
  <c r="R29" i="84"/>
  <c r="R34" i="84"/>
  <c r="V30" i="85"/>
  <c r="X52" i="85"/>
  <c r="Z52" i="85" s="1"/>
  <c r="N54" i="85"/>
  <c r="V71" i="85"/>
  <c r="L80" i="85"/>
  <c r="Z29" i="86"/>
  <c r="D12" i="87"/>
  <c r="L13" i="87"/>
  <c r="N13" i="87" s="1"/>
  <c r="Z15" i="87"/>
  <c r="X15" i="87"/>
  <c r="V23" i="85"/>
  <c r="V31" i="85"/>
  <c r="V37" i="85"/>
  <c r="V85" i="85"/>
  <c r="Z19" i="86"/>
  <c r="D12" i="90"/>
  <c r="L13" i="90"/>
  <c r="R17" i="86"/>
  <c r="J19" i="86"/>
  <c r="J21" i="86"/>
  <c r="F22" i="86"/>
  <c r="V25" i="86"/>
  <c r="R26" i="86"/>
  <c r="F29" i="86"/>
  <c r="V29" i="86"/>
  <c r="R30" i="86"/>
  <c r="J33" i="86"/>
  <c r="V37" i="86"/>
  <c r="F42" i="86"/>
  <c r="R43" i="86"/>
  <c r="F45" i="86"/>
  <c r="V45" i="86"/>
  <c r="R46" i="86"/>
  <c r="J47" i="86"/>
  <c r="V49" i="86"/>
  <c r="J53" i="86"/>
  <c r="J57" i="86"/>
  <c r="F58" i="86"/>
  <c r="J61" i="86"/>
  <c r="F63" i="86"/>
  <c r="V63" i="86"/>
  <c r="R68" i="86"/>
  <c r="Z20" i="87"/>
  <c r="J14" i="88"/>
  <c r="X19" i="88"/>
  <c r="Z19" i="88" s="1"/>
  <c r="J26" i="88"/>
  <c r="V36" i="88"/>
  <c r="P34" i="89"/>
  <c r="Z19" i="89"/>
  <c r="J22" i="89"/>
  <c r="J26" i="89"/>
  <c r="J29" i="90"/>
  <c r="J52" i="91"/>
  <c r="J46" i="91"/>
  <c r="J42" i="91"/>
  <c r="J36" i="91"/>
  <c r="J28" i="91"/>
  <c r="J22" i="91"/>
  <c r="J39" i="91"/>
  <c r="J33" i="91"/>
  <c r="J21" i="91"/>
  <c r="J50" i="91"/>
  <c r="J44" i="91"/>
  <c r="J30" i="91"/>
  <c r="J20" i="91"/>
  <c r="J18" i="91"/>
  <c r="J14" i="91"/>
  <c r="N12" i="91"/>
  <c r="J41" i="91"/>
  <c r="J35" i="91"/>
  <c r="J27" i="91"/>
  <c r="J43" i="91"/>
  <c r="J37" i="91"/>
  <c r="J29" i="91"/>
  <c r="J25" i="91"/>
  <c r="J19" i="91"/>
  <c r="J55" i="91"/>
  <c r="J38" i="91"/>
  <c r="H16" i="91"/>
  <c r="J26" i="91"/>
  <c r="J40" i="91"/>
  <c r="J32" i="91"/>
  <c r="J24" i="91"/>
  <c r="J23" i="91"/>
  <c r="J34" i="91"/>
  <c r="J31" i="91"/>
  <c r="N43" i="91"/>
  <c r="L43" i="91"/>
  <c r="F15" i="86"/>
  <c r="D17" i="86"/>
  <c r="T17" i="86"/>
  <c r="X17" i="86" s="1"/>
  <c r="R20" i="86"/>
  <c r="J22" i="86"/>
  <c r="F23" i="86"/>
  <c r="V26" i="86"/>
  <c r="R27" i="86"/>
  <c r="V30" i="86"/>
  <c r="R31" i="86"/>
  <c r="F34" i="86"/>
  <c r="V34" i="86"/>
  <c r="R35" i="86"/>
  <c r="J36" i="86"/>
  <c r="F39" i="86"/>
  <c r="J42" i="86"/>
  <c r="V46" i="86"/>
  <c r="F51" i="86"/>
  <c r="R52" i="86"/>
  <c r="F54" i="86"/>
  <c r="V54" i="86"/>
  <c r="R55" i="86"/>
  <c r="J58" i="86"/>
  <c r="F59" i="86"/>
  <c r="R60" i="86"/>
  <c r="H63" i="86"/>
  <c r="N63" i="86" s="1"/>
  <c r="F66" i="86"/>
  <c r="V66" i="86"/>
  <c r="V68" i="86"/>
  <c r="F73" i="86"/>
  <c r="V73" i="86"/>
  <c r="L23" i="87"/>
  <c r="J23" i="88"/>
  <c r="J29" i="88"/>
  <c r="J25" i="88"/>
  <c r="J19" i="88"/>
  <c r="J22" i="88"/>
  <c r="J16" i="88"/>
  <c r="J27" i="88"/>
  <c r="H16" i="88"/>
  <c r="J21" i="88"/>
  <c r="V16" i="88"/>
  <c r="V18" i="88"/>
  <c r="J24" i="88"/>
  <c r="J21" i="89"/>
  <c r="H16" i="89"/>
  <c r="J23" i="89"/>
  <c r="J37" i="89"/>
  <c r="J30" i="89"/>
  <c r="J20" i="89"/>
  <c r="J18" i="89"/>
  <c r="J14" i="89"/>
  <c r="N12" i="89"/>
  <c r="J25" i="89"/>
  <c r="J19" i="89"/>
  <c r="V16" i="89"/>
  <c r="X19" i="89"/>
  <c r="X23" i="89"/>
  <c r="J16" i="90"/>
  <c r="J34" i="90"/>
  <c r="N38" i="90"/>
  <c r="L38" i="90"/>
  <c r="J16" i="91"/>
  <c r="X12" i="86"/>
  <c r="J15" i="86"/>
  <c r="F17" i="86"/>
  <c r="V17" i="86"/>
  <c r="J23" i="86"/>
  <c r="F24" i="86"/>
  <c r="V27" i="86"/>
  <c r="R28" i="86"/>
  <c r="J29" i="86"/>
  <c r="V31" i="86"/>
  <c r="R32" i="86"/>
  <c r="V35" i="86"/>
  <c r="J39" i="86"/>
  <c r="F40" i="86"/>
  <c r="R41" i="86"/>
  <c r="F43" i="86"/>
  <c r="V43" i="86"/>
  <c r="R44" i="86"/>
  <c r="J45" i="86"/>
  <c r="F48" i="86"/>
  <c r="J51" i="86"/>
  <c r="V55" i="86"/>
  <c r="R56" i="86"/>
  <c r="J59" i="86"/>
  <c r="J63" i="86"/>
  <c r="R27" i="87"/>
  <c r="R21" i="87"/>
  <c r="R17" i="87"/>
  <c r="J39" i="88"/>
  <c r="V22" i="89"/>
  <c r="Z23" i="89"/>
  <c r="J34" i="89"/>
  <c r="J24" i="90"/>
  <c r="H17" i="86"/>
  <c r="F20" i="86"/>
  <c r="V20" i="86"/>
  <c r="R21" i="86"/>
  <c r="J24" i="86"/>
  <c r="F25" i="86"/>
  <c r="V28" i="86"/>
  <c r="V32" i="86"/>
  <c r="R33" i="86"/>
  <c r="J34" i="86"/>
  <c r="F37" i="86"/>
  <c r="R38" i="86"/>
  <c r="J40" i="86"/>
  <c r="V44" i="86"/>
  <c r="J48" i="86"/>
  <c r="F49" i="86"/>
  <c r="R50" i="86"/>
  <c r="F52" i="86"/>
  <c r="V52" i="86"/>
  <c r="R53" i="86"/>
  <c r="J54" i="86"/>
  <c r="V56" i="86"/>
  <c r="R57" i="86"/>
  <c r="F60" i="86"/>
  <c r="V60" i="86"/>
  <c r="R61" i="86"/>
  <c r="R64" i="86"/>
  <c r="J66" i="86"/>
  <c r="R70" i="86"/>
  <c r="J73" i="86"/>
  <c r="T12" i="87"/>
  <c r="X12" i="87" s="1"/>
  <c r="R32" i="87"/>
  <c r="P32" i="88"/>
  <c r="J20" i="88"/>
  <c r="V19" i="89"/>
  <c r="V21" i="89"/>
  <c r="T16" i="89"/>
  <c r="V24" i="89"/>
  <c r="V23" i="89"/>
  <c r="V37" i="89"/>
  <c r="V25" i="89"/>
  <c r="L21" i="89"/>
  <c r="N21" i="89" s="1"/>
  <c r="V26" i="89"/>
  <c r="J32" i="89"/>
  <c r="J54" i="90"/>
  <c r="J47" i="90"/>
  <c r="J37" i="90"/>
  <c r="J42" i="90"/>
  <c r="J39" i="90"/>
  <c r="J30" i="90"/>
  <c r="J38" i="90"/>
  <c r="J32" i="90"/>
  <c r="J41" i="90"/>
  <c r="J25" i="90"/>
  <c r="H18" i="90"/>
  <c r="J49" i="90"/>
  <c r="J28" i="90"/>
  <c r="J23" i="90"/>
  <c r="J51" i="90"/>
  <c r="J43" i="90"/>
  <c r="J22" i="90"/>
  <c r="J20" i="90"/>
  <c r="J45" i="90"/>
  <c r="J27" i="90"/>
  <c r="J15" i="90"/>
  <c r="J35" i="90"/>
  <c r="J31" i="90"/>
  <c r="N12" i="90"/>
  <c r="J40" i="90"/>
  <c r="J36" i="90"/>
  <c r="J21" i="90"/>
  <c r="X17" i="92"/>
  <c r="Z17" i="92" s="1"/>
  <c r="J17" i="86"/>
  <c r="R19" i="86"/>
  <c r="V21" i="86"/>
  <c r="R22" i="86"/>
  <c r="J25" i="86"/>
  <c r="F26" i="86"/>
  <c r="F30" i="86"/>
  <c r="V33" i="86"/>
  <c r="J37" i="86"/>
  <c r="F41" i="86"/>
  <c r="V41" i="86"/>
  <c r="R42" i="86"/>
  <c r="J43" i="86"/>
  <c r="F46" i="86"/>
  <c r="R47" i="86"/>
  <c r="J49" i="86"/>
  <c r="V53" i="86"/>
  <c r="V57" i="86"/>
  <c r="R58" i="86"/>
  <c r="V61" i="86"/>
  <c r="F68" i="86"/>
  <c r="R19" i="87"/>
  <c r="V27" i="88"/>
  <c r="V21" i="88"/>
  <c r="V39" i="88"/>
  <c r="V34" i="88"/>
  <c r="V32" i="88"/>
  <c r="V20" i="88"/>
  <c r="Z12" i="88"/>
  <c r="V29" i="88"/>
  <c r="V23" i="88"/>
  <c r="V19" i="88"/>
  <c r="V25" i="88"/>
  <c r="T16" i="88"/>
  <c r="V14" i="88"/>
  <c r="J32" i="88"/>
  <c r="V34" i="89"/>
  <c r="N31" i="90"/>
  <c r="J20" i="86"/>
  <c r="V22" i="86"/>
  <c r="R23" i="86"/>
  <c r="J26" i="86"/>
  <c r="F27" i="86"/>
  <c r="J30" i="86"/>
  <c r="F31" i="86"/>
  <c r="F35" i="86"/>
  <c r="R36" i="86"/>
  <c r="F38" i="86"/>
  <c r="V38" i="86"/>
  <c r="R39" i="86"/>
  <c r="V42" i="86"/>
  <c r="J46" i="86"/>
  <c r="F50" i="86"/>
  <c r="V50" i="86"/>
  <c r="R51" i="86"/>
  <c r="J52" i="86"/>
  <c r="F55" i="86"/>
  <c r="V58" i="86"/>
  <c r="R59" i="86"/>
  <c r="J60" i="86"/>
  <c r="P63" i="86"/>
  <c r="X63" i="86" s="1"/>
  <c r="Z63" i="86" s="1"/>
  <c r="F64" i="86"/>
  <c r="V64" i="86"/>
  <c r="J68" i="86"/>
  <c r="F70" i="86"/>
  <c r="V70" i="86"/>
  <c r="Z19" i="87"/>
  <c r="R25" i="87"/>
  <c r="J18" i="88"/>
  <c r="V22" i="88"/>
  <c r="V24" i="88"/>
  <c r="V26" i="88"/>
  <c r="J30" i="88"/>
  <c r="N19" i="89"/>
  <c r="V20" i="89"/>
  <c r="Z21" i="89"/>
  <c r="Z25" i="89"/>
  <c r="V28" i="89"/>
  <c r="X21" i="90"/>
  <c r="Z21" i="90" s="1"/>
  <c r="L12" i="86"/>
  <c r="V15" i="86"/>
  <c r="F19" i="86"/>
  <c r="V19" i="86"/>
  <c r="V23" i="86"/>
  <c r="R24" i="86"/>
  <c r="J27" i="86"/>
  <c r="F28" i="86"/>
  <c r="R29" i="86"/>
  <c r="J31" i="86"/>
  <c r="F32" i="86"/>
  <c r="J35" i="86"/>
  <c r="V39" i="86"/>
  <c r="R40" i="86"/>
  <c r="J41" i="86"/>
  <c r="F44" i="86"/>
  <c r="R45" i="86"/>
  <c r="F47" i="86"/>
  <c r="V47" i="86"/>
  <c r="R48" i="86"/>
  <c r="V51" i="86"/>
  <c r="R15" i="87"/>
  <c r="R23" i="87"/>
  <c r="J36" i="88"/>
  <c r="V32" i="89"/>
  <c r="X15" i="90"/>
  <c r="J26" i="90"/>
  <c r="X27" i="90"/>
  <c r="Z27" i="90" s="1"/>
  <c r="D16" i="88"/>
  <c r="R19" i="88"/>
  <c r="R29" i="88"/>
  <c r="F22" i="89"/>
  <c r="R23" i="89"/>
  <c r="F25" i="89"/>
  <c r="R26" i="89"/>
  <c r="R32" i="89"/>
  <c r="R16" i="90"/>
  <c r="R24" i="90"/>
  <c r="Z42" i="90"/>
  <c r="Z39" i="91"/>
  <c r="L41" i="91"/>
  <c r="H12" i="92"/>
  <c r="N13" i="92"/>
  <c r="X12" i="88"/>
  <c r="F19" i="88"/>
  <c r="R20" i="88"/>
  <c r="X22" i="88"/>
  <c r="L24" i="88"/>
  <c r="N24" i="88" s="1"/>
  <c r="F29" i="88"/>
  <c r="L30" i="88"/>
  <c r="R34" i="88"/>
  <c r="L12" i="89"/>
  <c r="X14" i="89"/>
  <c r="X18" i="89"/>
  <c r="Z18" i="89" s="1"/>
  <c r="F20" i="89"/>
  <c r="R21" i="89"/>
  <c r="F23" i="89"/>
  <c r="R24" i="89"/>
  <c r="R45" i="90"/>
  <c r="R35" i="90"/>
  <c r="R41" i="90"/>
  <c r="R49" i="90"/>
  <c r="R43" i="90"/>
  <c r="R40" i="90"/>
  <c r="R42" i="90"/>
  <c r="R37" i="90"/>
  <c r="P18" i="90"/>
  <c r="X20" i="90"/>
  <c r="Z20" i="90" s="1"/>
  <c r="R26" i="90"/>
  <c r="L29" i="90"/>
  <c r="L31" i="90"/>
  <c r="R34" i="90"/>
  <c r="R38" i="90"/>
  <c r="Z19" i="91"/>
  <c r="L13" i="92"/>
  <c r="Z40" i="92"/>
  <c r="X46" i="92"/>
  <c r="Z46" i="92" s="1"/>
  <c r="V49" i="92"/>
  <c r="R14" i="88"/>
  <c r="R18" i="88"/>
  <c r="R21" i="88"/>
  <c r="F25" i="88"/>
  <c r="R26" i="88"/>
  <c r="H29" i="88"/>
  <c r="F32" i="88"/>
  <c r="F39" i="88"/>
  <c r="R16" i="89"/>
  <c r="R28" i="89"/>
  <c r="R34" i="89"/>
  <c r="T12" i="90"/>
  <c r="R18" i="90"/>
  <c r="X29" i="90"/>
  <c r="X35" i="90"/>
  <c r="Z35" i="90" s="1"/>
  <c r="R36" i="90"/>
  <c r="X13" i="92"/>
  <c r="Z13" i="92" s="1"/>
  <c r="P12" i="92"/>
  <c r="L17" i="92"/>
  <c r="X24" i="92"/>
  <c r="V32" i="92"/>
  <c r="D16" i="89"/>
  <c r="R19" i="89"/>
  <c r="F21" i="89"/>
  <c r="R22" i="89"/>
  <c r="F26" i="89"/>
  <c r="F32" i="89"/>
  <c r="X12" i="90"/>
  <c r="R21" i="90"/>
  <c r="X45" i="90"/>
  <c r="L16" i="91"/>
  <c r="Z24" i="92"/>
  <c r="D52" i="91"/>
  <c r="L12" i="88"/>
  <c r="F20" i="88"/>
  <c r="X12" i="89"/>
  <c r="X16" i="89"/>
  <c r="F19" i="89"/>
  <c r="R20" i="89"/>
  <c r="R15" i="90"/>
  <c r="R22" i="90"/>
  <c r="R27" i="90"/>
  <c r="V68" i="92"/>
  <c r="V64" i="92"/>
  <c r="V60" i="92"/>
  <c r="V56" i="92"/>
  <c r="V48" i="92"/>
  <c r="V66" i="92"/>
  <c r="V62" i="92"/>
  <c r="V58" i="92"/>
  <c r="V50" i="92"/>
  <c r="V73" i="92"/>
  <c r="V65" i="92"/>
  <c r="V61" i="92"/>
  <c r="V53" i="92"/>
  <c r="V72" i="92"/>
  <c r="V74" i="92"/>
  <c r="V70" i="92"/>
  <c r="V54" i="92"/>
  <c r="V51" i="92"/>
  <c r="V43" i="92"/>
  <c r="V35" i="92"/>
  <c r="V69" i="92"/>
  <c r="V42" i="92"/>
  <c r="V34" i="92"/>
  <c r="V30" i="92"/>
  <c r="T21" i="92"/>
  <c r="V81" i="92"/>
  <c r="V63" i="92"/>
  <c r="V55" i="92"/>
  <c r="V45" i="92"/>
  <c r="V29" i="92"/>
  <c r="V77" i="92"/>
  <c r="V44" i="92"/>
  <c r="V28" i="92"/>
  <c r="V75" i="92"/>
  <c r="V57" i="92"/>
  <c r="V39" i="92"/>
  <c r="V27" i="92"/>
  <c r="V23" i="92"/>
  <c r="V19" i="92"/>
  <c r="V71" i="92"/>
  <c r="V67" i="92"/>
  <c r="V38" i="92"/>
  <c r="V26" i="92"/>
  <c r="V59" i="92"/>
  <c r="V52" i="92"/>
  <c r="V47" i="92"/>
  <c r="V46" i="92"/>
  <c r="V41" i="92"/>
  <c r="V37" i="92"/>
  <c r="V33" i="92"/>
  <c r="V25" i="92"/>
  <c r="V17" i="92"/>
  <c r="D12" i="92"/>
  <c r="L14" i="92"/>
  <c r="Z23" i="92"/>
  <c r="V31" i="92"/>
  <c r="L58" i="92"/>
  <c r="N58" i="92" s="1"/>
  <c r="H84" i="94"/>
  <c r="V21" i="91"/>
  <c r="R22" i="91"/>
  <c r="F26" i="91"/>
  <c r="V33" i="91"/>
  <c r="F38" i="91"/>
  <c r="R39" i="91"/>
  <c r="F41" i="91"/>
  <c r="V41" i="91"/>
  <c r="R42" i="91"/>
  <c r="X61" i="92"/>
  <c r="Z61" i="92" s="1"/>
  <c r="Z19" i="93"/>
  <c r="P12" i="94"/>
  <c r="X14" i="94"/>
  <c r="Z14" i="94" s="1"/>
  <c r="N17" i="94"/>
  <c r="F29" i="94"/>
  <c r="F51" i="94"/>
  <c r="J67" i="94"/>
  <c r="L12" i="91"/>
  <c r="P16" i="91"/>
  <c r="F20" i="91"/>
  <c r="V23" i="91"/>
  <c r="R24" i="91"/>
  <c r="V31" i="91"/>
  <c r="F39" i="91"/>
  <c r="V39" i="91"/>
  <c r="R40" i="91"/>
  <c r="F44" i="91"/>
  <c r="F50" i="91"/>
  <c r="N46" i="92"/>
  <c r="X48" i="92"/>
  <c r="N54" i="92"/>
  <c r="N74" i="92"/>
  <c r="J19" i="93"/>
  <c r="H16" i="93"/>
  <c r="J28" i="93"/>
  <c r="J22" i="93"/>
  <c r="J14" i="93"/>
  <c r="L16" i="93"/>
  <c r="T12" i="94"/>
  <c r="X13" i="94"/>
  <c r="Z13" i="94" s="1"/>
  <c r="F77" i="94"/>
  <c r="F70" i="94"/>
  <c r="F62" i="94"/>
  <c r="F69" i="94"/>
  <c r="F56" i="94"/>
  <c r="F53" i="94"/>
  <c r="F48" i="94"/>
  <c r="F45" i="94"/>
  <c r="F40" i="94"/>
  <c r="F79" i="94"/>
  <c r="F76" i="94"/>
  <c r="F75" i="94"/>
  <c r="F66" i="94"/>
  <c r="F58" i="94"/>
  <c r="F55" i="94"/>
  <c r="F50" i="94"/>
  <c r="F47" i="94"/>
  <c r="F82" i="94"/>
  <c r="F73" i="94"/>
  <c r="F68" i="94"/>
  <c r="F65" i="94"/>
  <c r="F57" i="94"/>
  <c r="F52" i="94"/>
  <c r="F49" i="94"/>
  <c r="F44" i="94"/>
  <c r="F41" i="94"/>
  <c r="F80" i="94"/>
  <c r="F30" i="94"/>
  <c r="F17" i="94"/>
  <c r="F67" i="94"/>
  <c r="F28" i="94"/>
  <c r="F21" i="94"/>
  <c r="L12" i="94"/>
  <c r="N12" i="94" s="1"/>
  <c r="F72" i="94"/>
  <c r="F64" i="94"/>
  <c r="F46" i="94"/>
  <c r="F34" i="94"/>
  <c r="F27" i="94"/>
  <c r="D21" i="94"/>
  <c r="F19" i="94"/>
  <c r="F59" i="94"/>
  <c r="F26" i="94"/>
  <c r="F18" i="94"/>
  <c r="F78" i="94"/>
  <c r="F60" i="94"/>
  <c r="F42" i="94"/>
  <c r="F39" i="94"/>
  <c r="F36" i="94"/>
  <c r="F32" i="94"/>
  <c r="F23" i="94"/>
  <c r="F24" i="94"/>
  <c r="J28" i="94"/>
  <c r="F43" i="94"/>
  <c r="F54" i="94"/>
  <c r="N42" i="95"/>
  <c r="L42" i="95"/>
  <c r="R16" i="91"/>
  <c r="V24" i="91"/>
  <c r="R25" i="91"/>
  <c r="F28" i="91"/>
  <c r="V28" i="91"/>
  <c r="R29" i="91"/>
  <c r="F33" i="91"/>
  <c r="R34" i="91"/>
  <c r="F36" i="91"/>
  <c r="V36" i="91"/>
  <c r="R37" i="91"/>
  <c r="V40" i="91"/>
  <c r="F46" i="91"/>
  <c r="V46" i="91"/>
  <c r="F52" i="91"/>
  <c r="V52" i="91"/>
  <c r="Z17" i="94"/>
  <c r="F25" i="94"/>
  <c r="F31" i="94"/>
  <c r="F35" i="94"/>
  <c r="F38" i="94"/>
  <c r="F74" i="94"/>
  <c r="Z82" i="94"/>
  <c r="X82" i="94"/>
  <c r="R19" i="91"/>
  <c r="V25" i="91"/>
  <c r="R26" i="91"/>
  <c r="V29" i="91"/>
  <c r="V37" i="91"/>
  <c r="R38" i="91"/>
  <c r="F42" i="91"/>
  <c r="R43" i="91"/>
  <c r="X14" i="92"/>
  <c r="Z14" i="92" s="1"/>
  <c r="N52" i="92"/>
  <c r="Z56" i="92"/>
  <c r="Z74" i="92"/>
  <c r="L14" i="94"/>
  <c r="N14" i="94" s="1"/>
  <c r="X17" i="94"/>
  <c r="N23" i="94"/>
  <c r="J24" i="94"/>
  <c r="J34" i="94"/>
  <c r="J49" i="94"/>
  <c r="J57" i="94"/>
  <c r="F86" i="94"/>
  <c r="V16" i="91"/>
  <c r="V26" i="91"/>
  <c r="R27" i="91"/>
  <c r="F31" i="91"/>
  <c r="R32" i="91"/>
  <c r="V34" i="91"/>
  <c r="R35" i="91"/>
  <c r="R48" i="91"/>
  <c r="J79" i="94"/>
  <c r="J69" i="94"/>
  <c r="J53" i="94"/>
  <c r="J45" i="94"/>
  <c r="J76" i="94"/>
  <c r="J66" i="94"/>
  <c r="J58" i="94"/>
  <c r="J50" i="94"/>
  <c r="J42" i="94"/>
  <c r="J75" i="94"/>
  <c r="J61" i="94"/>
  <c r="J55" i="94"/>
  <c r="J47" i="94"/>
  <c r="J39" i="94"/>
  <c r="J82" i="94"/>
  <c r="J78" i="94"/>
  <c r="J74" i="94"/>
  <c r="J68" i="94"/>
  <c r="J52" i="94"/>
  <c r="J44" i="94"/>
  <c r="J86" i="94"/>
  <c r="J80" i="94"/>
  <c r="J72" i="94"/>
  <c r="J64" i="94"/>
  <c r="J60" i="94"/>
  <c r="J54" i="94"/>
  <c r="J46" i="94"/>
  <c r="J71" i="94"/>
  <c r="J63" i="94"/>
  <c r="J51" i="94"/>
  <c r="J29" i="94"/>
  <c r="J21" i="94"/>
  <c r="J27" i="94"/>
  <c r="J19" i="94"/>
  <c r="J59" i="94"/>
  <c r="J48" i="94"/>
  <c r="J26" i="94"/>
  <c r="J18" i="94"/>
  <c r="J40" i="94"/>
  <c r="J38" i="94"/>
  <c r="J37" i="94"/>
  <c r="J33" i="94"/>
  <c r="J25" i="94"/>
  <c r="J23" i="94"/>
  <c r="J84" i="94"/>
  <c r="J73" i="94"/>
  <c r="J65" i="94"/>
  <c r="J43" i="94"/>
  <c r="J35" i="94"/>
  <c r="J31" i="94"/>
  <c r="J17" i="94"/>
  <c r="J30" i="94"/>
  <c r="F33" i="94"/>
  <c r="F37" i="94"/>
  <c r="J41" i="94"/>
  <c r="F63" i="94"/>
  <c r="V85" i="95"/>
  <c r="V79" i="95"/>
  <c r="V75" i="95"/>
  <c r="V71" i="95"/>
  <c r="V59" i="95"/>
  <c r="V51" i="95"/>
  <c r="V74" i="95"/>
  <c r="V70" i="95"/>
  <c r="V66" i="95"/>
  <c r="V62" i="95"/>
  <c r="V58" i="95"/>
  <c r="V50" i="95"/>
  <c r="V42" i="95"/>
  <c r="V88" i="95"/>
  <c r="V83" i="95"/>
  <c r="V81" i="95"/>
  <c r="V77" i="95"/>
  <c r="V69" i="95"/>
  <c r="V65" i="95"/>
  <c r="V61" i="95"/>
  <c r="V37" i="95"/>
  <c r="V33" i="95"/>
  <c r="V25" i="95"/>
  <c r="V17" i="95"/>
  <c r="V60" i="95"/>
  <c r="V54" i="95"/>
  <c r="V49" i="95"/>
  <c r="V41" i="95"/>
  <c r="V36" i="95"/>
  <c r="V32" i="95"/>
  <c r="V24" i="95"/>
  <c r="V63" i="95"/>
  <c r="V55" i="95"/>
  <c r="V48" i="95"/>
  <c r="V45" i="95"/>
  <c r="V44" i="95"/>
  <c r="V40" i="95"/>
  <c r="V35" i="95"/>
  <c r="V31" i="95"/>
  <c r="V21" i="95"/>
  <c r="V67" i="95"/>
  <c r="V64" i="95"/>
  <c r="V34" i="95"/>
  <c r="V30" i="95"/>
  <c r="T21" i="95"/>
  <c r="V68" i="95"/>
  <c r="V76" i="95"/>
  <c r="V57" i="95"/>
  <c r="V53" i="95"/>
  <c r="V52" i="95"/>
  <c r="V28" i="95"/>
  <c r="Z12" i="95"/>
  <c r="V56" i="95"/>
  <c r="V46" i="95"/>
  <c r="V26" i="95"/>
  <c r="V73" i="95"/>
  <c r="V38" i="95"/>
  <c r="V39" i="95"/>
  <c r="V27" i="95"/>
  <c r="V47" i="95"/>
  <c r="V23" i="95"/>
  <c r="V18" i="95"/>
  <c r="V72" i="95"/>
  <c r="X52" i="92"/>
  <c r="Z52" i="92" s="1"/>
  <c r="T31" i="93"/>
  <c r="N13" i="94"/>
  <c r="Z23" i="94"/>
  <c r="L23" i="95"/>
  <c r="N23" i="95" s="1"/>
  <c r="F23" i="95"/>
  <c r="L12" i="93"/>
  <c r="P16" i="93"/>
  <c r="F20" i="93"/>
  <c r="F26" i="93"/>
  <c r="Z52" i="94"/>
  <c r="Z58" i="94"/>
  <c r="J85" i="95"/>
  <c r="J79" i="95"/>
  <c r="J75" i="95"/>
  <c r="J83" i="95"/>
  <c r="J77" i="95"/>
  <c r="J88" i="95"/>
  <c r="J81" i="95"/>
  <c r="J55" i="95"/>
  <c r="J76" i="95"/>
  <c r="J60" i="95"/>
  <c r="J52" i="95"/>
  <c r="J44" i="95"/>
  <c r="J73" i="95"/>
  <c r="J67" i="95"/>
  <c r="J63" i="95"/>
  <c r="J70" i="95"/>
  <c r="J69" i="95"/>
  <c r="J74" i="95"/>
  <c r="J71" i="95"/>
  <c r="J68" i="95"/>
  <c r="J29" i="95"/>
  <c r="J21" i="95"/>
  <c r="J72" i="95"/>
  <c r="J57" i="95"/>
  <c r="J53" i="95"/>
  <c r="J43" i="95"/>
  <c r="J34" i="95"/>
  <c r="J28" i="95"/>
  <c r="H21" i="95"/>
  <c r="N12" i="95"/>
  <c r="J51" i="95"/>
  <c r="J47" i="95"/>
  <c r="J39" i="95"/>
  <c r="J27" i="95"/>
  <c r="J19" i="95"/>
  <c r="J56" i="95"/>
  <c r="J50" i="95"/>
  <c r="J46" i="95"/>
  <c r="J42" i="95"/>
  <c r="J38" i="95"/>
  <c r="J26" i="95"/>
  <c r="J18" i="95"/>
  <c r="J49" i="95"/>
  <c r="J41" i="95"/>
  <c r="J36" i="95"/>
  <c r="J32" i="95"/>
  <c r="J23" i="95"/>
  <c r="J24" i="95"/>
  <c r="F31" i="95"/>
  <c r="F35" i="95"/>
  <c r="F41" i="95"/>
  <c r="F59" i="95"/>
  <c r="F60" i="95"/>
  <c r="J65" i="95"/>
  <c r="X20" i="96"/>
  <c r="R19" i="93"/>
  <c r="Z44" i="94"/>
  <c r="Z66" i="94"/>
  <c r="F38" i="95"/>
  <c r="J40" i="95"/>
  <c r="L46" i="95"/>
  <c r="N46" i="95" s="1"/>
  <c r="F16" i="93"/>
  <c r="V16" i="93"/>
  <c r="R24" i="93"/>
  <c r="R31" i="93"/>
  <c r="X44" i="94"/>
  <c r="L54" i="94"/>
  <c r="N54" i="94" s="1"/>
  <c r="N68" i="94"/>
  <c r="P12" i="95"/>
  <c r="X13" i="95"/>
  <c r="N56" i="95"/>
  <c r="L56" i="95"/>
  <c r="J64" i="95"/>
  <c r="X12" i="93"/>
  <c r="R20" i="93"/>
  <c r="D24" i="93"/>
  <c r="Z42" i="94"/>
  <c r="N46" i="94"/>
  <c r="L52" i="94"/>
  <c r="N52" i="94" s="1"/>
  <c r="Z61" i="94"/>
  <c r="Z79" i="94"/>
  <c r="F79" i="95"/>
  <c r="F68" i="95"/>
  <c r="F64" i="95"/>
  <c r="F74" i="95"/>
  <c r="F58" i="95"/>
  <c r="F55" i="95"/>
  <c r="F50" i="95"/>
  <c r="F47" i="95"/>
  <c r="F42" i="95"/>
  <c r="F75" i="95"/>
  <c r="F70" i="95"/>
  <c r="F69" i="95"/>
  <c r="F67" i="95"/>
  <c r="F66" i="95"/>
  <c r="F65" i="95"/>
  <c r="F54" i="95"/>
  <c r="F30" i="95"/>
  <c r="F17" i="95"/>
  <c r="F71" i="95"/>
  <c r="F48" i="95"/>
  <c r="F44" i="95"/>
  <c r="F40" i="95"/>
  <c r="F29" i="95"/>
  <c r="F24" i="95"/>
  <c r="F73" i="95"/>
  <c r="F72" i="95"/>
  <c r="F57" i="95"/>
  <c r="F53" i="95"/>
  <c r="F43" i="95"/>
  <c r="F28" i="95"/>
  <c r="L12" i="95"/>
  <c r="F83" i="95"/>
  <c r="F77" i="95"/>
  <c r="F76" i="95"/>
  <c r="F52" i="95"/>
  <c r="F51" i="95"/>
  <c r="F39" i="95"/>
  <c r="F34" i="95"/>
  <c r="F27" i="95"/>
  <c r="D21" i="95"/>
  <c r="F19" i="95"/>
  <c r="F56" i="95"/>
  <c r="F46" i="95"/>
  <c r="F37" i="95"/>
  <c r="F33" i="95"/>
  <c r="F25" i="95"/>
  <c r="L17" i="95"/>
  <c r="F26" i="95"/>
  <c r="J45" i="95"/>
  <c r="L44" i="94"/>
  <c r="N44" i="94" s="1"/>
  <c r="Z68" i="94"/>
  <c r="Z34" i="95"/>
  <c r="Z52" i="95"/>
  <c r="F61" i="95"/>
  <c r="J62" i="95"/>
  <c r="P24" i="96"/>
  <c r="X16" i="96"/>
  <c r="N22" i="96"/>
  <c r="Z13" i="98"/>
  <c r="X13" i="98"/>
  <c r="Z63" i="95"/>
  <c r="L18" i="96"/>
  <c r="N20" i="97"/>
  <c r="N25" i="100"/>
  <c r="L25" i="100"/>
  <c r="Z60" i="95"/>
  <c r="Z22" i="96"/>
  <c r="X22" i="96"/>
  <c r="L67" i="95"/>
  <c r="Z21" i="96"/>
  <c r="P62" i="97"/>
  <c r="X50" i="95"/>
  <c r="L63" i="95"/>
  <c r="N63" i="95" s="1"/>
  <c r="X79" i="95"/>
  <c r="H12" i="97"/>
  <c r="N13" i="97"/>
  <c r="N20" i="100"/>
  <c r="L20" i="100"/>
  <c r="N16" i="96"/>
  <c r="H24" i="96"/>
  <c r="N12" i="96"/>
  <c r="J14" i="96"/>
  <c r="J18" i="96"/>
  <c r="F24" i="96"/>
  <c r="F31" i="96"/>
  <c r="X15" i="97"/>
  <c r="F21" i="97"/>
  <c r="R26" i="97"/>
  <c r="R27" i="97"/>
  <c r="F39" i="97"/>
  <c r="F47" i="97"/>
  <c r="N15" i="100"/>
  <c r="H18" i="100"/>
  <c r="N29" i="100"/>
  <c r="L29" i="100"/>
  <c r="D16" i="96"/>
  <c r="T16" i="96"/>
  <c r="D20" i="96"/>
  <c r="L20" i="96" s="1"/>
  <c r="N20" i="96" s="1"/>
  <c r="T20" i="96"/>
  <c r="J21" i="96"/>
  <c r="R56" i="97"/>
  <c r="R47" i="97"/>
  <c r="R44" i="97"/>
  <c r="R35" i="97"/>
  <c r="R64" i="97"/>
  <c r="R50" i="97"/>
  <c r="R38" i="97"/>
  <c r="R34" i="97"/>
  <c r="R62" i="97"/>
  <c r="R53" i="97"/>
  <c r="R49" i="97"/>
  <c r="R46" i="97"/>
  <c r="R33" i="97"/>
  <c r="R29" i="97"/>
  <c r="R51" i="97"/>
  <c r="R42" i="97"/>
  <c r="R39" i="97"/>
  <c r="R41" i="97"/>
  <c r="R36" i="97"/>
  <c r="R17" i="97"/>
  <c r="F22" i="97"/>
  <c r="R28" i="97"/>
  <c r="F33" i="97"/>
  <c r="R40" i="97"/>
  <c r="F44" i="97"/>
  <c r="F51" i="97"/>
  <c r="F60" i="97"/>
  <c r="X24" i="98"/>
  <c r="R31" i="98"/>
  <c r="R36" i="99"/>
  <c r="R33" i="99"/>
  <c r="R29" i="99"/>
  <c r="R25" i="99"/>
  <c r="P18" i="99"/>
  <c r="R15" i="99"/>
  <c r="R22" i="99"/>
  <c r="X12" i="99"/>
  <c r="R24" i="99"/>
  <c r="R18" i="99"/>
  <c r="R20" i="99"/>
  <c r="R21" i="99"/>
  <c r="F34" i="100"/>
  <c r="F31" i="100"/>
  <c r="F27" i="100"/>
  <c r="F24" i="100"/>
  <c r="F21" i="100"/>
  <c r="F36" i="100"/>
  <c r="F33" i="100"/>
  <c r="F29" i="100"/>
  <c r="F25" i="100"/>
  <c r="F22" i="100"/>
  <c r="F20" i="100"/>
  <c r="F16" i="100"/>
  <c r="D18" i="100"/>
  <c r="N33" i="100"/>
  <c r="L33" i="100"/>
  <c r="F16" i="96"/>
  <c r="V16" i="96"/>
  <c r="F20" i="96"/>
  <c r="R22" i="96"/>
  <c r="J24" i="96"/>
  <c r="J31" i="96"/>
  <c r="T12" i="97"/>
  <c r="D17" i="97"/>
  <c r="R20" i="97"/>
  <c r="F23" i="97"/>
  <c r="F36" i="97"/>
  <c r="X39" i="97"/>
  <c r="N44" i="97"/>
  <c r="R48" i="97"/>
  <c r="H59" i="97"/>
  <c r="L60" i="97"/>
  <c r="N60" i="97" s="1"/>
  <c r="V20" i="99"/>
  <c r="V16" i="99"/>
  <c r="Z12" i="99"/>
  <c r="V34" i="99"/>
  <c r="V31" i="99"/>
  <c r="V27" i="99"/>
  <c r="V18" i="99"/>
  <c r="V22" i="99"/>
  <c r="R16" i="99"/>
  <c r="D27" i="99"/>
  <c r="V36" i="99"/>
  <c r="L13" i="100"/>
  <c r="F18" i="100"/>
  <c r="X21" i="100"/>
  <c r="F24" i="97"/>
  <c r="L30" i="97"/>
  <c r="N30" i="97" s="1"/>
  <c r="Z39" i="97"/>
  <c r="Z48" i="97"/>
  <c r="X48" i="97"/>
  <c r="F56" i="97"/>
  <c r="J16" i="96"/>
  <c r="J20" i="96"/>
  <c r="F22" i="96"/>
  <c r="J26" i="96"/>
  <c r="F28" i="96"/>
  <c r="X13" i="97"/>
  <c r="Z13" i="97" s="1"/>
  <c r="F20" i="97"/>
  <c r="F26" i="97"/>
  <c r="F27" i="97"/>
  <c r="F29" i="97"/>
  <c r="F30" i="97"/>
  <c r="L41" i="97"/>
  <c r="R45" i="97"/>
  <c r="X51" i="97"/>
  <c r="Z51" i="97" s="1"/>
  <c r="R60" i="97"/>
  <c r="X16" i="98"/>
  <c r="L24" i="98"/>
  <c r="X24" i="99"/>
  <c r="R31" i="99"/>
  <c r="F55" i="97"/>
  <c r="F46" i="97"/>
  <c r="F43" i="97"/>
  <c r="F31" i="97"/>
  <c r="F59" i="97"/>
  <c r="F42" i="97"/>
  <c r="F37" i="97"/>
  <c r="F57" i="97"/>
  <c r="F48" i="97"/>
  <c r="F45" i="97"/>
  <c r="F25" i="97"/>
  <c r="F64" i="97"/>
  <c r="F50" i="97"/>
  <c r="F41" i="97"/>
  <c r="F38" i="97"/>
  <c r="F34" i="97"/>
  <c r="F52" i="97"/>
  <c r="F40" i="97"/>
  <c r="F32" i="97"/>
  <c r="X20" i="97"/>
  <c r="Z20" i="97" s="1"/>
  <c r="F28" i="97"/>
  <c r="F49" i="97"/>
  <c r="F54" i="97"/>
  <c r="N34" i="98"/>
  <c r="L34" i="98"/>
  <c r="F14" i="96"/>
  <c r="J22" i="96"/>
  <c r="R23" i="97"/>
  <c r="F53" i="97"/>
  <c r="L54" i="97"/>
  <c r="N54" i="97" s="1"/>
  <c r="R55" i="97"/>
  <c r="Z59" i="97"/>
  <c r="R21" i="98"/>
  <c r="R18" i="98"/>
  <c r="R36" i="98"/>
  <c r="R33" i="98"/>
  <c r="R29" i="98"/>
  <c r="R25" i="98"/>
  <c r="P18" i="98"/>
  <c r="R15" i="98"/>
  <c r="R20" i="98"/>
  <c r="R16" i="98"/>
  <c r="R24" i="98"/>
  <c r="X20" i="98"/>
  <c r="N13" i="99"/>
  <c r="H27" i="99"/>
  <c r="N21" i="99"/>
  <c r="L21" i="99"/>
  <c r="V24" i="99"/>
  <c r="V33" i="99"/>
  <c r="Z34" i="99"/>
  <c r="X34" i="99"/>
  <c r="L15" i="100"/>
  <c r="N12" i="98"/>
  <c r="F18" i="98"/>
  <c r="V18" i="98"/>
  <c r="J22" i="98"/>
  <c r="J16" i="99"/>
  <c r="J20" i="99"/>
  <c r="Z12" i="100"/>
  <c r="V16" i="100"/>
  <c r="V20" i="100"/>
  <c r="R22" i="100"/>
  <c r="J24" i="100"/>
  <c r="J18" i="98"/>
  <c r="F24" i="98"/>
  <c r="V24" i="98"/>
  <c r="J16" i="100"/>
  <c r="R18" i="100"/>
  <c r="J20" i="100"/>
  <c r="V22" i="100"/>
  <c r="V25" i="100"/>
  <c r="V29" i="100"/>
  <c r="V33" i="100"/>
  <c r="V36" i="100"/>
  <c r="J27" i="98"/>
  <c r="J31" i="98"/>
  <c r="J34" i="98"/>
  <c r="J25" i="100"/>
  <c r="R27" i="100"/>
  <c r="J29" i="100"/>
  <c r="R31" i="100"/>
  <c r="J33" i="100"/>
  <c r="R34" i="100"/>
  <c r="J36" i="100"/>
  <c r="J16" i="98"/>
  <c r="F22" i="98"/>
  <c r="V22" i="98"/>
  <c r="R16" i="100"/>
  <c r="J18" i="100"/>
  <c r="R20" i="100"/>
  <c r="V24" i="100"/>
  <c r="L12" i="98"/>
  <c r="F15" i="98"/>
  <c r="V15" i="98"/>
  <c r="D18" i="98"/>
  <c r="T18" i="98"/>
  <c r="F25" i="98"/>
  <c r="V25" i="98"/>
  <c r="F29" i="98"/>
  <c r="V29" i="98"/>
  <c r="F33" i="98"/>
  <c r="V33" i="98"/>
  <c r="J27" i="99"/>
  <c r="J31" i="99"/>
  <c r="V27" i="100"/>
  <c r="V31" i="100"/>
  <c r="X27" i="43" l="1"/>
  <c r="Z18" i="99"/>
  <c r="Z18" i="100"/>
  <c r="X18" i="43"/>
  <c r="T27" i="50"/>
  <c r="N18" i="98"/>
  <c r="P31" i="43"/>
  <c r="N18" i="23"/>
  <c r="X18" i="35"/>
  <c r="Z18" i="35"/>
  <c r="Z18" i="25"/>
  <c r="L18" i="11"/>
  <c r="Z18" i="11"/>
  <c r="Z27" i="35"/>
  <c r="X18" i="32"/>
  <c r="L18" i="28"/>
  <c r="N18" i="28"/>
  <c r="L18" i="43"/>
  <c r="T31" i="99"/>
  <c r="T31" i="25"/>
  <c r="T36" i="25" s="1"/>
  <c r="Z36" i="25" s="1"/>
  <c r="N18" i="10"/>
  <c r="L18" i="50"/>
  <c r="L18" i="19"/>
  <c r="L18" i="10"/>
  <c r="N18" i="31"/>
  <c r="L27" i="28"/>
  <c r="X18" i="47"/>
  <c r="N18" i="35"/>
  <c r="H31" i="28"/>
  <c r="H36" i="28" s="1"/>
  <c r="N36" i="28" s="1"/>
  <c r="T31" i="28"/>
  <c r="Z18" i="31"/>
  <c r="X18" i="20"/>
  <c r="Z18" i="46"/>
  <c r="Z18" i="28"/>
  <c r="H27" i="43"/>
  <c r="L27" i="43" s="1"/>
  <c r="N18" i="25"/>
  <c r="L18" i="52"/>
  <c r="N27" i="25"/>
  <c r="N18" i="5"/>
  <c r="Z31" i="35"/>
  <c r="X18" i="25"/>
  <c r="L18" i="37"/>
  <c r="X18" i="100"/>
  <c r="L18" i="99"/>
  <c r="D45" i="83"/>
  <c r="L42" i="83"/>
  <c r="F60" i="48"/>
  <c r="F54" i="48"/>
  <c r="F47" i="48"/>
  <c r="F35" i="48"/>
  <c r="F30" i="48"/>
  <c r="F23" i="48"/>
  <c r="D17" i="48"/>
  <c r="F64" i="48"/>
  <c r="F50" i="48"/>
  <c r="F41" i="48"/>
  <c r="F38" i="48"/>
  <c r="F34" i="48"/>
  <c r="F22" i="48"/>
  <c r="F56" i="48"/>
  <c r="F53" i="48"/>
  <c r="F49" i="48"/>
  <c r="F44" i="48"/>
  <c r="F33" i="48"/>
  <c r="F29" i="48"/>
  <c r="F21" i="48"/>
  <c r="F52" i="48"/>
  <c r="F40" i="48"/>
  <c r="F32" i="48"/>
  <c r="F28" i="48"/>
  <c r="F19" i="48"/>
  <c r="F15" i="48"/>
  <c r="L12" i="48"/>
  <c r="N12" i="48" s="1"/>
  <c r="F59" i="48"/>
  <c r="F42" i="48"/>
  <c r="F37" i="48"/>
  <c r="F26" i="48"/>
  <c r="F57" i="48"/>
  <c r="F48" i="48"/>
  <c r="F45" i="48"/>
  <c r="F25" i="48"/>
  <c r="F20" i="48"/>
  <c r="F39" i="48"/>
  <c r="F46" i="48"/>
  <c r="F17" i="48"/>
  <c r="F55" i="48"/>
  <c r="F36" i="48"/>
  <c r="F24" i="48"/>
  <c r="F51" i="48"/>
  <c r="F43" i="48"/>
  <c r="F27" i="48"/>
  <c r="F31" i="48"/>
  <c r="X27" i="100"/>
  <c r="P31" i="100"/>
  <c r="P27" i="99"/>
  <c r="X18" i="99"/>
  <c r="H28" i="96"/>
  <c r="P28" i="96"/>
  <c r="H88" i="94"/>
  <c r="V41" i="90"/>
  <c r="V40" i="90"/>
  <c r="V54" i="90"/>
  <c r="V49" i="90"/>
  <c r="V47" i="90"/>
  <c r="V43" i="90"/>
  <c r="V42" i="90"/>
  <c r="V34" i="90"/>
  <c r="V36" i="90"/>
  <c r="V28" i="90"/>
  <c r="V45" i="90"/>
  <c r="V32" i="90"/>
  <c r="V21" i="90"/>
  <c r="V38" i="90"/>
  <c r="T18" i="90"/>
  <c r="V33" i="90"/>
  <c r="V26" i="90"/>
  <c r="V39" i="90"/>
  <c r="V30" i="90"/>
  <c r="V29" i="90"/>
  <c r="V25" i="90"/>
  <c r="V37" i="90"/>
  <c r="V24" i="90"/>
  <c r="V20" i="90"/>
  <c r="V16" i="90"/>
  <c r="V27" i="90"/>
  <c r="V23" i="90"/>
  <c r="V15" i="90"/>
  <c r="V35" i="90"/>
  <c r="Z12" i="90"/>
  <c r="V51" i="90"/>
  <c r="V22" i="90"/>
  <c r="V31" i="90"/>
  <c r="V18" i="90"/>
  <c r="H32" i="88"/>
  <c r="N16" i="88"/>
  <c r="P38" i="83"/>
  <c r="X16" i="83"/>
  <c r="T37" i="82"/>
  <c r="T39" i="80"/>
  <c r="H45" i="83"/>
  <c r="N42" i="83"/>
  <c r="D36" i="80"/>
  <c r="L32" i="80"/>
  <c r="P81" i="79"/>
  <c r="X20" i="79"/>
  <c r="D81" i="79"/>
  <c r="N17" i="74"/>
  <c r="H44" i="74"/>
  <c r="D73" i="76"/>
  <c r="L20" i="76"/>
  <c r="P33" i="75"/>
  <c r="P66" i="73"/>
  <c r="P108" i="77"/>
  <c r="H73" i="76"/>
  <c r="N20" i="76"/>
  <c r="V68" i="73"/>
  <c r="V62" i="73"/>
  <c r="V54" i="73"/>
  <c r="V50" i="73"/>
  <c r="V42" i="73"/>
  <c r="V26" i="73"/>
  <c r="V61" i="73"/>
  <c r="V53" i="73"/>
  <c r="V41" i="73"/>
  <c r="V25" i="73"/>
  <c r="V44" i="73"/>
  <c r="V36" i="73"/>
  <c r="V64" i="73"/>
  <c r="V58" i="73"/>
  <c r="V46" i="73"/>
  <c r="V38" i="73"/>
  <c r="V34" i="73"/>
  <c r="V30" i="73"/>
  <c r="V20" i="73"/>
  <c r="V57" i="73"/>
  <c r="V49" i="73"/>
  <c r="V45" i="73"/>
  <c r="V37" i="73"/>
  <c r="V33" i="73"/>
  <c r="V29" i="73"/>
  <c r="T20" i="73"/>
  <c r="V51" i="73"/>
  <c r="V22" i="73"/>
  <c r="V59" i="73"/>
  <c r="V52" i="73"/>
  <c r="V35" i="73"/>
  <c r="V32" i="73"/>
  <c r="V17" i="73"/>
  <c r="V16" i="73"/>
  <c r="V18" i="73"/>
  <c r="V60" i="73"/>
  <c r="V48" i="73"/>
  <c r="V39" i="73"/>
  <c r="V31" i="73"/>
  <c r="V27" i="73"/>
  <c r="V24" i="73"/>
  <c r="Z12" i="73"/>
  <c r="V55" i="73"/>
  <c r="V40" i="73"/>
  <c r="V28" i="73"/>
  <c r="V23" i="73"/>
  <c r="V56" i="73"/>
  <c r="V47" i="73"/>
  <c r="V43" i="73"/>
  <c r="R92" i="71"/>
  <c r="R89" i="71"/>
  <c r="R86" i="71"/>
  <c r="R82" i="71"/>
  <c r="R77" i="71"/>
  <c r="R57" i="71"/>
  <c r="R41" i="71"/>
  <c r="R98" i="71"/>
  <c r="R76" i="71"/>
  <c r="R73" i="71"/>
  <c r="R68" i="71"/>
  <c r="R56" i="71"/>
  <c r="R48" i="71"/>
  <c r="R40" i="71"/>
  <c r="R88" i="71"/>
  <c r="R79" i="71"/>
  <c r="R67" i="71"/>
  <c r="R55" i="71"/>
  <c r="R52" i="71"/>
  <c r="R47" i="71"/>
  <c r="R39" i="71"/>
  <c r="R93" i="71"/>
  <c r="R75" i="71"/>
  <c r="R70" i="71"/>
  <c r="R66" i="71"/>
  <c r="R62" i="71"/>
  <c r="R54" i="71"/>
  <c r="R46" i="71"/>
  <c r="R38" i="71"/>
  <c r="R85" i="71"/>
  <c r="R81" i="71"/>
  <c r="R78" i="71"/>
  <c r="R65" i="71"/>
  <c r="R61" i="71"/>
  <c r="R45" i="71"/>
  <c r="R37" i="71"/>
  <c r="R91" i="71"/>
  <c r="R84" i="71"/>
  <c r="R72" i="71"/>
  <c r="R69" i="71"/>
  <c r="R64" i="71"/>
  <c r="R60" i="71"/>
  <c r="R53" i="71"/>
  <c r="R44" i="71"/>
  <c r="R36" i="71"/>
  <c r="X12" i="71"/>
  <c r="R94" i="71"/>
  <c r="R87" i="71"/>
  <c r="R83" i="71"/>
  <c r="R80" i="71"/>
  <c r="R59" i="71"/>
  <c r="R43" i="71"/>
  <c r="R74" i="71"/>
  <c r="R71" i="71"/>
  <c r="R63" i="71"/>
  <c r="R58" i="71"/>
  <c r="P50" i="71"/>
  <c r="R50" i="71" s="1"/>
  <c r="R42" i="71"/>
  <c r="R35" i="71"/>
  <c r="T48" i="74"/>
  <c r="R71" i="70"/>
  <c r="R63" i="70"/>
  <c r="R54" i="70"/>
  <c r="R42" i="70"/>
  <c r="R38" i="70"/>
  <c r="R31" i="70"/>
  <c r="R68" i="70"/>
  <c r="R60" i="70"/>
  <c r="R56" i="70"/>
  <c r="R36" i="70"/>
  <c r="P28" i="70"/>
  <c r="X12" i="70"/>
  <c r="R74" i="70"/>
  <c r="R67" i="70"/>
  <c r="R59" i="70"/>
  <c r="R52" i="70"/>
  <c r="R47" i="70"/>
  <c r="R44" i="70"/>
  <c r="R40" i="70"/>
  <c r="R35" i="70"/>
  <c r="R70" i="70"/>
  <c r="R66" i="70"/>
  <c r="R62" i="70"/>
  <c r="R58" i="70"/>
  <c r="R55" i="70"/>
  <c r="R34" i="70"/>
  <c r="R26" i="70"/>
  <c r="R65" i="70"/>
  <c r="R49" i="70"/>
  <c r="R46" i="70"/>
  <c r="R75" i="70"/>
  <c r="R72" i="70"/>
  <c r="R69" i="70"/>
  <c r="R64" i="70"/>
  <c r="R61" i="70"/>
  <c r="R57" i="70"/>
  <c r="R32" i="70"/>
  <c r="R25" i="70"/>
  <c r="R53" i="70"/>
  <c r="R48" i="70"/>
  <c r="R37" i="70"/>
  <c r="R50" i="70"/>
  <c r="R30" i="70"/>
  <c r="R28" i="70"/>
  <c r="R79" i="70"/>
  <c r="R51" i="70"/>
  <c r="R45" i="70"/>
  <c r="R41" i="70"/>
  <c r="R39" i="70"/>
  <c r="R43" i="70"/>
  <c r="R33" i="70"/>
  <c r="T50" i="67"/>
  <c r="D38" i="65"/>
  <c r="L16" i="65"/>
  <c r="F64" i="64"/>
  <c r="F61" i="64"/>
  <c r="F49" i="64"/>
  <c r="F45" i="64"/>
  <c r="D39" i="64"/>
  <c r="F37" i="64"/>
  <c r="F29" i="64"/>
  <c r="F75" i="64"/>
  <c r="F67" i="64"/>
  <c r="F55" i="64"/>
  <c r="F52" i="64"/>
  <c r="F48" i="64"/>
  <c r="F44" i="64"/>
  <c r="F36" i="64"/>
  <c r="F28" i="64"/>
  <c r="L12" i="64"/>
  <c r="F70" i="64"/>
  <c r="F63" i="64"/>
  <c r="F58" i="64"/>
  <c r="F47" i="64"/>
  <c r="F43" i="64"/>
  <c r="F35" i="64"/>
  <c r="F77" i="64"/>
  <c r="F74" i="64"/>
  <c r="F66" i="64"/>
  <c r="F54" i="64"/>
  <c r="F41" i="64"/>
  <c r="F34" i="64"/>
  <c r="F73" i="64"/>
  <c r="F69" i="64"/>
  <c r="F65" i="64"/>
  <c r="F60" i="64"/>
  <c r="F57" i="64"/>
  <c r="F33" i="64"/>
  <c r="F76" i="64"/>
  <c r="F72" i="64"/>
  <c r="F68" i="64"/>
  <c r="F56" i="64"/>
  <c r="F51" i="64"/>
  <c r="F32" i="64"/>
  <c r="F27" i="64"/>
  <c r="F80" i="64"/>
  <c r="F71" i="64"/>
  <c r="F62" i="64"/>
  <c r="F59" i="64"/>
  <c r="F46" i="64"/>
  <c r="F42" i="64"/>
  <c r="F31" i="64"/>
  <c r="F84" i="64"/>
  <c r="F78" i="64"/>
  <c r="F53" i="64"/>
  <c r="F50" i="64"/>
  <c r="F30" i="64"/>
  <c r="P38" i="63"/>
  <c r="X16" i="63"/>
  <c r="P45" i="65"/>
  <c r="L16" i="58"/>
  <c r="D68" i="58"/>
  <c r="T22" i="54"/>
  <c r="Z16" i="54"/>
  <c r="H27" i="53"/>
  <c r="N18" i="53"/>
  <c r="H68" i="58"/>
  <c r="N16" i="58"/>
  <c r="X18" i="52"/>
  <c r="P27" i="52"/>
  <c r="H91" i="45"/>
  <c r="T27" i="41"/>
  <c r="Z18" i="41"/>
  <c r="P31" i="47"/>
  <c r="T31" i="50"/>
  <c r="Z27" i="50"/>
  <c r="L18" i="49"/>
  <c r="D27" i="49"/>
  <c r="X106" i="39"/>
  <c r="Z106" i="39" s="1"/>
  <c r="P36" i="49"/>
  <c r="P31" i="32"/>
  <c r="V104" i="39"/>
  <c r="V100" i="39"/>
  <c r="V113" i="39"/>
  <c r="V103" i="39"/>
  <c r="V106" i="39"/>
  <c r="V96" i="39"/>
  <c r="V109" i="39"/>
  <c r="V99" i="39"/>
  <c r="V107" i="39"/>
  <c r="V101" i="39"/>
  <c r="V90" i="39"/>
  <c r="V82" i="39"/>
  <c r="V78" i="39"/>
  <c r="V74" i="39"/>
  <c r="V66" i="39"/>
  <c r="V62" i="39"/>
  <c r="V54" i="39"/>
  <c r="V38" i="39"/>
  <c r="V89" i="39"/>
  <c r="V85" i="39"/>
  <c r="V81" i="39"/>
  <c r="V77" i="39"/>
  <c r="V73" i="39"/>
  <c r="V65" i="39"/>
  <c r="V57" i="39"/>
  <c r="V53" i="39"/>
  <c r="V37" i="39"/>
  <c r="V33" i="39"/>
  <c r="V29" i="39"/>
  <c r="V98" i="39"/>
  <c r="V88" i="39"/>
  <c r="V84" i="39"/>
  <c r="V80" i="39"/>
  <c r="V68" i="39"/>
  <c r="V56" i="39"/>
  <c r="V48" i="39"/>
  <c r="V36" i="39"/>
  <c r="V28" i="39"/>
  <c r="V87" i="39"/>
  <c r="V79" i="39"/>
  <c r="V67" i="39"/>
  <c r="V59" i="39"/>
  <c r="V55" i="39"/>
  <c r="V47" i="39"/>
  <c r="V35" i="39"/>
  <c r="V27" i="39"/>
  <c r="V86" i="39"/>
  <c r="V97" i="39"/>
  <c r="V95" i="39"/>
  <c r="V94" i="39"/>
  <c r="V69" i="39"/>
  <c r="V61" i="39"/>
  <c r="V49" i="39"/>
  <c r="V45" i="39"/>
  <c r="V41" i="39"/>
  <c r="V93" i="39"/>
  <c r="V92" i="39"/>
  <c r="V76" i="39"/>
  <c r="V72" i="39"/>
  <c r="V64" i="39"/>
  <c r="V60" i="39"/>
  <c r="V52" i="39"/>
  <c r="V44" i="39"/>
  <c r="V40" i="39"/>
  <c r="T31" i="39"/>
  <c r="V31" i="39" s="1"/>
  <c r="V108" i="39"/>
  <c r="V102" i="39"/>
  <c r="V91" i="39"/>
  <c r="V83" i="39"/>
  <c r="V75" i="39"/>
  <c r="V71" i="39"/>
  <c r="V63" i="39"/>
  <c r="V51" i="39"/>
  <c r="V43" i="39"/>
  <c r="V39" i="39"/>
  <c r="V50" i="39"/>
  <c r="V42" i="39"/>
  <c r="V58" i="39"/>
  <c r="V34" i="39"/>
  <c r="V70" i="39"/>
  <c r="V46" i="39"/>
  <c r="X155" i="30"/>
  <c r="F104" i="27"/>
  <c r="F100" i="27"/>
  <c r="F91" i="27"/>
  <c r="F88" i="27"/>
  <c r="F76" i="27"/>
  <c r="F64" i="27"/>
  <c r="F48" i="27"/>
  <c r="F40" i="27"/>
  <c r="F108" i="27"/>
  <c r="F103" i="27"/>
  <c r="F87" i="27"/>
  <c r="F82" i="27"/>
  <c r="F79" i="27"/>
  <c r="F75" i="27"/>
  <c r="F70" i="27"/>
  <c r="F63" i="27"/>
  <c r="D57" i="27"/>
  <c r="F55" i="27"/>
  <c r="F47" i="27"/>
  <c r="F39" i="27"/>
  <c r="F111" i="27"/>
  <c r="F106" i="27"/>
  <c r="F97" i="27"/>
  <c r="F93" i="27"/>
  <c r="F90" i="27"/>
  <c r="F74" i="27"/>
  <c r="F62" i="27"/>
  <c r="F54" i="27"/>
  <c r="F46" i="27"/>
  <c r="F115" i="27"/>
  <c r="F84" i="27"/>
  <c r="F81" i="27"/>
  <c r="F73" i="27"/>
  <c r="F69" i="27"/>
  <c r="F61" i="27"/>
  <c r="F53" i="27"/>
  <c r="F45" i="27"/>
  <c r="F109" i="27"/>
  <c r="F99" i="27"/>
  <c r="F96" i="27"/>
  <c r="F92" i="27"/>
  <c r="F72" i="27"/>
  <c r="F68" i="27"/>
  <c r="F59" i="27"/>
  <c r="F52" i="27"/>
  <c r="F44" i="27"/>
  <c r="L12" i="27"/>
  <c r="F102" i="27"/>
  <c r="F95" i="27"/>
  <c r="F86" i="27"/>
  <c r="F83" i="27"/>
  <c r="F78" i="27"/>
  <c r="F71" i="27"/>
  <c r="F67" i="27"/>
  <c r="F51" i="27"/>
  <c r="F43" i="27"/>
  <c r="F38" i="27"/>
  <c r="F105" i="27"/>
  <c r="F98" i="27"/>
  <c r="F94" i="27"/>
  <c r="F89" i="27"/>
  <c r="F66" i="27"/>
  <c r="F50" i="27"/>
  <c r="F42" i="27"/>
  <c r="F110" i="27"/>
  <c r="F101" i="27"/>
  <c r="F85" i="27"/>
  <c r="F80" i="27"/>
  <c r="F77" i="27"/>
  <c r="F65" i="27"/>
  <c r="F60" i="27"/>
  <c r="F49" i="27"/>
  <c r="F41" i="27"/>
  <c r="R101" i="39"/>
  <c r="R98" i="39"/>
  <c r="R107" i="39"/>
  <c r="R104" i="39"/>
  <c r="R113" i="39"/>
  <c r="R108" i="39"/>
  <c r="R97" i="39"/>
  <c r="R93" i="39"/>
  <c r="R109" i="39"/>
  <c r="R102" i="39"/>
  <c r="R103" i="39"/>
  <c r="R91" i="39"/>
  <c r="R83" i="39"/>
  <c r="R75" i="39"/>
  <c r="R63" i="39"/>
  <c r="R60" i="39"/>
  <c r="R39" i="39"/>
  <c r="P31" i="39"/>
  <c r="R90" i="39"/>
  <c r="R82" i="39"/>
  <c r="R78" i="39"/>
  <c r="R74" i="39"/>
  <c r="R71" i="39"/>
  <c r="R66" i="39"/>
  <c r="R54" i="39"/>
  <c r="R51" i="39"/>
  <c r="R43" i="39"/>
  <c r="R38" i="39"/>
  <c r="R89" i="39"/>
  <c r="R85" i="39"/>
  <c r="R81" i="39"/>
  <c r="R62" i="39"/>
  <c r="R57" i="39"/>
  <c r="R37" i="39"/>
  <c r="R29" i="39"/>
  <c r="R88" i="39"/>
  <c r="R80" i="39"/>
  <c r="R77" i="39"/>
  <c r="R73" i="39"/>
  <c r="R68" i="39"/>
  <c r="R65" i="39"/>
  <c r="R56" i="39"/>
  <c r="R53" i="39"/>
  <c r="R48" i="39"/>
  <c r="R36" i="39"/>
  <c r="R33" i="39"/>
  <c r="R28" i="39"/>
  <c r="X12" i="39"/>
  <c r="Z12" i="39" s="1"/>
  <c r="R96" i="39"/>
  <c r="R87" i="39"/>
  <c r="R84" i="39"/>
  <c r="R100" i="39"/>
  <c r="R99" i="39"/>
  <c r="R79" i="39"/>
  <c r="R70" i="39"/>
  <c r="R67" i="39"/>
  <c r="R55" i="39"/>
  <c r="R50" i="39"/>
  <c r="R46" i="39"/>
  <c r="R42" i="39"/>
  <c r="R27" i="39"/>
  <c r="R95" i="39"/>
  <c r="R94" i="39"/>
  <c r="R86" i="39"/>
  <c r="R61" i="39"/>
  <c r="R58" i="39"/>
  <c r="R45" i="39"/>
  <c r="R41" i="39"/>
  <c r="R34" i="39"/>
  <c r="R106" i="39"/>
  <c r="R92" i="39"/>
  <c r="R76" i="39"/>
  <c r="R72" i="39"/>
  <c r="R69" i="39"/>
  <c r="R64" i="39"/>
  <c r="R52" i="39"/>
  <c r="R49" i="39"/>
  <c r="R44" i="39"/>
  <c r="R40" i="39"/>
  <c r="R31" i="39"/>
  <c r="R59" i="39"/>
  <c r="R35" i="39"/>
  <c r="R47" i="39"/>
  <c r="D159" i="30"/>
  <c r="R68" i="24"/>
  <c r="R65" i="24"/>
  <c r="R56" i="24"/>
  <c r="R52" i="24"/>
  <c r="R48" i="24"/>
  <c r="R40" i="24"/>
  <c r="R32" i="24"/>
  <c r="R79" i="24"/>
  <c r="R71" i="24"/>
  <c r="R51" i="24"/>
  <c r="R47" i="24"/>
  <c r="R44" i="24"/>
  <c r="R39" i="24"/>
  <c r="R31" i="24"/>
  <c r="R85" i="24"/>
  <c r="R78" i="24"/>
  <c r="R74" i="24"/>
  <c r="R70" i="24"/>
  <c r="R67" i="24"/>
  <c r="R58" i="24"/>
  <c r="R55" i="24"/>
  <c r="R46" i="24"/>
  <c r="R38" i="24"/>
  <c r="R81" i="24"/>
  <c r="R77" i="24"/>
  <c r="R73" i="24"/>
  <c r="R61" i="24"/>
  <c r="R50" i="24"/>
  <c r="R37" i="24"/>
  <c r="R30" i="24"/>
  <c r="R76" i="24"/>
  <c r="R69" i="24"/>
  <c r="R64" i="24"/>
  <c r="R60" i="24"/>
  <c r="R57" i="24"/>
  <c r="R45" i="24"/>
  <c r="R36" i="24"/>
  <c r="X12" i="24"/>
  <c r="R89" i="24"/>
  <c r="R83" i="24"/>
  <c r="R80" i="24"/>
  <c r="R72" i="24"/>
  <c r="R63" i="24"/>
  <c r="R35" i="24"/>
  <c r="R75" i="24"/>
  <c r="R66" i="24"/>
  <c r="R59" i="24"/>
  <c r="R54" i="24"/>
  <c r="P42" i="24"/>
  <c r="R34" i="24"/>
  <c r="R82" i="24"/>
  <c r="R62" i="24"/>
  <c r="R49" i="24"/>
  <c r="R53" i="24"/>
  <c r="R33" i="24"/>
  <c r="Z31" i="25"/>
  <c r="D36" i="28"/>
  <c r="T27" i="16"/>
  <c r="Z18" i="16"/>
  <c r="L18" i="17"/>
  <c r="D27" i="17"/>
  <c r="J213" i="15"/>
  <c r="J209" i="15"/>
  <c r="J205" i="15"/>
  <c r="J212" i="15"/>
  <c r="J208" i="15"/>
  <c r="J204" i="15"/>
  <c r="J215" i="15"/>
  <c r="J207" i="15"/>
  <c r="J210" i="15"/>
  <c r="J206" i="15"/>
  <c r="J199" i="15"/>
  <c r="J189" i="15"/>
  <c r="J173" i="15"/>
  <c r="J167" i="15"/>
  <c r="J161" i="15"/>
  <c r="J149" i="15"/>
  <c r="J139" i="15"/>
  <c r="J127" i="15"/>
  <c r="J119" i="15"/>
  <c r="J111" i="15"/>
  <c r="J103" i="15"/>
  <c r="J95" i="15"/>
  <c r="J87" i="15"/>
  <c r="J198" i="15"/>
  <c r="J192" i="15"/>
  <c r="J184" i="15"/>
  <c r="J180" i="15"/>
  <c r="J170" i="15"/>
  <c r="J164" i="15"/>
  <c r="J158" i="15"/>
  <c r="J152" i="15"/>
  <c r="J146" i="15"/>
  <c r="J138" i="15"/>
  <c r="J134" i="15"/>
  <c r="J126" i="15"/>
  <c r="J118" i="15"/>
  <c r="J110" i="15"/>
  <c r="J102" i="15"/>
  <c r="J94" i="15"/>
  <c r="J86" i="15"/>
  <c r="J203" i="15"/>
  <c r="J202" i="15"/>
  <c r="J201" i="15"/>
  <c r="J197" i="15"/>
  <c r="J175" i="15"/>
  <c r="J169" i="15"/>
  <c r="J155" i="15"/>
  <c r="J143" i="15"/>
  <c r="J137" i="15"/>
  <c r="J133" i="15"/>
  <c r="J125" i="15"/>
  <c r="J123" i="15"/>
  <c r="J117" i="15"/>
  <c r="J109" i="15"/>
  <c r="J101" i="15"/>
  <c r="J93" i="15"/>
  <c r="J85" i="15"/>
  <c r="J79" i="15"/>
  <c r="J196" i="15"/>
  <c r="J188" i="15"/>
  <c r="J172" i="15"/>
  <c r="J166" i="15"/>
  <c r="J160" i="15"/>
  <c r="J148" i="15"/>
  <c r="J136" i="15"/>
  <c r="J132" i="15"/>
  <c r="J116" i="15"/>
  <c r="J108" i="15"/>
  <c r="J100" i="15"/>
  <c r="J92" i="15"/>
  <c r="J84" i="15"/>
  <c r="J214" i="15"/>
  <c r="J195" i="15"/>
  <c r="J191" i="15"/>
  <c r="J187" i="15"/>
  <c r="J183" i="15"/>
  <c r="J179" i="15"/>
  <c r="J163" i="15"/>
  <c r="J157" i="15"/>
  <c r="J151" i="15"/>
  <c r="J145" i="15"/>
  <c r="J131" i="15"/>
  <c r="J115" i="15"/>
  <c r="J107" i="15"/>
  <c r="J99" i="15"/>
  <c r="J91" i="15"/>
  <c r="J83" i="15"/>
  <c r="J216" i="15"/>
  <c r="J200" i="15"/>
  <c r="J194" i="15"/>
  <c r="J190" i="15"/>
  <c r="J186" i="15"/>
  <c r="J182" i="15"/>
  <c r="J178" i="15"/>
  <c r="J174" i="15"/>
  <c r="J168" i="15"/>
  <c r="J162" i="15"/>
  <c r="J154" i="15"/>
  <c r="J150" i="15"/>
  <c r="J142" i="15"/>
  <c r="J130" i="15"/>
  <c r="J124" i="15"/>
  <c r="J114" i="15"/>
  <c r="J106" i="15"/>
  <c r="J98" i="15"/>
  <c r="J90" i="15"/>
  <c r="J82" i="15"/>
  <c r="J220" i="15"/>
  <c r="J193" i="15"/>
  <c r="J185" i="15"/>
  <c r="J181" i="15"/>
  <c r="J177" i="15"/>
  <c r="J171" i="15"/>
  <c r="J165" i="15"/>
  <c r="J159" i="15"/>
  <c r="J153" i="15"/>
  <c r="J147" i="15"/>
  <c r="J141" i="15"/>
  <c r="J135" i="15"/>
  <c r="J129" i="15"/>
  <c r="J113" i="15"/>
  <c r="J105" i="15"/>
  <c r="J97" i="15"/>
  <c r="J89" i="15"/>
  <c r="J81" i="15"/>
  <c r="H121" i="15"/>
  <c r="J121" i="15" s="1"/>
  <c r="J104" i="15"/>
  <c r="J176" i="15"/>
  <c r="J88" i="15"/>
  <c r="J144" i="15"/>
  <c r="J128" i="15"/>
  <c r="J112" i="15"/>
  <c r="J156" i="15"/>
  <c r="J140" i="15"/>
  <c r="J96" i="15"/>
  <c r="J80" i="15"/>
  <c r="P31" i="13"/>
  <c r="V215" i="15"/>
  <c r="V213" i="15"/>
  <c r="V207" i="15"/>
  <c r="V203" i="15"/>
  <c r="V214" i="15"/>
  <c r="V220" i="15"/>
  <c r="V212" i="15"/>
  <c r="V202" i="15"/>
  <c r="V206" i="15"/>
  <c r="V195" i="15"/>
  <c r="V191" i="15"/>
  <c r="V187" i="15"/>
  <c r="V183" i="15"/>
  <c r="V179" i="15"/>
  <c r="V171" i="15"/>
  <c r="V163" i="15"/>
  <c r="V159" i="15"/>
  <c r="V151" i="15"/>
  <c r="V147" i="15"/>
  <c r="V135" i="15"/>
  <c r="V131" i="15"/>
  <c r="V115" i="15"/>
  <c r="V107" i="15"/>
  <c r="V99" i="15"/>
  <c r="V91" i="15"/>
  <c r="V83" i="15"/>
  <c r="V204" i="15"/>
  <c r="V194" i="15"/>
  <c r="V190" i="15"/>
  <c r="V186" i="15"/>
  <c r="V182" i="15"/>
  <c r="V178" i="15"/>
  <c r="V174" i="15"/>
  <c r="V162" i="15"/>
  <c r="V154" i="15"/>
  <c r="V150" i="15"/>
  <c r="V142" i="15"/>
  <c r="V130" i="15"/>
  <c r="T121" i="15"/>
  <c r="V114" i="15"/>
  <c r="V106" i="15"/>
  <c r="V98" i="15"/>
  <c r="V90" i="15"/>
  <c r="V82" i="15"/>
  <c r="V216" i="15"/>
  <c r="V209" i="15"/>
  <c r="V193" i="15"/>
  <c r="V189" i="15"/>
  <c r="V185" i="15"/>
  <c r="V181" i="15"/>
  <c r="V177" i="15"/>
  <c r="V173" i="15"/>
  <c r="V165" i="15"/>
  <c r="V161" i="15"/>
  <c r="V153" i="15"/>
  <c r="V149" i="15"/>
  <c r="V141" i="15"/>
  <c r="V129" i="15"/>
  <c r="V113" i="15"/>
  <c r="V105" i="15"/>
  <c r="V97" i="15"/>
  <c r="V89" i="15"/>
  <c r="V81" i="15"/>
  <c r="V192" i="15"/>
  <c r="V184" i="15"/>
  <c r="V180" i="15"/>
  <c r="V176" i="15"/>
  <c r="V164" i="15"/>
  <c r="V156" i="15"/>
  <c r="V152" i="15"/>
  <c r="V144" i="15"/>
  <c r="V140" i="15"/>
  <c r="V128" i="15"/>
  <c r="V112" i="15"/>
  <c r="V104" i="15"/>
  <c r="V96" i="15"/>
  <c r="V88" i="15"/>
  <c r="V80" i="15"/>
  <c r="V210" i="15"/>
  <c r="V208" i="15"/>
  <c r="V199" i="15"/>
  <c r="V175" i="15"/>
  <c r="V167" i="15"/>
  <c r="V155" i="15"/>
  <c r="V143" i="15"/>
  <c r="V139" i="15"/>
  <c r="V127" i="15"/>
  <c r="V123" i="15"/>
  <c r="V119" i="15"/>
  <c r="V111" i="15"/>
  <c r="V103" i="15"/>
  <c r="V95" i="15"/>
  <c r="V87" i="15"/>
  <c r="V79" i="15"/>
  <c r="V198" i="15"/>
  <c r="V170" i="15"/>
  <c r="V166" i="15"/>
  <c r="V158" i="15"/>
  <c r="V146" i="15"/>
  <c r="V138" i="15"/>
  <c r="V134" i="15"/>
  <c r="V126" i="15"/>
  <c r="V118" i="15"/>
  <c r="V110" i="15"/>
  <c r="V102" i="15"/>
  <c r="V94" i="15"/>
  <c r="V86" i="15"/>
  <c r="V201" i="15"/>
  <c r="V197" i="15"/>
  <c r="V169" i="15"/>
  <c r="V157" i="15"/>
  <c r="V145" i="15"/>
  <c r="V137" i="15"/>
  <c r="V133" i="15"/>
  <c r="V125" i="15"/>
  <c r="V117" i="15"/>
  <c r="V109" i="15"/>
  <c r="V101" i="15"/>
  <c r="V93" i="15"/>
  <c r="V85" i="15"/>
  <c r="V136" i="15"/>
  <c r="V160" i="15"/>
  <c r="V116" i="15"/>
  <c r="V84" i="15"/>
  <c r="Z12" i="15"/>
  <c r="V100" i="15"/>
  <c r="V205" i="15"/>
  <c r="V188" i="15"/>
  <c r="V168" i="15"/>
  <c r="V200" i="15"/>
  <c r="V196" i="15"/>
  <c r="V172" i="15"/>
  <c r="V124" i="15"/>
  <c r="V108" i="15"/>
  <c r="V92" i="15"/>
  <c r="V148" i="15"/>
  <c r="V132" i="15"/>
  <c r="V252" i="3"/>
  <c r="V246" i="3"/>
  <c r="V242" i="3"/>
  <c r="V234" i="3"/>
  <c r="V206" i="3"/>
  <c r="V202" i="3"/>
  <c r="V194" i="3"/>
  <c r="V186" i="3"/>
  <c r="V182" i="3"/>
  <c r="V174" i="3"/>
  <c r="V162" i="3"/>
  <c r="T153" i="3"/>
  <c r="V146" i="3"/>
  <c r="V138" i="3"/>
  <c r="V130" i="3"/>
  <c r="V122" i="3"/>
  <c r="V114" i="3"/>
  <c r="V106" i="3"/>
  <c r="V267" i="3"/>
  <c r="V263" i="3"/>
  <c r="V255" i="3"/>
  <c r="V249" i="3"/>
  <c r="V245" i="3"/>
  <c r="V233" i="3"/>
  <c r="V225" i="3"/>
  <c r="V205" i="3"/>
  <c r="V197" i="3"/>
  <c r="V193" i="3"/>
  <c r="V185" i="3"/>
  <c r="V181" i="3"/>
  <c r="V173" i="3"/>
  <c r="V161" i="3"/>
  <c r="V145" i="3"/>
  <c r="V137" i="3"/>
  <c r="V129" i="3"/>
  <c r="V121" i="3"/>
  <c r="V113" i="3"/>
  <c r="V105" i="3"/>
  <c r="V258" i="3"/>
  <c r="V248" i="3"/>
  <c r="V244" i="3"/>
  <c r="V232" i="3"/>
  <c r="V228" i="3"/>
  <c r="V224" i="3"/>
  <c r="V208" i="3"/>
  <c r="V196" i="3"/>
  <c r="V188" i="3"/>
  <c r="V184" i="3"/>
  <c r="V176" i="3"/>
  <c r="V172" i="3"/>
  <c r="V160" i="3"/>
  <c r="V144" i="3"/>
  <c r="V136" i="3"/>
  <c r="V128" i="3"/>
  <c r="V120" i="3"/>
  <c r="V112" i="3"/>
  <c r="V104" i="3"/>
  <c r="V253" i="3"/>
  <c r="V231" i="3"/>
  <c r="V227" i="3"/>
  <c r="V223" i="3"/>
  <c r="V219" i="3"/>
  <c r="V215" i="3"/>
  <c r="V207" i="3"/>
  <c r="V199" i="3"/>
  <c r="V187" i="3"/>
  <c r="V175" i="3"/>
  <c r="V171" i="3"/>
  <c r="V159" i="3"/>
  <c r="V155" i="3"/>
  <c r="V151" i="3"/>
  <c r="V143" i="3"/>
  <c r="V135" i="3"/>
  <c r="V127" i="3"/>
  <c r="V119" i="3"/>
  <c r="V111" i="3"/>
  <c r="V103" i="3"/>
  <c r="V256" i="3"/>
  <c r="V238" i="3"/>
  <c r="V230" i="3"/>
  <c r="V226" i="3"/>
  <c r="V222" i="3"/>
  <c r="V218" i="3"/>
  <c r="V214" i="3"/>
  <c r="V210" i="3"/>
  <c r="V198" i="3"/>
  <c r="V190" i="3"/>
  <c r="V178" i="3"/>
  <c r="V170" i="3"/>
  <c r="V166" i="3"/>
  <c r="V158" i="3"/>
  <c r="V150" i="3"/>
  <c r="V142" i="3"/>
  <c r="V134" i="3"/>
  <c r="V126" i="3"/>
  <c r="V118" i="3"/>
  <c r="V110" i="3"/>
  <c r="V102" i="3"/>
  <c r="V268" i="3"/>
  <c r="V259" i="3"/>
  <c r="V251" i="3"/>
  <c r="V241" i="3"/>
  <c r="V237" i="3"/>
  <c r="V229" i="3"/>
  <c r="V221" i="3"/>
  <c r="V217" i="3"/>
  <c r="V213" i="3"/>
  <c r="V209" i="3"/>
  <c r="V201" i="3"/>
  <c r="V189" i="3"/>
  <c r="V177" i="3"/>
  <c r="V169" i="3"/>
  <c r="V165" i="3"/>
  <c r="V157" i="3"/>
  <c r="V149" i="3"/>
  <c r="V141" i="3"/>
  <c r="V133" i="3"/>
  <c r="V125" i="3"/>
  <c r="V117" i="3"/>
  <c r="V109" i="3"/>
  <c r="V101" i="3"/>
  <c r="V254" i="3"/>
  <c r="V240" i="3"/>
  <c r="V236" i="3"/>
  <c r="V220" i="3"/>
  <c r="V216" i="3"/>
  <c r="V212" i="3"/>
  <c r="V204" i="3"/>
  <c r="V200" i="3"/>
  <c r="V192" i="3"/>
  <c r="V180" i="3"/>
  <c r="V168" i="3"/>
  <c r="V164" i="3"/>
  <c r="V156" i="3"/>
  <c r="V148" i="3"/>
  <c r="V140" i="3"/>
  <c r="V132" i="3"/>
  <c r="V124" i="3"/>
  <c r="V116" i="3"/>
  <c r="V108" i="3"/>
  <c r="V100" i="3"/>
  <c r="V211" i="3"/>
  <c r="V247" i="3"/>
  <c r="V203" i="3"/>
  <c r="V195" i="3"/>
  <c r="V153" i="3"/>
  <c r="V147" i="3"/>
  <c r="V163" i="3"/>
  <c r="V235" i="3"/>
  <c r="V183" i="3"/>
  <c r="V167" i="3"/>
  <c r="V123" i="3"/>
  <c r="V107" i="3"/>
  <c r="V239" i="3"/>
  <c r="V191" i="3"/>
  <c r="V115" i="3"/>
  <c r="V179" i="3"/>
  <c r="V139" i="3"/>
  <c r="V257" i="3"/>
  <c r="V243" i="3"/>
  <c r="V131" i="3"/>
  <c r="T31" i="100"/>
  <c r="Z27" i="100"/>
  <c r="F103" i="77"/>
  <c r="F100" i="77"/>
  <c r="F96" i="77"/>
  <c r="F95" i="77"/>
  <c r="F102" i="77"/>
  <c r="F81" i="77"/>
  <c r="F78" i="77"/>
  <c r="F73" i="77"/>
  <c r="F70" i="77"/>
  <c r="F65" i="77"/>
  <c r="F54" i="77"/>
  <c r="F106" i="77"/>
  <c r="F53" i="77"/>
  <c r="D47" i="77"/>
  <c r="F45" i="77"/>
  <c r="F110" i="77"/>
  <c r="F104" i="77"/>
  <c r="F99" i="77"/>
  <c r="F91" i="77"/>
  <c r="F87" i="77"/>
  <c r="F83" i="77"/>
  <c r="F80" i="77"/>
  <c r="F75" i="77"/>
  <c r="F72" i="77"/>
  <c r="F67" i="77"/>
  <c r="F64" i="77"/>
  <c r="F59" i="77"/>
  <c r="F52" i="77"/>
  <c r="F44" i="77"/>
  <c r="L12" i="77"/>
  <c r="F94" i="77"/>
  <c r="F63" i="77"/>
  <c r="F51" i="77"/>
  <c r="F43" i="77"/>
  <c r="F38" i="77"/>
  <c r="F101" i="77"/>
  <c r="F98" i="77"/>
  <c r="F90" i="77"/>
  <c r="F86" i="77"/>
  <c r="F82" i="77"/>
  <c r="F77" i="77"/>
  <c r="F74" i="77"/>
  <c r="F69" i="77"/>
  <c r="F66" i="77"/>
  <c r="F62" i="77"/>
  <c r="F58" i="77"/>
  <c r="F49" i="77"/>
  <c r="F42" i="77"/>
  <c r="F85" i="77"/>
  <c r="F71" i="77"/>
  <c r="F79" i="77"/>
  <c r="F68" i="77"/>
  <c r="F55" i="77"/>
  <c r="F50" i="77"/>
  <c r="F39" i="77"/>
  <c r="F76" i="77"/>
  <c r="F40" i="77"/>
  <c r="F97" i="77"/>
  <c r="F92" i="77"/>
  <c r="F88" i="77"/>
  <c r="F60" i="77"/>
  <c r="F56" i="77"/>
  <c r="F41" i="77"/>
  <c r="F89" i="77"/>
  <c r="F61" i="77"/>
  <c r="F93" i="77"/>
  <c r="F84" i="77"/>
  <c r="F57" i="77"/>
  <c r="D28" i="78"/>
  <c r="L20" i="78"/>
  <c r="H63" i="56"/>
  <c r="N16" i="56"/>
  <c r="X18" i="40"/>
  <c r="P27" i="40"/>
  <c r="X18" i="19"/>
  <c r="P27" i="19"/>
  <c r="N31" i="28"/>
  <c r="L18" i="16"/>
  <c r="D27" i="16"/>
  <c r="T27" i="13"/>
  <c r="Z18" i="13"/>
  <c r="N27" i="10"/>
  <c r="H31" i="10"/>
  <c r="X18" i="14"/>
  <c r="P27" i="14"/>
  <c r="R254" i="3"/>
  <c r="R247" i="3"/>
  <c r="R243" i="3"/>
  <c r="R235" i="3"/>
  <c r="R220" i="3"/>
  <c r="R216" i="3"/>
  <c r="R203" i="3"/>
  <c r="R200" i="3"/>
  <c r="R195" i="3"/>
  <c r="R183" i="3"/>
  <c r="R163" i="3"/>
  <c r="R156" i="3"/>
  <c r="R147" i="3"/>
  <c r="R139" i="3"/>
  <c r="R131" i="3"/>
  <c r="R123" i="3"/>
  <c r="R115" i="3"/>
  <c r="R107" i="3"/>
  <c r="R100" i="3"/>
  <c r="R257" i="3"/>
  <c r="R246" i="3"/>
  <c r="R239" i="3"/>
  <c r="R234" i="3"/>
  <c r="R211" i="3"/>
  <c r="R206" i="3"/>
  <c r="R194" i="3"/>
  <c r="R191" i="3"/>
  <c r="R186" i="3"/>
  <c r="R182" i="3"/>
  <c r="R179" i="3"/>
  <c r="R174" i="3"/>
  <c r="R167" i="3"/>
  <c r="R162" i="3"/>
  <c r="R146" i="3"/>
  <c r="R138" i="3"/>
  <c r="R130" i="3"/>
  <c r="R122" i="3"/>
  <c r="R114" i="3"/>
  <c r="R106" i="3"/>
  <c r="R263" i="3"/>
  <c r="R252" i="3"/>
  <c r="R249" i="3"/>
  <c r="R245" i="3"/>
  <c r="R242" i="3"/>
  <c r="R233" i="3"/>
  <c r="R225" i="3"/>
  <c r="R202" i="3"/>
  <c r="R197" i="3"/>
  <c r="R185" i="3"/>
  <c r="R173" i="3"/>
  <c r="R161" i="3"/>
  <c r="P153" i="3"/>
  <c r="R145" i="3"/>
  <c r="R137" i="3"/>
  <c r="R129" i="3"/>
  <c r="R121" i="3"/>
  <c r="R113" i="3"/>
  <c r="R105" i="3"/>
  <c r="R267" i="3"/>
  <c r="R255" i="3"/>
  <c r="R232" i="3"/>
  <c r="R228" i="3"/>
  <c r="R224" i="3"/>
  <c r="R208" i="3"/>
  <c r="R205" i="3"/>
  <c r="R193" i="3"/>
  <c r="R188" i="3"/>
  <c r="R181" i="3"/>
  <c r="R176" i="3"/>
  <c r="R172" i="3"/>
  <c r="R160" i="3"/>
  <c r="R144" i="3"/>
  <c r="R136" i="3"/>
  <c r="R128" i="3"/>
  <c r="R120" i="3"/>
  <c r="R112" i="3"/>
  <c r="R104" i="3"/>
  <c r="R258" i="3"/>
  <c r="R248" i="3"/>
  <c r="R244" i="3"/>
  <c r="R231" i="3"/>
  <c r="R227" i="3"/>
  <c r="R223" i="3"/>
  <c r="R219" i="3"/>
  <c r="R215" i="3"/>
  <c r="R199" i="3"/>
  <c r="R196" i="3"/>
  <c r="R184" i="3"/>
  <c r="R171" i="3"/>
  <c r="R159" i="3"/>
  <c r="R151" i="3"/>
  <c r="R143" i="3"/>
  <c r="R135" i="3"/>
  <c r="R127" i="3"/>
  <c r="R119" i="3"/>
  <c r="R111" i="3"/>
  <c r="R103" i="3"/>
  <c r="R253" i="3"/>
  <c r="R238" i="3"/>
  <c r="R230" i="3"/>
  <c r="R222" i="3"/>
  <c r="R218" i="3"/>
  <c r="R214" i="3"/>
  <c r="R210" i="3"/>
  <c r="R207" i="3"/>
  <c r="R190" i="3"/>
  <c r="R187" i="3"/>
  <c r="R178" i="3"/>
  <c r="R175" i="3"/>
  <c r="R170" i="3"/>
  <c r="R166" i="3"/>
  <c r="R158" i="3"/>
  <c r="R155" i="3"/>
  <c r="R150" i="3"/>
  <c r="R142" i="3"/>
  <c r="R134" i="3"/>
  <c r="R126" i="3"/>
  <c r="R118" i="3"/>
  <c r="R110" i="3"/>
  <c r="R102" i="3"/>
  <c r="R256" i="3"/>
  <c r="R241" i="3"/>
  <c r="R237" i="3"/>
  <c r="R226" i="3"/>
  <c r="R221" i="3"/>
  <c r="R217" i="3"/>
  <c r="R213" i="3"/>
  <c r="R201" i="3"/>
  <c r="R198" i="3"/>
  <c r="R169" i="3"/>
  <c r="R165" i="3"/>
  <c r="R157" i="3"/>
  <c r="R149" i="3"/>
  <c r="R141" i="3"/>
  <c r="R133" i="3"/>
  <c r="R125" i="3"/>
  <c r="R117" i="3"/>
  <c r="R109" i="3"/>
  <c r="R101" i="3"/>
  <c r="X12" i="3"/>
  <c r="Z12" i="3" s="1"/>
  <c r="R259" i="3"/>
  <c r="R192" i="3"/>
  <c r="R189" i="3"/>
  <c r="R132" i="3"/>
  <c r="R180" i="3"/>
  <c r="R177" i="3"/>
  <c r="R116" i="3"/>
  <c r="R140" i="3"/>
  <c r="R204" i="3"/>
  <c r="R148" i="3"/>
  <c r="R108" i="3"/>
  <c r="R251" i="3"/>
  <c r="R229" i="3"/>
  <c r="R212" i="3"/>
  <c r="R209" i="3"/>
  <c r="R164" i="3"/>
  <c r="R268" i="3"/>
  <c r="R240" i="3"/>
  <c r="R236" i="3"/>
  <c r="R168" i="3"/>
  <c r="R124" i="3"/>
  <c r="P22" i="6"/>
  <c r="X16" i="6"/>
  <c r="P27" i="98"/>
  <c r="X18" i="98"/>
  <c r="D81" i="95"/>
  <c r="L21" i="95"/>
  <c r="H30" i="89"/>
  <c r="N16" i="89"/>
  <c r="H48" i="91"/>
  <c r="N16" i="91"/>
  <c r="P37" i="89"/>
  <c r="P66" i="86"/>
  <c r="H36" i="80"/>
  <c r="N32" i="80"/>
  <c r="T29" i="75"/>
  <c r="Z23" i="75"/>
  <c r="P73" i="76"/>
  <c r="X20" i="76"/>
  <c r="Z20" i="76" s="1"/>
  <c r="R20" i="76"/>
  <c r="T73" i="76"/>
  <c r="F25" i="75"/>
  <c r="F18" i="75"/>
  <c r="F27" i="75"/>
  <c r="F31" i="75"/>
  <c r="D23" i="75"/>
  <c r="F21" i="75"/>
  <c r="F20" i="75"/>
  <c r="L12" i="75"/>
  <c r="N12" i="75" s="1"/>
  <c r="F19" i="75"/>
  <c r="H77" i="70"/>
  <c r="J84" i="71"/>
  <c r="J78" i="71"/>
  <c r="J72" i="71"/>
  <c r="J64" i="71"/>
  <c r="J60" i="71"/>
  <c r="J44" i="71"/>
  <c r="J36" i="71"/>
  <c r="J91" i="71"/>
  <c r="J87" i="71"/>
  <c r="J83" i="71"/>
  <c r="J69" i="71"/>
  <c r="J59" i="71"/>
  <c r="J53" i="71"/>
  <c r="J43" i="71"/>
  <c r="J94" i="71"/>
  <c r="J80" i="71"/>
  <c r="J74" i="71"/>
  <c r="J58" i="71"/>
  <c r="J42" i="71"/>
  <c r="J89" i="71"/>
  <c r="J77" i="71"/>
  <c r="J71" i="71"/>
  <c r="J63" i="71"/>
  <c r="J57" i="71"/>
  <c r="H50" i="71"/>
  <c r="J50" i="71" s="1"/>
  <c r="J41" i="71"/>
  <c r="J35" i="71"/>
  <c r="J98" i="71"/>
  <c r="J92" i="71"/>
  <c r="J86" i="71"/>
  <c r="J82" i="71"/>
  <c r="J76" i="71"/>
  <c r="J68" i="71"/>
  <c r="J56" i="71"/>
  <c r="J48" i="71"/>
  <c r="J40" i="71"/>
  <c r="J79" i="71"/>
  <c r="J73" i="71"/>
  <c r="J67" i="71"/>
  <c r="J55" i="71"/>
  <c r="J47" i="71"/>
  <c r="J39" i="71"/>
  <c r="J88" i="71"/>
  <c r="J70" i="71"/>
  <c r="J66" i="71"/>
  <c r="J62" i="71"/>
  <c r="J54" i="71"/>
  <c r="J52" i="71"/>
  <c r="J46" i="71"/>
  <c r="J38" i="71"/>
  <c r="J93" i="71"/>
  <c r="J85" i="71"/>
  <c r="J81" i="71"/>
  <c r="J75" i="71"/>
  <c r="J65" i="71"/>
  <c r="J61" i="71"/>
  <c r="J45" i="71"/>
  <c r="J37" i="71"/>
  <c r="F70" i="70"/>
  <c r="F66" i="70"/>
  <c r="F62" i="70"/>
  <c r="F58" i="70"/>
  <c r="F34" i="70"/>
  <c r="D28" i="70"/>
  <c r="F26" i="70"/>
  <c r="F72" i="70"/>
  <c r="F64" i="70"/>
  <c r="F55" i="70"/>
  <c r="F32" i="70"/>
  <c r="F51" i="70"/>
  <c r="F46" i="70"/>
  <c r="F43" i="70"/>
  <c r="F39" i="70"/>
  <c r="F30" i="70"/>
  <c r="F75" i="70"/>
  <c r="F69" i="70"/>
  <c r="F61" i="70"/>
  <c r="F57" i="70"/>
  <c r="F54" i="70"/>
  <c r="F42" i="70"/>
  <c r="F38" i="70"/>
  <c r="F25" i="70"/>
  <c r="F79" i="70"/>
  <c r="F53" i="70"/>
  <c r="F48" i="70"/>
  <c r="F45" i="70"/>
  <c r="F71" i="70"/>
  <c r="F68" i="70"/>
  <c r="F63" i="70"/>
  <c r="F60" i="70"/>
  <c r="F56" i="70"/>
  <c r="F36" i="70"/>
  <c r="F31" i="70"/>
  <c r="L12" i="70"/>
  <c r="N12" i="70" s="1"/>
  <c r="F74" i="70"/>
  <c r="F67" i="70"/>
  <c r="F47" i="70"/>
  <c r="F44" i="70"/>
  <c r="F52" i="70"/>
  <c r="F41" i="70"/>
  <c r="F40" i="70"/>
  <c r="F33" i="70"/>
  <c r="F65" i="70"/>
  <c r="F37" i="70"/>
  <c r="F59" i="70"/>
  <c r="F50" i="70"/>
  <c r="F35" i="70"/>
  <c r="F49" i="70"/>
  <c r="F28" i="70"/>
  <c r="X95" i="62"/>
  <c r="Z95" i="62" s="1"/>
  <c r="V76" i="64"/>
  <c r="V72" i="64"/>
  <c r="V68" i="64"/>
  <c r="V64" i="64"/>
  <c r="V56" i="64"/>
  <c r="T39" i="64"/>
  <c r="V32" i="64"/>
  <c r="V75" i="64"/>
  <c r="V71" i="64"/>
  <c r="V67" i="64"/>
  <c r="V59" i="64"/>
  <c r="V55" i="64"/>
  <c r="V31" i="64"/>
  <c r="V84" i="64"/>
  <c r="V78" i="64"/>
  <c r="V70" i="64"/>
  <c r="V58" i="64"/>
  <c r="V50" i="64"/>
  <c r="V30" i="64"/>
  <c r="V77" i="64"/>
  <c r="V61" i="64"/>
  <c r="V49" i="64"/>
  <c r="V45" i="64"/>
  <c r="V41" i="64"/>
  <c r="V37" i="64"/>
  <c r="V29" i="64"/>
  <c r="V60" i="64"/>
  <c r="V52" i="64"/>
  <c r="V48" i="64"/>
  <c r="V44" i="64"/>
  <c r="V36" i="64"/>
  <c r="V28" i="64"/>
  <c r="V63" i="64"/>
  <c r="V51" i="64"/>
  <c r="V47" i="64"/>
  <c r="V43" i="64"/>
  <c r="V35" i="64"/>
  <c r="V27" i="64"/>
  <c r="V80" i="64"/>
  <c r="V74" i="64"/>
  <c r="V66" i="64"/>
  <c r="V62" i="64"/>
  <c r="V54" i="64"/>
  <c r="V46" i="64"/>
  <c r="V42" i="64"/>
  <c r="V34" i="64"/>
  <c r="V73" i="64"/>
  <c r="V69" i="64"/>
  <c r="V65" i="64"/>
  <c r="V57" i="64"/>
  <c r="V53" i="64"/>
  <c r="V39" i="64"/>
  <c r="V33" i="64"/>
  <c r="X16" i="61"/>
  <c r="P44" i="61"/>
  <c r="X16" i="58"/>
  <c r="P68" i="58"/>
  <c r="T42" i="65"/>
  <c r="X42" i="65" s="1"/>
  <c r="Z38" i="65"/>
  <c r="X12" i="64"/>
  <c r="Z12" i="64" s="1"/>
  <c r="H44" i="61"/>
  <c r="N16" i="61"/>
  <c r="D22" i="54"/>
  <c r="L16" i="54"/>
  <c r="N18" i="52"/>
  <c r="H27" i="52"/>
  <c r="L27" i="52" s="1"/>
  <c r="H27" i="46"/>
  <c r="L27" i="46" s="1"/>
  <c r="N18" i="46"/>
  <c r="T27" i="53"/>
  <c r="X27" i="53" s="1"/>
  <c r="Z18" i="53"/>
  <c r="T102" i="42"/>
  <c r="V60" i="48"/>
  <c r="V54" i="48"/>
  <c r="V42" i="48"/>
  <c r="V30" i="48"/>
  <c r="V26" i="48"/>
  <c r="T17" i="48"/>
  <c r="V57" i="48"/>
  <c r="V45" i="48"/>
  <c r="V41" i="48"/>
  <c r="V25" i="48"/>
  <c r="V56" i="48"/>
  <c r="V44" i="48"/>
  <c r="V36" i="48"/>
  <c r="V24" i="48"/>
  <c r="V47" i="48"/>
  <c r="V35" i="48"/>
  <c r="V23" i="48"/>
  <c r="V19" i="48"/>
  <c r="V15" i="48"/>
  <c r="V59" i="48"/>
  <c r="V53" i="48"/>
  <c r="V49" i="48"/>
  <c r="V37" i="48"/>
  <c r="V33" i="48"/>
  <c r="V29" i="48"/>
  <c r="V21" i="48"/>
  <c r="V52" i="48"/>
  <c r="V48" i="48"/>
  <c r="V40" i="48"/>
  <c r="V32" i="48"/>
  <c r="V28" i="48"/>
  <c r="V20" i="48"/>
  <c r="V51" i="48"/>
  <c r="V17" i="48"/>
  <c r="V64" i="48"/>
  <c r="V55" i="48"/>
  <c r="V50" i="48"/>
  <c r="V43" i="48"/>
  <c r="V39" i="48"/>
  <c r="V27" i="48"/>
  <c r="V38" i="48"/>
  <c r="V31" i="48"/>
  <c r="V34" i="48"/>
  <c r="V22" i="48"/>
  <c r="V46" i="48"/>
  <c r="L18" i="41"/>
  <c r="D27" i="41"/>
  <c r="X17" i="48"/>
  <c r="P62" i="48"/>
  <c r="R17" i="48"/>
  <c r="N108" i="27"/>
  <c r="Z155" i="30"/>
  <c r="T159" i="30"/>
  <c r="V107" i="36"/>
  <c r="V93" i="36"/>
  <c r="V85" i="36"/>
  <c r="V77" i="36"/>
  <c r="V65" i="36"/>
  <c r="V57" i="36"/>
  <c r="V49" i="36"/>
  <c r="V37" i="36"/>
  <c r="V33" i="36"/>
  <c r="T24" i="36"/>
  <c r="V96" i="36"/>
  <c r="V92" i="36"/>
  <c r="V68" i="36"/>
  <c r="V60" i="36"/>
  <c r="V52" i="36"/>
  <c r="V48" i="36"/>
  <c r="V32" i="36"/>
  <c r="V105" i="36"/>
  <c r="V95" i="36"/>
  <c r="V91" i="36"/>
  <c r="V67" i="36"/>
  <c r="V59" i="36"/>
  <c r="V51" i="36"/>
  <c r="V43" i="36"/>
  <c r="V31" i="36"/>
  <c r="V108" i="36"/>
  <c r="V98" i="36"/>
  <c r="V90" i="36"/>
  <c r="V74" i="36"/>
  <c r="V70" i="36"/>
  <c r="V62" i="36"/>
  <c r="V54" i="36"/>
  <c r="V50" i="36"/>
  <c r="V42" i="36"/>
  <c r="V30" i="36"/>
  <c r="V26" i="36"/>
  <c r="V22" i="36"/>
  <c r="V106" i="36"/>
  <c r="V100" i="36"/>
  <c r="V88" i="36"/>
  <c r="V84" i="36"/>
  <c r="V80" i="36"/>
  <c r="V76" i="36"/>
  <c r="V72" i="36"/>
  <c r="V64" i="36"/>
  <c r="V56" i="36"/>
  <c r="V44" i="36"/>
  <c r="V40" i="36"/>
  <c r="V36" i="36"/>
  <c r="V28" i="36"/>
  <c r="V20" i="36"/>
  <c r="V103" i="36"/>
  <c r="V99" i="36"/>
  <c r="V87" i="36"/>
  <c r="V83" i="36"/>
  <c r="V79" i="36"/>
  <c r="V75" i="36"/>
  <c r="V71" i="36"/>
  <c r="V63" i="36"/>
  <c r="V55" i="36"/>
  <c r="V47" i="36"/>
  <c r="V39" i="36"/>
  <c r="V35" i="36"/>
  <c r="V27" i="36"/>
  <c r="V112" i="36"/>
  <c r="V102" i="36"/>
  <c r="V94" i="36"/>
  <c r="V86" i="36"/>
  <c r="V82" i="36"/>
  <c r="V78" i="36"/>
  <c r="V66" i="36"/>
  <c r="V58" i="36"/>
  <c r="V46" i="36"/>
  <c r="V38" i="36"/>
  <c r="V34" i="36"/>
  <c r="V24" i="36"/>
  <c r="V101" i="36"/>
  <c r="V73" i="36"/>
  <c r="V61" i="36"/>
  <c r="V41" i="36"/>
  <c r="V29" i="36"/>
  <c r="V21" i="36"/>
  <c r="V69" i="36"/>
  <c r="V89" i="36"/>
  <c r="V45" i="36"/>
  <c r="V97" i="36"/>
  <c r="V81" i="36"/>
  <c r="V53" i="36"/>
  <c r="D111" i="39"/>
  <c r="H80" i="33"/>
  <c r="H27" i="29"/>
  <c r="N18" i="29"/>
  <c r="T27" i="26"/>
  <c r="Z18" i="26"/>
  <c r="X12" i="36"/>
  <c r="Z12" i="36" s="1"/>
  <c r="N27" i="35"/>
  <c r="H31" i="35"/>
  <c r="R68" i="21"/>
  <c r="R51" i="21"/>
  <c r="R48" i="21"/>
  <c r="R43" i="21"/>
  <c r="R31" i="21"/>
  <c r="R78" i="21"/>
  <c r="R62" i="21"/>
  <c r="R59" i="21"/>
  <c r="R54" i="21"/>
  <c r="R42" i="21"/>
  <c r="R38" i="21"/>
  <c r="R23" i="21"/>
  <c r="R84" i="21"/>
  <c r="R77" i="21"/>
  <c r="R65" i="21"/>
  <c r="R50" i="21"/>
  <c r="R45" i="21"/>
  <c r="R41" i="21"/>
  <c r="R37" i="21"/>
  <c r="R30" i="21"/>
  <c r="R80" i="21"/>
  <c r="R76" i="21"/>
  <c r="R72" i="21"/>
  <c r="R64" i="21"/>
  <c r="R61" i="21"/>
  <c r="R56" i="21"/>
  <c r="R53" i="21"/>
  <c r="R40" i="21"/>
  <c r="R36" i="21"/>
  <c r="X12" i="21"/>
  <c r="Z12" i="21" s="1"/>
  <c r="R75" i="21"/>
  <c r="R71" i="21"/>
  <c r="R67" i="21"/>
  <c r="R47" i="21"/>
  <c r="R44" i="21"/>
  <c r="R35" i="21"/>
  <c r="P27" i="21"/>
  <c r="R88" i="21"/>
  <c r="R82" i="21"/>
  <c r="R79" i="21"/>
  <c r="R74" i="21"/>
  <c r="R70" i="21"/>
  <c r="R63" i="21"/>
  <c r="R58" i="21"/>
  <c r="R55" i="21"/>
  <c r="R39" i="21"/>
  <c r="R34" i="21"/>
  <c r="R69" i="21"/>
  <c r="R66" i="21"/>
  <c r="R49" i="21"/>
  <c r="R46" i="21"/>
  <c r="R33" i="21"/>
  <c r="R25" i="21"/>
  <c r="R81" i="21"/>
  <c r="R73" i="21"/>
  <c r="R60" i="21"/>
  <c r="R57" i="21"/>
  <c r="R52" i="21"/>
  <c r="R32" i="21"/>
  <c r="R29" i="21"/>
  <c r="R24" i="21"/>
  <c r="P36" i="20"/>
  <c r="T27" i="20"/>
  <c r="Z18" i="20"/>
  <c r="T27" i="17"/>
  <c r="X27" i="17" s="1"/>
  <c r="Z18" i="17"/>
  <c r="H86" i="21"/>
  <c r="T36" i="19"/>
  <c r="Z36" i="19" s="1"/>
  <c r="Z31" i="19"/>
  <c r="L220" i="12"/>
  <c r="N220" i="12" s="1"/>
  <c r="H27" i="11"/>
  <c r="L27" i="11" s="1"/>
  <c r="N18" i="11"/>
  <c r="X18" i="13"/>
  <c r="T27" i="10"/>
  <c r="Z18" i="10"/>
  <c r="H89" i="9"/>
  <c r="N16" i="9"/>
  <c r="J258" i="3"/>
  <c r="J248" i="3"/>
  <c r="J244" i="3"/>
  <c r="J238" i="3"/>
  <c r="J230" i="3"/>
  <c r="J222" i="3"/>
  <c r="J218" i="3"/>
  <c r="J214" i="3"/>
  <c r="J210" i="3"/>
  <c r="J196" i="3"/>
  <c r="J190" i="3"/>
  <c r="J184" i="3"/>
  <c r="J178" i="3"/>
  <c r="J170" i="3"/>
  <c r="J166" i="3"/>
  <c r="J158" i="3"/>
  <c r="J150" i="3"/>
  <c r="J142" i="3"/>
  <c r="J134" i="3"/>
  <c r="J126" i="3"/>
  <c r="J118" i="3"/>
  <c r="J110" i="3"/>
  <c r="J102" i="3"/>
  <c r="J253" i="3"/>
  <c r="J241" i="3"/>
  <c r="J237" i="3"/>
  <c r="J221" i="3"/>
  <c r="J217" i="3"/>
  <c r="J213" i="3"/>
  <c r="J207" i="3"/>
  <c r="J201" i="3"/>
  <c r="J187" i="3"/>
  <c r="J175" i="3"/>
  <c r="J169" i="3"/>
  <c r="J165" i="3"/>
  <c r="J157" i="3"/>
  <c r="J155" i="3"/>
  <c r="J149" i="3"/>
  <c r="J141" i="3"/>
  <c r="J133" i="3"/>
  <c r="J125" i="3"/>
  <c r="J117" i="3"/>
  <c r="J109" i="3"/>
  <c r="J101" i="3"/>
  <c r="J256" i="3"/>
  <c r="J240" i="3"/>
  <c r="J236" i="3"/>
  <c r="J226" i="3"/>
  <c r="J212" i="3"/>
  <c r="J204" i="3"/>
  <c r="J198" i="3"/>
  <c r="J192" i="3"/>
  <c r="J180" i="3"/>
  <c r="J168" i="3"/>
  <c r="J164" i="3"/>
  <c r="J148" i="3"/>
  <c r="J140" i="3"/>
  <c r="J132" i="3"/>
  <c r="J124" i="3"/>
  <c r="J116" i="3"/>
  <c r="J108" i="3"/>
  <c r="J268" i="3"/>
  <c r="J259" i="3"/>
  <c r="J251" i="3"/>
  <c r="J247" i="3"/>
  <c r="J243" i="3"/>
  <c r="J235" i="3"/>
  <c r="J229" i="3"/>
  <c r="J209" i="3"/>
  <c r="J203" i="3"/>
  <c r="J195" i="3"/>
  <c r="J189" i="3"/>
  <c r="J183" i="3"/>
  <c r="J177" i="3"/>
  <c r="J163" i="3"/>
  <c r="J147" i="3"/>
  <c r="J139" i="3"/>
  <c r="J131" i="3"/>
  <c r="J123" i="3"/>
  <c r="J115" i="3"/>
  <c r="J107" i="3"/>
  <c r="J254" i="3"/>
  <c r="J246" i="3"/>
  <c r="J234" i="3"/>
  <c r="J220" i="3"/>
  <c r="J216" i="3"/>
  <c r="J206" i="3"/>
  <c r="J200" i="3"/>
  <c r="J194" i="3"/>
  <c r="J186" i="3"/>
  <c r="J182" i="3"/>
  <c r="J174" i="3"/>
  <c r="J162" i="3"/>
  <c r="J156" i="3"/>
  <c r="J146" i="3"/>
  <c r="J138" i="3"/>
  <c r="J130" i="3"/>
  <c r="J122" i="3"/>
  <c r="J114" i="3"/>
  <c r="J106" i="3"/>
  <c r="J100" i="3"/>
  <c r="J263" i="3"/>
  <c r="J257" i="3"/>
  <c r="J249" i="3"/>
  <c r="J245" i="3"/>
  <c r="J239" i="3"/>
  <c r="J233" i="3"/>
  <c r="J225" i="3"/>
  <c r="J211" i="3"/>
  <c r="J197" i="3"/>
  <c r="J191" i="3"/>
  <c r="J185" i="3"/>
  <c r="J179" i="3"/>
  <c r="J173" i="3"/>
  <c r="J167" i="3"/>
  <c r="J161" i="3"/>
  <c r="J145" i="3"/>
  <c r="J137" i="3"/>
  <c r="J129" i="3"/>
  <c r="J121" i="3"/>
  <c r="J113" i="3"/>
  <c r="J105" i="3"/>
  <c r="J252" i="3"/>
  <c r="J242" i="3"/>
  <c r="J232" i="3"/>
  <c r="J228" i="3"/>
  <c r="J224" i="3"/>
  <c r="J208" i="3"/>
  <c r="J202" i="3"/>
  <c r="J188" i="3"/>
  <c r="J176" i="3"/>
  <c r="J172" i="3"/>
  <c r="J160" i="3"/>
  <c r="H153" i="3"/>
  <c r="J153" i="3" s="1"/>
  <c r="J144" i="3"/>
  <c r="J136" i="3"/>
  <c r="J128" i="3"/>
  <c r="J120" i="3"/>
  <c r="J112" i="3"/>
  <c r="J104" i="3"/>
  <c r="J255" i="3"/>
  <c r="J215" i="3"/>
  <c r="J111" i="3"/>
  <c r="J227" i="3"/>
  <c r="J193" i="3"/>
  <c r="J171" i="3"/>
  <c r="J127" i="3"/>
  <c r="J151" i="3"/>
  <c r="J181" i="3"/>
  <c r="J135" i="3"/>
  <c r="J119" i="3"/>
  <c r="J219" i="3"/>
  <c r="J231" i="3"/>
  <c r="J223" i="3"/>
  <c r="J103" i="3"/>
  <c r="J199" i="3"/>
  <c r="J267" i="3"/>
  <c r="J205" i="3"/>
  <c r="J159" i="3"/>
  <c r="J143" i="3"/>
  <c r="N27" i="5"/>
  <c r="H31" i="5"/>
  <c r="Z16" i="88"/>
  <c r="T32" i="88"/>
  <c r="P29" i="87"/>
  <c r="T81" i="79"/>
  <c r="Z20" i="79"/>
  <c r="H42" i="63"/>
  <c r="N38" i="63"/>
  <c r="L21" i="45"/>
  <c r="N21" i="45" s="1"/>
  <c r="D91" i="45"/>
  <c r="H27" i="26"/>
  <c r="N18" i="26"/>
  <c r="H27" i="13"/>
  <c r="N18" i="13"/>
  <c r="D31" i="11"/>
  <c r="P27" i="5"/>
  <c r="X18" i="5"/>
  <c r="Z18" i="4"/>
  <c r="T27" i="4"/>
  <c r="X27" i="4" s="1"/>
  <c r="N59" i="97"/>
  <c r="L59" i="97"/>
  <c r="D62" i="97"/>
  <c r="F17" i="97"/>
  <c r="H27" i="100"/>
  <c r="N18" i="100"/>
  <c r="P66" i="97"/>
  <c r="D28" i="93"/>
  <c r="R79" i="95"/>
  <c r="R72" i="95"/>
  <c r="R75" i="95"/>
  <c r="R71" i="95"/>
  <c r="R59" i="95"/>
  <c r="R56" i="95"/>
  <c r="R51" i="95"/>
  <c r="R48" i="95"/>
  <c r="R43" i="95"/>
  <c r="R40" i="95"/>
  <c r="R70" i="95"/>
  <c r="R66" i="95"/>
  <c r="R62" i="95"/>
  <c r="R76" i="95"/>
  <c r="R73" i="95"/>
  <c r="R83" i="95"/>
  <c r="R77" i="95"/>
  <c r="R46" i="95"/>
  <c r="R38" i="95"/>
  <c r="R26" i="95"/>
  <c r="R23" i="95"/>
  <c r="R18" i="95"/>
  <c r="R37" i="95"/>
  <c r="R33" i="95"/>
  <c r="R25" i="95"/>
  <c r="R49" i="95"/>
  <c r="R41" i="95"/>
  <c r="R36" i="95"/>
  <c r="R32" i="95"/>
  <c r="R17" i="95"/>
  <c r="R61" i="95"/>
  <c r="R60" i="95"/>
  <c r="R58" i="95"/>
  <c r="R55" i="95"/>
  <c r="R54" i="95"/>
  <c r="R45" i="95"/>
  <c r="R35" i="95"/>
  <c r="R31" i="95"/>
  <c r="R24" i="95"/>
  <c r="R74" i="95"/>
  <c r="R69" i="95"/>
  <c r="R68" i="95"/>
  <c r="R67" i="95"/>
  <c r="R34" i="95"/>
  <c r="R29" i="95"/>
  <c r="P21" i="95"/>
  <c r="R19" i="95"/>
  <c r="X12" i="95"/>
  <c r="R64" i="95"/>
  <c r="R52" i="95"/>
  <c r="R30" i="95"/>
  <c r="R57" i="95"/>
  <c r="R21" i="95"/>
  <c r="R65" i="95"/>
  <c r="R53" i="95"/>
  <c r="R39" i="95"/>
  <c r="R27" i="95"/>
  <c r="R50" i="95"/>
  <c r="R47" i="95"/>
  <c r="R28" i="95"/>
  <c r="R42" i="95"/>
  <c r="R63" i="95"/>
  <c r="R44" i="95"/>
  <c r="P48" i="91"/>
  <c r="X16" i="91"/>
  <c r="D55" i="91"/>
  <c r="R74" i="92"/>
  <c r="R69" i="92"/>
  <c r="R57" i="92"/>
  <c r="R54" i="92"/>
  <c r="R49" i="92"/>
  <c r="R67" i="92"/>
  <c r="R63" i="92"/>
  <c r="R59" i="92"/>
  <c r="R56" i="92"/>
  <c r="R51" i="92"/>
  <c r="R48" i="92"/>
  <c r="R77" i="92"/>
  <c r="R66" i="92"/>
  <c r="R62" i="92"/>
  <c r="R73" i="92"/>
  <c r="R81" i="92"/>
  <c r="R75" i="92"/>
  <c r="R71" i="92"/>
  <c r="R55" i="92"/>
  <c r="R52" i="92"/>
  <c r="R46" i="92"/>
  <c r="R36" i="92"/>
  <c r="R53" i="92"/>
  <c r="R43" i="92"/>
  <c r="R40" i="92"/>
  <c r="R35" i="92"/>
  <c r="R31" i="92"/>
  <c r="R24" i="92"/>
  <c r="R65" i="92"/>
  <c r="R64" i="92"/>
  <c r="R30" i="92"/>
  <c r="R70" i="92"/>
  <c r="R45" i="92"/>
  <c r="R42" i="92"/>
  <c r="R34" i="92"/>
  <c r="R29" i="92"/>
  <c r="P21" i="92"/>
  <c r="R21" i="92" s="1"/>
  <c r="R58" i="92"/>
  <c r="R28" i="92"/>
  <c r="X12" i="92"/>
  <c r="Z12" i="92" s="1"/>
  <c r="R61" i="92"/>
  <c r="R44" i="92"/>
  <c r="R39" i="92"/>
  <c r="R27" i="92"/>
  <c r="R68" i="92"/>
  <c r="R60" i="92"/>
  <c r="R38" i="92"/>
  <c r="R26" i="92"/>
  <c r="R23" i="92"/>
  <c r="R18" i="92"/>
  <c r="R47" i="92"/>
  <c r="R17" i="92"/>
  <c r="R19" i="92"/>
  <c r="R50" i="92"/>
  <c r="R32" i="92"/>
  <c r="R33" i="92"/>
  <c r="R25" i="92"/>
  <c r="R72" i="92"/>
  <c r="R41" i="92"/>
  <c r="R37" i="92"/>
  <c r="P47" i="90"/>
  <c r="X18" i="90"/>
  <c r="P36" i="88"/>
  <c r="X32" i="88"/>
  <c r="T83" i="85"/>
  <c r="V29" i="84"/>
  <c r="V21" i="84"/>
  <c r="V28" i="84"/>
  <c r="V20" i="84"/>
  <c r="Z12" i="84"/>
  <c r="V23" i="84"/>
  <c r="X12" i="84"/>
  <c r="V32" i="84"/>
  <c r="V22" i="84"/>
  <c r="T17" i="84"/>
  <c r="V25" i="84"/>
  <c r="V24" i="84"/>
  <c r="V27" i="84"/>
  <c r="V19" i="84"/>
  <c r="V15" i="84"/>
  <c r="V36" i="84"/>
  <c r="V26" i="84"/>
  <c r="V30" i="84"/>
  <c r="N68" i="81"/>
  <c r="R85" i="85"/>
  <c r="R71" i="85"/>
  <c r="R63" i="85"/>
  <c r="R55" i="85"/>
  <c r="R52" i="85"/>
  <c r="R47" i="85"/>
  <c r="R35" i="85"/>
  <c r="R74" i="85"/>
  <c r="R70" i="85"/>
  <c r="R62" i="85"/>
  <c r="R58" i="85"/>
  <c r="R43" i="85"/>
  <c r="R80" i="85"/>
  <c r="R69" i="85"/>
  <c r="R65" i="85"/>
  <c r="R61" i="85"/>
  <c r="R57" i="85"/>
  <c r="R54" i="85"/>
  <c r="R49" i="85"/>
  <c r="R46" i="85"/>
  <c r="R76" i="85"/>
  <c r="R73" i="85"/>
  <c r="R68" i="85"/>
  <c r="R60" i="85"/>
  <c r="R40" i="85"/>
  <c r="R37" i="85"/>
  <c r="R67" i="85"/>
  <c r="R64" i="85"/>
  <c r="R56" i="85"/>
  <c r="R51" i="85"/>
  <c r="R48" i="85"/>
  <c r="R81" i="85"/>
  <c r="R78" i="85"/>
  <c r="R75" i="85"/>
  <c r="R59" i="85"/>
  <c r="R42" i="85"/>
  <c r="R39" i="85"/>
  <c r="R66" i="85"/>
  <c r="R53" i="85"/>
  <c r="R50" i="85"/>
  <c r="R45" i="85"/>
  <c r="R41" i="85"/>
  <c r="R24" i="85"/>
  <c r="R31" i="85"/>
  <c r="R16" i="85"/>
  <c r="R36" i="85"/>
  <c r="R30" i="85"/>
  <c r="R23" i="85"/>
  <c r="R33" i="85"/>
  <c r="R29" i="85"/>
  <c r="R72" i="85"/>
  <c r="R38" i="85"/>
  <c r="R34" i="85"/>
  <c r="R28" i="85"/>
  <c r="P20" i="85"/>
  <c r="R20" i="85" s="1"/>
  <c r="X12" i="85"/>
  <c r="Z12" i="85" s="1"/>
  <c r="R32" i="85"/>
  <c r="R27" i="85"/>
  <c r="R77" i="85"/>
  <c r="R26" i="85"/>
  <c r="R18" i="85"/>
  <c r="R17" i="85"/>
  <c r="R25" i="85"/>
  <c r="R22" i="85"/>
  <c r="R44" i="85"/>
  <c r="P76" i="81"/>
  <c r="D37" i="82"/>
  <c r="L33" i="82"/>
  <c r="N33" i="82" s="1"/>
  <c r="X78" i="79"/>
  <c r="N20" i="78"/>
  <c r="H28" i="78"/>
  <c r="R78" i="79"/>
  <c r="V23" i="75"/>
  <c r="V134" i="69"/>
  <c r="V137" i="69"/>
  <c r="V131" i="69"/>
  <c r="V123" i="69"/>
  <c r="V130" i="69"/>
  <c r="V126" i="69"/>
  <c r="V122" i="69"/>
  <c r="V138" i="69"/>
  <c r="V132" i="69"/>
  <c r="V128" i="69"/>
  <c r="V124" i="69"/>
  <c r="V129" i="69"/>
  <c r="V118" i="69"/>
  <c r="V106" i="69"/>
  <c r="V90" i="69"/>
  <c r="V74" i="69"/>
  <c r="V66" i="69"/>
  <c r="V58" i="69"/>
  <c r="V112" i="69"/>
  <c r="V108" i="69"/>
  <c r="V100" i="69"/>
  <c r="V88" i="69"/>
  <c r="V80" i="69"/>
  <c r="V72" i="69"/>
  <c r="V64" i="69"/>
  <c r="V56" i="69"/>
  <c r="V135" i="69"/>
  <c r="V127" i="69"/>
  <c r="V115" i="69"/>
  <c r="V111" i="69"/>
  <c r="V99" i="69"/>
  <c r="V87" i="69"/>
  <c r="V79" i="69"/>
  <c r="V71" i="69"/>
  <c r="V63" i="69"/>
  <c r="V114" i="69"/>
  <c r="V110" i="69"/>
  <c r="V102" i="69"/>
  <c r="V98" i="69"/>
  <c r="V94" i="69"/>
  <c r="V86" i="69"/>
  <c r="V78" i="69"/>
  <c r="V70" i="69"/>
  <c r="V62" i="69"/>
  <c r="V139" i="69"/>
  <c r="V120" i="69"/>
  <c r="V116" i="69"/>
  <c r="V104" i="69"/>
  <c r="V96" i="69"/>
  <c r="V92" i="69"/>
  <c r="T83" i="69"/>
  <c r="V76" i="69"/>
  <c r="V68" i="69"/>
  <c r="V60" i="69"/>
  <c r="V133" i="69"/>
  <c r="V119" i="69"/>
  <c r="V107" i="69"/>
  <c r="V103" i="69"/>
  <c r="V95" i="69"/>
  <c r="V91" i="69"/>
  <c r="V75" i="69"/>
  <c r="V67" i="69"/>
  <c r="V59" i="69"/>
  <c r="V125" i="69"/>
  <c r="V85" i="69"/>
  <c r="V65" i="69"/>
  <c r="V101" i="69"/>
  <c r="V97" i="69"/>
  <c r="V77" i="69"/>
  <c r="V117" i="69"/>
  <c r="V93" i="69"/>
  <c r="V113" i="69"/>
  <c r="V109" i="69"/>
  <c r="V81" i="69"/>
  <c r="V57" i="69"/>
  <c r="V143" i="69"/>
  <c r="V69" i="69"/>
  <c r="V61" i="69"/>
  <c r="V105" i="69"/>
  <c r="V121" i="69"/>
  <c r="V89" i="69"/>
  <c r="V73" i="69"/>
  <c r="L21" i="67"/>
  <c r="D50" i="67"/>
  <c r="D141" i="69"/>
  <c r="H50" i="67"/>
  <c r="N21" i="67"/>
  <c r="T38" i="63"/>
  <c r="Z16" i="63"/>
  <c r="P82" i="64"/>
  <c r="X39" i="64"/>
  <c r="X16" i="59"/>
  <c r="P54" i="59"/>
  <c r="D98" i="62"/>
  <c r="L17" i="62"/>
  <c r="H82" i="64"/>
  <c r="H65" i="57"/>
  <c r="Z16" i="56"/>
  <c r="T63" i="56"/>
  <c r="L18" i="53"/>
  <c r="D27" i="53"/>
  <c r="T54" i="59"/>
  <c r="Z16" i="59"/>
  <c r="X16" i="54"/>
  <c r="F98" i="51"/>
  <c r="F76" i="51"/>
  <c r="F71" i="51"/>
  <c r="F68" i="51"/>
  <c r="F63" i="51"/>
  <c r="F56" i="51"/>
  <c r="D50" i="51"/>
  <c r="F48" i="51"/>
  <c r="F40" i="51"/>
  <c r="F35" i="51"/>
  <c r="F92" i="51"/>
  <c r="F86" i="51"/>
  <c r="F82" i="51"/>
  <c r="F79" i="51"/>
  <c r="F67" i="51"/>
  <c r="F55" i="51"/>
  <c r="F47" i="51"/>
  <c r="F39" i="51"/>
  <c r="F73" i="51"/>
  <c r="F70" i="51"/>
  <c r="F66" i="51"/>
  <c r="F62" i="51"/>
  <c r="F54" i="51"/>
  <c r="F46" i="51"/>
  <c r="F38" i="51"/>
  <c r="F88" i="51"/>
  <c r="F85" i="51"/>
  <c r="F81" i="51"/>
  <c r="F65" i="51"/>
  <c r="F61" i="51"/>
  <c r="F52" i="51"/>
  <c r="F45" i="51"/>
  <c r="F37" i="51"/>
  <c r="F87" i="51"/>
  <c r="F83" i="51"/>
  <c r="F78" i="51"/>
  <c r="F59" i="51"/>
  <c r="F43" i="51"/>
  <c r="F91" i="51"/>
  <c r="F74" i="51"/>
  <c r="F69" i="51"/>
  <c r="F58" i="51"/>
  <c r="F53" i="51"/>
  <c r="F42" i="51"/>
  <c r="F77" i="51"/>
  <c r="F72" i="51"/>
  <c r="F50" i="51"/>
  <c r="F41" i="51"/>
  <c r="F57" i="51"/>
  <c r="F44" i="51"/>
  <c r="F93" i="51"/>
  <c r="F84" i="51"/>
  <c r="F75" i="51"/>
  <c r="F60" i="51"/>
  <c r="F36" i="51"/>
  <c r="F94" i="51"/>
  <c r="F80" i="51"/>
  <c r="L12" i="51"/>
  <c r="F89" i="51"/>
  <c r="F64" i="51"/>
  <c r="X18" i="50"/>
  <c r="P27" i="50"/>
  <c r="D31" i="46"/>
  <c r="H27" i="44"/>
  <c r="N18" i="44"/>
  <c r="H27" i="40"/>
  <c r="L27" i="40" s="1"/>
  <c r="N18" i="40"/>
  <c r="L59" i="48"/>
  <c r="N59" i="48" s="1"/>
  <c r="V87" i="51"/>
  <c r="V83" i="51"/>
  <c r="V71" i="51"/>
  <c r="V63" i="51"/>
  <c r="V59" i="51"/>
  <c r="T50" i="51"/>
  <c r="V43" i="51"/>
  <c r="V35" i="51"/>
  <c r="V92" i="51"/>
  <c r="V86" i="51"/>
  <c r="V82" i="51"/>
  <c r="V74" i="51"/>
  <c r="V58" i="51"/>
  <c r="V42" i="51"/>
  <c r="V89" i="51"/>
  <c r="V77" i="51"/>
  <c r="V73" i="51"/>
  <c r="V57" i="51"/>
  <c r="V41" i="51"/>
  <c r="V98" i="51"/>
  <c r="V88" i="51"/>
  <c r="V76" i="51"/>
  <c r="V68" i="51"/>
  <c r="V56" i="51"/>
  <c r="V52" i="51"/>
  <c r="V48" i="51"/>
  <c r="V40" i="51"/>
  <c r="V78" i="51"/>
  <c r="V70" i="51"/>
  <c r="V66" i="51"/>
  <c r="V62" i="51"/>
  <c r="V54" i="51"/>
  <c r="V46" i="51"/>
  <c r="V38" i="51"/>
  <c r="V91" i="51"/>
  <c r="V85" i="51"/>
  <c r="V81" i="51"/>
  <c r="V69" i="51"/>
  <c r="V65" i="51"/>
  <c r="V61" i="51"/>
  <c r="V53" i="51"/>
  <c r="V45" i="51"/>
  <c r="V37" i="51"/>
  <c r="V50" i="51"/>
  <c r="V94" i="51"/>
  <c r="V93" i="51"/>
  <c r="V80" i="51"/>
  <c r="V75" i="51"/>
  <c r="V44" i="51"/>
  <c r="V36" i="51"/>
  <c r="V84" i="51"/>
  <c r="V79" i="51"/>
  <c r="V60" i="51"/>
  <c r="V47" i="51"/>
  <c r="V39" i="51"/>
  <c r="V64" i="51"/>
  <c r="V55" i="51"/>
  <c r="V67" i="51"/>
  <c r="V72" i="51"/>
  <c r="T27" i="47"/>
  <c r="X27" i="47" s="1"/>
  <c r="Z18" i="47"/>
  <c r="F93" i="42"/>
  <c r="F81" i="42"/>
  <c r="F73" i="42"/>
  <c r="F69" i="42"/>
  <c r="F65" i="42"/>
  <c r="F60" i="42"/>
  <c r="F57" i="42"/>
  <c r="F52" i="42"/>
  <c r="F49" i="42"/>
  <c r="F29" i="42"/>
  <c r="D23" i="42"/>
  <c r="F21" i="42"/>
  <c r="F97" i="42"/>
  <c r="F92" i="42"/>
  <c r="F87" i="42"/>
  <c r="F80" i="42"/>
  <c r="F76" i="42"/>
  <c r="F72" i="42"/>
  <c r="F48" i="42"/>
  <c r="F43" i="42"/>
  <c r="F40" i="42"/>
  <c r="F35" i="42"/>
  <c r="F28" i="42"/>
  <c r="F20" i="42"/>
  <c r="L12" i="42"/>
  <c r="N12" i="42" s="1"/>
  <c r="F100" i="42"/>
  <c r="F95" i="42"/>
  <c r="F79" i="42"/>
  <c r="F71" i="42"/>
  <c r="F62" i="42"/>
  <c r="F59" i="42"/>
  <c r="F54" i="42"/>
  <c r="F51" i="42"/>
  <c r="F39" i="42"/>
  <c r="F27" i="42"/>
  <c r="F104" i="42"/>
  <c r="F89" i="42"/>
  <c r="F86" i="42"/>
  <c r="F78" i="42"/>
  <c r="F45" i="42"/>
  <c r="F42" i="42"/>
  <c r="F38" i="42"/>
  <c r="F34" i="42"/>
  <c r="F25" i="42"/>
  <c r="F98" i="42"/>
  <c r="F85" i="42"/>
  <c r="F68" i="42"/>
  <c r="F64" i="42"/>
  <c r="F61" i="42"/>
  <c r="F56" i="42"/>
  <c r="F53" i="42"/>
  <c r="F37" i="42"/>
  <c r="F33" i="42"/>
  <c r="F91" i="42"/>
  <c r="F88" i="42"/>
  <c r="F84" i="42"/>
  <c r="F75" i="42"/>
  <c r="F47" i="42"/>
  <c r="F44" i="42"/>
  <c r="F36" i="42"/>
  <c r="F32" i="42"/>
  <c r="F19" i="42"/>
  <c r="F94" i="42"/>
  <c r="F83" i="42"/>
  <c r="F70" i="42"/>
  <c r="F67" i="42"/>
  <c r="F63" i="42"/>
  <c r="F58" i="42"/>
  <c r="F55" i="42"/>
  <c r="F50" i="42"/>
  <c r="F31" i="42"/>
  <c r="F26" i="42"/>
  <c r="F99" i="42"/>
  <c r="F90" i="42"/>
  <c r="F82" i="42"/>
  <c r="F77" i="42"/>
  <c r="F74" i="42"/>
  <c r="F66" i="42"/>
  <c r="F46" i="42"/>
  <c r="F41" i="42"/>
  <c r="F30" i="42"/>
  <c r="P27" i="41"/>
  <c r="X18" i="41"/>
  <c r="R79" i="45"/>
  <c r="R72" i="45"/>
  <c r="R39" i="45"/>
  <c r="R27" i="45"/>
  <c r="R19" i="45"/>
  <c r="R89" i="45"/>
  <c r="R82" i="45"/>
  <c r="R78" i="45"/>
  <c r="R58" i="45"/>
  <c r="R55" i="45"/>
  <c r="R50" i="45"/>
  <c r="R47" i="45"/>
  <c r="R42" i="45"/>
  <c r="R38" i="45"/>
  <c r="R26" i="45"/>
  <c r="R23" i="45"/>
  <c r="R18" i="45"/>
  <c r="R77" i="45"/>
  <c r="R69" i="45"/>
  <c r="R37" i="45"/>
  <c r="R33" i="45"/>
  <c r="R25" i="45"/>
  <c r="R84" i="45"/>
  <c r="R81" i="45"/>
  <c r="R76" i="45"/>
  <c r="R68" i="45"/>
  <c r="R64" i="45"/>
  <c r="R60" i="45"/>
  <c r="R57" i="45"/>
  <c r="R52" i="45"/>
  <c r="R49" i="45"/>
  <c r="R44" i="45"/>
  <c r="R41" i="45"/>
  <c r="R36" i="45"/>
  <c r="R32" i="45"/>
  <c r="R17" i="45"/>
  <c r="R86" i="45"/>
  <c r="R83" i="45"/>
  <c r="R74" i="45"/>
  <c r="R66" i="45"/>
  <c r="R62" i="45"/>
  <c r="R59" i="45"/>
  <c r="R54" i="45"/>
  <c r="R51" i="45"/>
  <c r="R46" i="45"/>
  <c r="R43" i="45"/>
  <c r="R30" i="45"/>
  <c r="R73" i="45"/>
  <c r="R70" i="45"/>
  <c r="R34" i="45"/>
  <c r="R93" i="45"/>
  <c r="R75" i="45"/>
  <c r="R53" i="45"/>
  <c r="R48" i="45"/>
  <c r="R28" i="45"/>
  <c r="R87" i="45"/>
  <c r="R29" i="45"/>
  <c r="R63" i="45"/>
  <c r="R67" i="45"/>
  <c r="R56" i="45"/>
  <c r="R45" i="45"/>
  <c r="X12" i="45"/>
  <c r="Z12" i="45" s="1"/>
  <c r="R80" i="45"/>
  <c r="R61" i="45"/>
  <c r="R40" i="45"/>
  <c r="R24" i="45"/>
  <c r="R85" i="45"/>
  <c r="R71" i="45"/>
  <c r="R35" i="45"/>
  <c r="R31" i="45"/>
  <c r="P21" i="45"/>
  <c r="R65" i="45"/>
  <c r="Z105" i="36"/>
  <c r="T27" i="34"/>
  <c r="Z18" i="34"/>
  <c r="D31" i="40"/>
  <c r="H27" i="32"/>
  <c r="N18" i="32"/>
  <c r="X18" i="28"/>
  <c r="P27" i="28"/>
  <c r="V155" i="30"/>
  <c r="L18" i="26"/>
  <c r="D27" i="26"/>
  <c r="P110" i="36"/>
  <c r="X24" i="36"/>
  <c r="D110" i="36"/>
  <c r="H36" i="25"/>
  <c r="N36" i="25" s="1"/>
  <c r="N31" i="25"/>
  <c r="T36" i="28"/>
  <c r="Z36" i="28" s="1"/>
  <c r="Z31" i="28"/>
  <c r="F155" i="30"/>
  <c r="D243" i="18"/>
  <c r="L144" i="18"/>
  <c r="R245" i="18"/>
  <c r="R232" i="18"/>
  <c r="R228" i="18"/>
  <c r="R212" i="18"/>
  <c r="R199" i="18"/>
  <c r="R196" i="18"/>
  <c r="R184" i="18"/>
  <c r="R179" i="18"/>
  <c r="R172" i="18"/>
  <c r="R167" i="18"/>
  <c r="R163" i="18"/>
  <c r="R151" i="18"/>
  <c r="R135" i="18"/>
  <c r="R127" i="18"/>
  <c r="R119" i="18"/>
  <c r="R111" i="18"/>
  <c r="R103" i="18"/>
  <c r="R95" i="18"/>
  <c r="R237" i="18"/>
  <c r="R222" i="18"/>
  <c r="R215" i="18"/>
  <c r="R207" i="18"/>
  <c r="R203" i="18"/>
  <c r="R190" i="18"/>
  <c r="R187" i="18"/>
  <c r="R175" i="18"/>
  <c r="R162" i="18"/>
  <c r="R150" i="18"/>
  <c r="R142" i="18"/>
  <c r="R134" i="18"/>
  <c r="R126" i="18"/>
  <c r="R118" i="18"/>
  <c r="R110" i="18"/>
  <c r="R102" i="18"/>
  <c r="R94" i="18"/>
  <c r="R240" i="18"/>
  <c r="R225" i="18"/>
  <c r="R221" i="18"/>
  <c r="R198" i="18"/>
  <c r="R193" i="18"/>
  <c r="R181" i="18"/>
  <c r="R178" i="18"/>
  <c r="R169" i="18"/>
  <c r="R166" i="18"/>
  <c r="R161" i="18"/>
  <c r="R157" i="18"/>
  <c r="R149" i="18"/>
  <c r="R146" i="18"/>
  <c r="R141" i="18"/>
  <c r="R133" i="18"/>
  <c r="R125" i="18"/>
  <c r="R117" i="18"/>
  <c r="R109" i="18"/>
  <c r="R101" i="18"/>
  <c r="R235" i="18"/>
  <c r="R224" i="18"/>
  <c r="R220" i="18"/>
  <c r="R192" i="18"/>
  <c r="R189" i="18"/>
  <c r="R160" i="18"/>
  <c r="R156" i="18"/>
  <c r="R148" i="18"/>
  <c r="R140" i="18"/>
  <c r="R132" i="18"/>
  <c r="R124" i="18"/>
  <c r="R116" i="18"/>
  <c r="R108" i="18"/>
  <c r="R100" i="18"/>
  <c r="R93" i="18"/>
  <c r="X12" i="18"/>
  <c r="Z12" i="18" s="1"/>
  <c r="R238" i="18"/>
  <c r="R231" i="18"/>
  <c r="R227" i="18"/>
  <c r="R219" i="18"/>
  <c r="R211" i="18"/>
  <c r="R195" i="18"/>
  <c r="R183" i="18"/>
  <c r="R180" i="18"/>
  <c r="R171" i="18"/>
  <c r="R168" i="18"/>
  <c r="R159" i="18"/>
  <c r="R155" i="18"/>
  <c r="R139" i="18"/>
  <c r="R131" i="18"/>
  <c r="R123" i="18"/>
  <c r="R115" i="18"/>
  <c r="R107" i="18"/>
  <c r="R99" i="18"/>
  <c r="R241" i="18"/>
  <c r="R230" i="18"/>
  <c r="R223" i="18"/>
  <c r="R218" i="18"/>
  <c r="R214" i="18"/>
  <c r="R210" i="18"/>
  <c r="R206" i="18"/>
  <c r="R202" i="18"/>
  <c r="R191" i="18"/>
  <c r="R186" i="18"/>
  <c r="R174" i="18"/>
  <c r="R154" i="18"/>
  <c r="R147" i="18"/>
  <c r="R138" i="18"/>
  <c r="R130" i="18"/>
  <c r="R122" i="18"/>
  <c r="R114" i="18"/>
  <c r="R106" i="18"/>
  <c r="R98" i="18"/>
  <c r="R236" i="18"/>
  <c r="R233" i="18"/>
  <c r="R229" i="18"/>
  <c r="R226" i="18"/>
  <c r="R217" i="18"/>
  <c r="R213" i="18"/>
  <c r="R209" i="18"/>
  <c r="R205" i="18"/>
  <c r="R201" i="18"/>
  <c r="R197" i="18"/>
  <c r="R194" i="18"/>
  <c r="R185" i="18"/>
  <c r="R182" i="18"/>
  <c r="R177" i="18"/>
  <c r="R173" i="18"/>
  <c r="R170" i="18"/>
  <c r="R165" i="18"/>
  <c r="R158" i="18"/>
  <c r="R153" i="18"/>
  <c r="R137" i="18"/>
  <c r="R129" i="18"/>
  <c r="R121" i="18"/>
  <c r="R113" i="18"/>
  <c r="R105" i="18"/>
  <c r="R97" i="18"/>
  <c r="R239" i="18"/>
  <c r="R216" i="18"/>
  <c r="R208" i="18"/>
  <c r="R204" i="18"/>
  <c r="R200" i="18"/>
  <c r="R188" i="18"/>
  <c r="R176" i="18"/>
  <c r="R164" i="18"/>
  <c r="R152" i="18"/>
  <c r="P144" i="18"/>
  <c r="R136" i="18"/>
  <c r="R128" i="18"/>
  <c r="R120" i="18"/>
  <c r="R112" i="18"/>
  <c r="R104" i="18"/>
  <c r="R96" i="18"/>
  <c r="L18" i="20"/>
  <c r="D27" i="20"/>
  <c r="Z212" i="15"/>
  <c r="T86" i="21"/>
  <c r="T243" i="18"/>
  <c r="Z27" i="11"/>
  <c r="T31" i="11"/>
  <c r="H27" i="7"/>
  <c r="N18" i="7"/>
  <c r="P31" i="4"/>
  <c r="L18" i="4"/>
  <c r="D27" i="4"/>
  <c r="F252" i="3"/>
  <c r="F242" i="3"/>
  <c r="F231" i="3"/>
  <c r="F227" i="3"/>
  <c r="F223" i="3"/>
  <c r="F219" i="3"/>
  <c r="F215" i="3"/>
  <c r="F202" i="3"/>
  <c r="F199" i="3"/>
  <c r="F171" i="3"/>
  <c r="F159" i="3"/>
  <c r="D153" i="3"/>
  <c r="F151" i="3"/>
  <c r="F143" i="3"/>
  <c r="F135" i="3"/>
  <c r="F127" i="3"/>
  <c r="F119" i="3"/>
  <c r="F111" i="3"/>
  <c r="F103" i="3"/>
  <c r="F267" i="3"/>
  <c r="F255" i="3"/>
  <c r="F238" i="3"/>
  <c r="F230" i="3"/>
  <c r="F222" i="3"/>
  <c r="F218" i="3"/>
  <c r="F214" i="3"/>
  <c r="F210" i="3"/>
  <c r="F205" i="3"/>
  <c r="F193" i="3"/>
  <c r="F190" i="3"/>
  <c r="F181" i="3"/>
  <c r="F178" i="3"/>
  <c r="F170" i="3"/>
  <c r="F166" i="3"/>
  <c r="F158" i="3"/>
  <c r="F150" i="3"/>
  <c r="F142" i="3"/>
  <c r="F134" i="3"/>
  <c r="F126" i="3"/>
  <c r="F118" i="3"/>
  <c r="F110" i="3"/>
  <c r="F102" i="3"/>
  <c r="F258" i="3"/>
  <c r="F248" i="3"/>
  <c r="F244" i="3"/>
  <c r="F241" i="3"/>
  <c r="F237" i="3"/>
  <c r="F221" i="3"/>
  <c r="F217" i="3"/>
  <c r="F213" i="3"/>
  <c r="F201" i="3"/>
  <c r="F196" i="3"/>
  <c r="F184" i="3"/>
  <c r="F169" i="3"/>
  <c r="F165" i="3"/>
  <c r="F157" i="3"/>
  <c r="F149" i="3"/>
  <c r="F141" i="3"/>
  <c r="F133" i="3"/>
  <c r="F125" i="3"/>
  <c r="F117" i="3"/>
  <c r="F109" i="3"/>
  <c r="F101" i="3"/>
  <c r="F253" i="3"/>
  <c r="F240" i="3"/>
  <c r="F236" i="3"/>
  <c r="F212" i="3"/>
  <c r="F207" i="3"/>
  <c r="F204" i="3"/>
  <c r="F192" i="3"/>
  <c r="F187" i="3"/>
  <c r="F180" i="3"/>
  <c r="F175" i="3"/>
  <c r="F168" i="3"/>
  <c r="F164" i="3"/>
  <c r="F155" i="3"/>
  <c r="F148" i="3"/>
  <c r="F140" i="3"/>
  <c r="F132" i="3"/>
  <c r="F124" i="3"/>
  <c r="F116" i="3"/>
  <c r="F108" i="3"/>
  <c r="L12" i="3"/>
  <c r="N12" i="3" s="1"/>
  <c r="F256" i="3"/>
  <c r="F247" i="3"/>
  <c r="F243" i="3"/>
  <c r="F235" i="3"/>
  <c r="F226" i="3"/>
  <c r="F203" i="3"/>
  <c r="F198" i="3"/>
  <c r="F195" i="3"/>
  <c r="F183" i="3"/>
  <c r="F163" i="3"/>
  <c r="F147" i="3"/>
  <c r="F139" i="3"/>
  <c r="F131" i="3"/>
  <c r="F123" i="3"/>
  <c r="F115" i="3"/>
  <c r="F107" i="3"/>
  <c r="F268" i="3"/>
  <c r="F259" i="3"/>
  <c r="F251" i="3"/>
  <c r="F246" i="3"/>
  <c r="F234" i="3"/>
  <c r="F229" i="3"/>
  <c r="F209" i="3"/>
  <c r="F206" i="3"/>
  <c r="F194" i="3"/>
  <c r="F189" i="3"/>
  <c r="F186" i="3"/>
  <c r="F182" i="3"/>
  <c r="F177" i="3"/>
  <c r="F174" i="3"/>
  <c r="F162" i="3"/>
  <c r="F146" i="3"/>
  <c r="F138" i="3"/>
  <c r="F130" i="3"/>
  <c r="F122" i="3"/>
  <c r="F114" i="3"/>
  <c r="F106" i="3"/>
  <c r="F263" i="3"/>
  <c r="F254" i="3"/>
  <c r="F249" i="3"/>
  <c r="F245" i="3"/>
  <c r="F233" i="3"/>
  <c r="F225" i="3"/>
  <c r="F220" i="3"/>
  <c r="F216" i="3"/>
  <c r="F200" i="3"/>
  <c r="F197" i="3"/>
  <c r="F185" i="3"/>
  <c r="F173" i="3"/>
  <c r="F161" i="3"/>
  <c r="F156" i="3"/>
  <c r="F145" i="3"/>
  <c r="F137" i="3"/>
  <c r="F129" i="3"/>
  <c r="F121" i="3"/>
  <c r="F113" i="3"/>
  <c r="F105" i="3"/>
  <c r="F100" i="3"/>
  <c r="F232" i="3"/>
  <c r="F224" i="3"/>
  <c r="F167" i="3"/>
  <c r="F239" i="3"/>
  <c r="F191" i="3"/>
  <c r="F188" i="3"/>
  <c r="F144" i="3"/>
  <c r="F120" i="3"/>
  <c r="F104" i="3"/>
  <c r="F179" i="3"/>
  <c r="F160" i="3"/>
  <c r="F153" i="3"/>
  <c r="F128" i="3"/>
  <c r="F257" i="3"/>
  <c r="F176" i="3"/>
  <c r="F172" i="3"/>
  <c r="F136" i="3"/>
  <c r="F228" i="3"/>
  <c r="F211" i="3"/>
  <c r="F112" i="3"/>
  <c r="F208" i="3"/>
  <c r="J228" i="12"/>
  <c r="J222" i="12"/>
  <c r="J210" i="12"/>
  <c r="J206" i="12"/>
  <c r="J200" i="12"/>
  <c r="J180" i="12"/>
  <c r="J174" i="12"/>
  <c r="J160" i="12"/>
  <c r="J148" i="12"/>
  <c r="J142" i="12"/>
  <c r="J138" i="12"/>
  <c r="J130" i="12"/>
  <c r="J128" i="12"/>
  <c r="J122" i="12"/>
  <c r="J114" i="12"/>
  <c r="J106" i="12"/>
  <c r="J98" i="12"/>
  <c r="J90" i="12"/>
  <c r="J209" i="12"/>
  <c r="J205" i="12"/>
  <c r="J191" i="12"/>
  <c r="J187" i="12"/>
  <c r="J177" i="12"/>
  <c r="J171" i="12"/>
  <c r="J165" i="12"/>
  <c r="J153" i="12"/>
  <c r="J141" i="12"/>
  <c r="J137" i="12"/>
  <c r="J121" i="12"/>
  <c r="J113" i="12"/>
  <c r="J105" i="12"/>
  <c r="J97" i="12"/>
  <c r="J89" i="12"/>
  <c r="J220" i="12"/>
  <c r="J216" i="12"/>
  <c r="J212" i="12"/>
  <c r="J204" i="12"/>
  <c r="J196" i="12"/>
  <c r="J182" i="12"/>
  <c r="J176" i="12"/>
  <c r="J168" i="12"/>
  <c r="J162" i="12"/>
  <c r="J156" i="12"/>
  <c r="J150" i="12"/>
  <c r="J136" i="12"/>
  <c r="J120" i="12"/>
  <c r="J112" i="12"/>
  <c r="J104" i="12"/>
  <c r="J96" i="12"/>
  <c r="J88" i="12"/>
  <c r="J82" i="12"/>
  <c r="J223" i="12"/>
  <c r="J215" i="12"/>
  <c r="J203" i="12"/>
  <c r="J199" i="12"/>
  <c r="J195" i="12"/>
  <c r="J179" i="12"/>
  <c r="J173" i="12"/>
  <c r="J167" i="12"/>
  <c r="J159" i="12"/>
  <c r="J155" i="12"/>
  <c r="J147" i="12"/>
  <c r="J135" i="12"/>
  <c r="J129" i="12"/>
  <c r="J119" i="12"/>
  <c r="J111" i="12"/>
  <c r="J103" i="12"/>
  <c r="J95" i="12"/>
  <c r="J87" i="12"/>
  <c r="J218" i="12"/>
  <c r="J214" i="12"/>
  <c r="J208" i="12"/>
  <c r="J202" i="12"/>
  <c r="J198" i="12"/>
  <c r="J194" i="12"/>
  <c r="J190" i="12"/>
  <c r="J186" i="12"/>
  <c r="J170" i="12"/>
  <c r="J164" i="12"/>
  <c r="J158" i="12"/>
  <c r="J152" i="12"/>
  <c r="J146" i="12"/>
  <c r="J140" i="12"/>
  <c r="J134" i="12"/>
  <c r="J118" i="12"/>
  <c r="J110" i="12"/>
  <c r="J102" i="12"/>
  <c r="J94" i="12"/>
  <c r="J86" i="12"/>
  <c r="J221" i="12"/>
  <c r="J211" i="12"/>
  <c r="J201" i="12"/>
  <c r="J193" i="12"/>
  <c r="J189" i="12"/>
  <c r="J185" i="12"/>
  <c r="J181" i="12"/>
  <c r="J175" i="12"/>
  <c r="J161" i="12"/>
  <c r="J149" i="12"/>
  <c r="J145" i="12"/>
  <c r="J133" i="12"/>
  <c r="H126" i="12"/>
  <c r="J117" i="12"/>
  <c r="J109" i="12"/>
  <c r="J101" i="12"/>
  <c r="J93" i="12"/>
  <c r="J85" i="12"/>
  <c r="J224" i="12"/>
  <c r="J192" i="12"/>
  <c r="J188" i="12"/>
  <c r="J184" i="12"/>
  <c r="J178" i="12"/>
  <c r="J172" i="12"/>
  <c r="J166" i="12"/>
  <c r="J154" i="12"/>
  <c r="J144" i="12"/>
  <c r="J132" i="12"/>
  <c r="J124" i="12"/>
  <c r="J116" i="12"/>
  <c r="J108" i="12"/>
  <c r="J100" i="12"/>
  <c r="J92" i="12"/>
  <c r="J84" i="12"/>
  <c r="N12" i="12"/>
  <c r="J207" i="12"/>
  <c r="J131" i="12"/>
  <c r="J99" i="12"/>
  <c r="J217" i="12"/>
  <c r="J213" i="12"/>
  <c r="J143" i="12"/>
  <c r="J169" i="12"/>
  <c r="J151" i="12"/>
  <c r="J197" i="12"/>
  <c r="J139" i="12"/>
  <c r="J115" i="12"/>
  <c r="J107" i="12"/>
  <c r="J183" i="12"/>
  <c r="J157" i="12"/>
  <c r="J123" i="12"/>
  <c r="J83" i="12"/>
  <c r="J163" i="12"/>
  <c r="J91" i="12"/>
  <c r="X20" i="78"/>
  <c r="P28" i="78"/>
  <c r="J76" i="79"/>
  <c r="J85" i="79"/>
  <c r="J79" i="79"/>
  <c r="J73" i="79"/>
  <c r="J83" i="79"/>
  <c r="J75" i="79"/>
  <c r="J88" i="79"/>
  <c r="J81" i="79"/>
  <c r="J57" i="79"/>
  <c r="J51" i="79"/>
  <c r="J37" i="79"/>
  <c r="J27" i="79"/>
  <c r="H20" i="79"/>
  <c r="L20" i="79" s="1"/>
  <c r="J64" i="79"/>
  <c r="J48" i="79"/>
  <c r="J42" i="79"/>
  <c r="J32" i="79"/>
  <c r="J26" i="79"/>
  <c r="J18" i="79"/>
  <c r="J74" i="79"/>
  <c r="J72" i="79"/>
  <c r="J71" i="79"/>
  <c r="J70" i="79"/>
  <c r="J69" i="79"/>
  <c r="J61" i="79"/>
  <c r="J53" i="79"/>
  <c r="J45" i="79"/>
  <c r="J39" i="79"/>
  <c r="J25" i="79"/>
  <c r="J17" i="79"/>
  <c r="J68" i="79"/>
  <c r="J60" i="79"/>
  <c r="J56" i="79"/>
  <c r="J50" i="79"/>
  <c r="J44" i="79"/>
  <c r="J36" i="79"/>
  <c r="J24" i="79"/>
  <c r="J22" i="79"/>
  <c r="J67" i="79"/>
  <c r="J63" i="79"/>
  <c r="J59" i="79"/>
  <c r="J55" i="79"/>
  <c r="J47" i="79"/>
  <c r="J41" i="79"/>
  <c r="J35" i="79"/>
  <c r="J31" i="79"/>
  <c r="J78" i="79"/>
  <c r="J66" i="79"/>
  <c r="J58" i="79"/>
  <c r="J52" i="79"/>
  <c r="J38" i="79"/>
  <c r="J34" i="79"/>
  <c r="J30" i="79"/>
  <c r="J16" i="79"/>
  <c r="J65" i="79"/>
  <c r="J49" i="79"/>
  <c r="J43" i="79"/>
  <c r="J33" i="79"/>
  <c r="J29" i="79"/>
  <c r="J23" i="79"/>
  <c r="J62" i="79"/>
  <c r="J28" i="79"/>
  <c r="J46" i="79"/>
  <c r="J54" i="79"/>
  <c r="J40" i="79"/>
  <c r="J20" i="79"/>
  <c r="N12" i="79"/>
  <c r="F73" i="73"/>
  <c r="F66" i="73"/>
  <c r="F50" i="73"/>
  <c r="F47" i="73"/>
  <c r="F35" i="73"/>
  <c r="F31" i="73"/>
  <c r="F61" i="73"/>
  <c r="F58" i="73"/>
  <c r="F53" i="73"/>
  <c r="F46" i="73"/>
  <c r="F41" i="73"/>
  <c r="F38" i="73"/>
  <c r="F34" i="73"/>
  <c r="F30" i="73"/>
  <c r="F57" i="73"/>
  <c r="F49" i="73"/>
  <c r="F33" i="73"/>
  <c r="F29" i="73"/>
  <c r="F70" i="73"/>
  <c r="F64" i="73"/>
  <c r="F55" i="73"/>
  <c r="F51" i="73"/>
  <c r="F27" i="73"/>
  <c r="F20" i="73"/>
  <c r="F68" i="73"/>
  <c r="F62" i="73"/>
  <c r="F54" i="73"/>
  <c r="F45" i="73"/>
  <c r="F42" i="73"/>
  <c r="F37" i="73"/>
  <c r="F26" i="73"/>
  <c r="D20" i="73"/>
  <c r="F18" i="73"/>
  <c r="F32" i="73"/>
  <c r="F40" i="73"/>
  <c r="F39" i="73"/>
  <c r="F28" i="73"/>
  <c r="F25" i="73"/>
  <c r="F24" i="73"/>
  <c r="F16" i="73"/>
  <c r="L12" i="73"/>
  <c r="F56" i="73"/>
  <c r="F48" i="73"/>
  <c r="F43" i="73"/>
  <c r="F44" i="73"/>
  <c r="F23" i="73"/>
  <c r="F52" i="73"/>
  <c r="F17" i="73"/>
  <c r="F60" i="73"/>
  <c r="F59" i="73"/>
  <c r="F36" i="73"/>
  <c r="F22" i="73"/>
  <c r="H50" i="60"/>
  <c r="H102" i="42"/>
  <c r="X18" i="34"/>
  <c r="P27" i="34"/>
  <c r="Z18" i="38"/>
  <c r="T27" i="38"/>
  <c r="T36" i="37"/>
  <c r="Z36" i="37" s="1"/>
  <c r="Z31" i="37"/>
  <c r="H31" i="99"/>
  <c r="N27" i="99"/>
  <c r="V64" i="97"/>
  <c r="V50" i="97"/>
  <c r="V46" i="97"/>
  <c r="V38" i="97"/>
  <c r="V34" i="97"/>
  <c r="V59" i="97"/>
  <c r="V53" i="97"/>
  <c r="V49" i="97"/>
  <c r="V37" i="97"/>
  <c r="V33" i="97"/>
  <c r="V29" i="97"/>
  <c r="V52" i="97"/>
  <c r="V48" i="97"/>
  <c r="V40" i="97"/>
  <c r="V32" i="97"/>
  <c r="V28" i="97"/>
  <c r="V57" i="97"/>
  <c r="V45" i="97"/>
  <c r="V41" i="97"/>
  <c r="V47" i="97"/>
  <c r="V35" i="97"/>
  <c r="V60" i="97"/>
  <c r="V51" i="97"/>
  <c r="V42" i="97"/>
  <c r="V31" i="97"/>
  <c r="V22" i="97"/>
  <c r="V36" i="97"/>
  <c r="V21" i="97"/>
  <c r="V43" i="97"/>
  <c r="V39" i="97"/>
  <c r="V20" i="97"/>
  <c r="Z12" i="97"/>
  <c r="V17" i="97"/>
  <c r="X12" i="97"/>
  <c r="V56" i="97"/>
  <c r="V54" i="97"/>
  <c r="T17" i="97"/>
  <c r="V30" i="97"/>
  <c r="V27" i="97"/>
  <c r="V26" i="97"/>
  <c r="V25" i="97"/>
  <c r="V24" i="97"/>
  <c r="V55" i="97"/>
  <c r="V23" i="97"/>
  <c r="V44" i="97"/>
  <c r="V15" i="97"/>
  <c r="V19" i="97"/>
  <c r="F21" i="95"/>
  <c r="H81" i="95"/>
  <c r="N21" i="95"/>
  <c r="D84" i="94"/>
  <c r="L21" i="94"/>
  <c r="N21" i="94" s="1"/>
  <c r="H24" i="93"/>
  <c r="L24" i="93" s="1"/>
  <c r="N16" i="93"/>
  <c r="R78" i="94"/>
  <c r="R74" i="94"/>
  <c r="R73" i="94"/>
  <c r="R65" i="94"/>
  <c r="R57" i="94"/>
  <c r="R54" i="94"/>
  <c r="R49" i="94"/>
  <c r="R46" i="94"/>
  <c r="R41" i="94"/>
  <c r="R37" i="94"/>
  <c r="R86" i="94"/>
  <c r="R80" i="94"/>
  <c r="R77" i="94"/>
  <c r="R72" i="94"/>
  <c r="R64" i="94"/>
  <c r="R60" i="94"/>
  <c r="R71" i="94"/>
  <c r="R67" i="94"/>
  <c r="R63" i="94"/>
  <c r="R59" i="94"/>
  <c r="R56" i="94"/>
  <c r="R51" i="94"/>
  <c r="R48" i="94"/>
  <c r="R69" i="94"/>
  <c r="R66" i="94"/>
  <c r="R58" i="94"/>
  <c r="R53" i="94"/>
  <c r="R50" i="94"/>
  <c r="R45" i="94"/>
  <c r="R42" i="94"/>
  <c r="R82" i="94"/>
  <c r="R26" i="94"/>
  <c r="R23" i="94"/>
  <c r="R18" i="94"/>
  <c r="R76" i="94"/>
  <c r="R47" i="94"/>
  <c r="R38" i="94"/>
  <c r="R36" i="94"/>
  <c r="R32" i="94"/>
  <c r="R17" i="94"/>
  <c r="R79" i="94"/>
  <c r="R61" i="94"/>
  <c r="R43" i="94"/>
  <c r="R39" i="94"/>
  <c r="R35" i="94"/>
  <c r="R31" i="94"/>
  <c r="R24" i="94"/>
  <c r="R55" i="94"/>
  <c r="R30" i="94"/>
  <c r="R28" i="94"/>
  <c r="X12" i="94"/>
  <c r="R25" i="94"/>
  <c r="R19" i="94"/>
  <c r="R70" i="94"/>
  <c r="R75" i="94"/>
  <c r="R44" i="94"/>
  <c r="R29" i="94"/>
  <c r="R62" i="94"/>
  <c r="R52" i="94"/>
  <c r="R40" i="94"/>
  <c r="P21" i="94"/>
  <c r="R68" i="94"/>
  <c r="R33" i="94"/>
  <c r="R27" i="94"/>
  <c r="R34" i="94"/>
  <c r="L16" i="88"/>
  <c r="D32" i="88"/>
  <c r="X16" i="88"/>
  <c r="N17" i="86"/>
  <c r="H66" i="86"/>
  <c r="F40" i="90"/>
  <c r="F36" i="90"/>
  <c r="F42" i="90"/>
  <c r="F39" i="90"/>
  <c r="F41" i="90"/>
  <c r="F38" i="90"/>
  <c r="F37" i="90"/>
  <c r="F34" i="90"/>
  <c r="F30" i="90"/>
  <c r="F26" i="90"/>
  <c r="F21" i="90"/>
  <c r="F24" i="90"/>
  <c r="D18" i="90"/>
  <c r="F16" i="90"/>
  <c r="F49" i="90"/>
  <c r="F33" i="90"/>
  <c r="F32" i="90"/>
  <c r="F29" i="90"/>
  <c r="F28" i="90"/>
  <c r="F23" i="90"/>
  <c r="F43" i="90"/>
  <c r="F22" i="90"/>
  <c r="F20" i="90"/>
  <c r="F45" i="90"/>
  <c r="F27" i="90"/>
  <c r="F15" i="90"/>
  <c r="L12" i="90"/>
  <c r="F18" i="90"/>
  <c r="F31" i="90"/>
  <c r="F35" i="90"/>
  <c r="F25" i="90"/>
  <c r="P38" i="84"/>
  <c r="T72" i="81"/>
  <c r="X72" i="81" s="1"/>
  <c r="Z16" i="81"/>
  <c r="L63" i="86"/>
  <c r="X16" i="81"/>
  <c r="L12" i="79"/>
  <c r="D48" i="74"/>
  <c r="L44" i="74"/>
  <c r="T28" i="78"/>
  <c r="Z20" i="78"/>
  <c r="R57" i="67"/>
  <c r="R50" i="67"/>
  <c r="R25" i="67"/>
  <c r="R18" i="67"/>
  <c r="R45" i="67"/>
  <c r="R40" i="67"/>
  <c r="R37" i="67"/>
  <c r="R32" i="67"/>
  <c r="R31" i="67"/>
  <c r="R24" i="67"/>
  <c r="R42" i="67"/>
  <c r="R39" i="67"/>
  <c r="R34" i="67"/>
  <c r="R30" i="67"/>
  <c r="R21" i="67"/>
  <c r="R54" i="67"/>
  <c r="R48" i="67"/>
  <c r="R29" i="67"/>
  <c r="P21" i="67"/>
  <c r="R44" i="67"/>
  <c r="R41" i="67"/>
  <c r="R36" i="67"/>
  <c r="R33" i="67"/>
  <c r="R28" i="67"/>
  <c r="X12" i="67"/>
  <c r="R27" i="67"/>
  <c r="R19" i="67"/>
  <c r="R52" i="67"/>
  <c r="R46" i="67"/>
  <c r="R43" i="67"/>
  <c r="R38" i="67"/>
  <c r="R35" i="67"/>
  <c r="R26" i="67"/>
  <c r="R23" i="67"/>
  <c r="J101" i="66"/>
  <c r="J91" i="66"/>
  <c r="J85" i="66"/>
  <c r="J77" i="66"/>
  <c r="J65" i="66"/>
  <c r="J49" i="66"/>
  <c r="J41" i="66"/>
  <c r="J108" i="66"/>
  <c r="J104" i="66"/>
  <c r="J100" i="66"/>
  <c r="J88" i="66"/>
  <c r="J82" i="66"/>
  <c r="J76" i="66"/>
  <c r="J70" i="66"/>
  <c r="J64" i="66"/>
  <c r="H57" i="66"/>
  <c r="J48" i="66"/>
  <c r="J40" i="66"/>
  <c r="J111" i="66"/>
  <c r="J103" i="66"/>
  <c r="J97" i="66"/>
  <c r="J93" i="66"/>
  <c r="J87" i="66"/>
  <c r="J79" i="66"/>
  <c r="J75" i="66"/>
  <c r="J63" i="66"/>
  <c r="J55" i="66"/>
  <c r="J47" i="66"/>
  <c r="J39" i="66"/>
  <c r="J106" i="66"/>
  <c r="J90" i="66"/>
  <c r="J84" i="66"/>
  <c r="J74" i="66"/>
  <c r="J62" i="66"/>
  <c r="J54" i="66"/>
  <c r="J46" i="66"/>
  <c r="J115" i="66"/>
  <c r="J109" i="66"/>
  <c r="J99" i="66"/>
  <c r="J81" i="66"/>
  <c r="J73" i="66"/>
  <c r="J69" i="66"/>
  <c r="J61" i="66"/>
  <c r="J59" i="66"/>
  <c r="J53" i="66"/>
  <c r="J45" i="66"/>
  <c r="J102" i="66"/>
  <c r="J96" i="66"/>
  <c r="J92" i="66"/>
  <c r="J86" i="66"/>
  <c r="J78" i="66"/>
  <c r="J72" i="66"/>
  <c r="J68" i="66"/>
  <c r="J52" i="66"/>
  <c r="J44" i="66"/>
  <c r="J38" i="66"/>
  <c r="J105" i="66"/>
  <c r="J95" i="66"/>
  <c r="J89" i="66"/>
  <c r="J83" i="66"/>
  <c r="J71" i="66"/>
  <c r="J67" i="66"/>
  <c r="J51" i="66"/>
  <c r="J43" i="66"/>
  <c r="J110" i="66"/>
  <c r="J98" i="66"/>
  <c r="J94" i="66"/>
  <c r="J80" i="66"/>
  <c r="J66" i="66"/>
  <c r="J60" i="66"/>
  <c r="J50" i="66"/>
  <c r="J42" i="66"/>
  <c r="D113" i="66"/>
  <c r="T30" i="55"/>
  <c r="Z16" i="55"/>
  <c r="L38" i="63"/>
  <c r="T44" i="61"/>
  <c r="Z16" i="61"/>
  <c r="P31" i="53"/>
  <c r="N18" i="50"/>
  <c r="H27" i="50"/>
  <c r="L27" i="50" s="1"/>
  <c r="D27" i="47"/>
  <c r="L18" i="47"/>
  <c r="P30" i="55"/>
  <c r="X16" i="55"/>
  <c r="H22" i="54"/>
  <c r="N16" i="54"/>
  <c r="L18" i="46"/>
  <c r="J79" i="51"/>
  <c r="J73" i="51"/>
  <c r="J67" i="51"/>
  <c r="J55" i="51"/>
  <c r="J47" i="51"/>
  <c r="J39" i="51"/>
  <c r="J88" i="51"/>
  <c r="J70" i="51"/>
  <c r="J66" i="51"/>
  <c r="J62" i="51"/>
  <c r="J54" i="51"/>
  <c r="J52" i="51"/>
  <c r="J46" i="51"/>
  <c r="J38" i="51"/>
  <c r="J93" i="51"/>
  <c r="J85" i="51"/>
  <c r="J81" i="51"/>
  <c r="J75" i="51"/>
  <c r="J65" i="51"/>
  <c r="J61" i="51"/>
  <c r="J45" i="51"/>
  <c r="J37" i="51"/>
  <c r="J84" i="51"/>
  <c r="J78" i="51"/>
  <c r="J72" i="51"/>
  <c r="J64" i="51"/>
  <c r="J60" i="51"/>
  <c r="J44" i="51"/>
  <c r="J36" i="51"/>
  <c r="N12" i="51"/>
  <c r="J94" i="51"/>
  <c r="J80" i="51"/>
  <c r="J74" i="51"/>
  <c r="J58" i="51"/>
  <c r="J42" i="51"/>
  <c r="J89" i="51"/>
  <c r="J77" i="51"/>
  <c r="J71" i="51"/>
  <c r="J63" i="51"/>
  <c r="J57" i="51"/>
  <c r="H50" i="51"/>
  <c r="J50" i="51" s="1"/>
  <c r="J41" i="51"/>
  <c r="J35" i="51"/>
  <c r="J40" i="51"/>
  <c r="J91" i="51"/>
  <c r="J69" i="51"/>
  <c r="J56" i="51"/>
  <c r="J43" i="51"/>
  <c r="J87" i="51"/>
  <c r="J83" i="51"/>
  <c r="J68" i="51"/>
  <c r="J59" i="51"/>
  <c r="J92" i="51"/>
  <c r="J98" i="51"/>
  <c r="J86" i="51"/>
  <c r="J82" i="51"/>
  <c r="J76" i="51"/>
  <c r="J53" i="51"/>
  <c r="J48" i="51"/>
  <c r="T91" i="45"/>
  <c r="X12" i="48"/>
  <c r="Z12" i="48" s="1"/>
  <c r="D27" i="31"/>
  <c r="L18" i="31"/>
  <c r="X18" i="38"/>
  <c r="P27" i="38"/>
  <c r="D27" i="34"/>
  <c r="L18" i="34"/>
  <c r="L18" i="40"/>
  <c r="L18" i="23"/>
  <c r="D27" i="23"/>
  <c r="H27" i="34"/>
  <c r="N18" i="34"/>
  <c r="D80" i="33"/>
  <c r="L30" i="33"/>
  <c r="N30" i="33" s="1"/>
  <c r="J30" i="33"/>
  <c r="T80" i="33"/>
  <c r="T27" i="29"/>
  <c r="Z18" i="29"/>
  <c r="D87" i="24"/>
  <c r="T113" i="27"/>
  <c r="T27" i="22"/>
  <c r="Z18" i="22"/>
  <c r="H27" i="20"/>
  <c r="N18" i="20"/>
  <c r="H27" i="17"/>
  <c r="N18" i="17"/>
  <c r="X18" i="11"/>
  <c r="P27" i="11"/>
  <c r="V27" i="21"/>
  <c r="T27" i="14"/>
  <c r="Z18" i="14"/>
  <c r="N144" i="18"/>
  <c r="H243" i="18"/>
  <c r="L27" i="10"/>
  <c r="D31" i="10"/>
  <c r="L126" i="12"/>
  <c r="D226" i="12"/>
  <c r="Z21" i="95"/>
  <c r="T81" i="95"/>
  <c r="F73" i="92"/>
  <c r="F56" i="92"/>
  <c r="F53" i="92"/>
  <c r="F48" i="92"/>
  <c r="F81" i="92"/>
  <c r="F75" i="92"/>
  <c r="F71" i="92"/>
  <c r="F58" i="92"/>
  <c r="F55" i="92"/>
  <c r="F50" i="92"/>
  <c r="F47" i="92"/>
  <c r="F70" i="92"/>
  <c r="F65" i="92"/>
  <c r="F61" i="92"/>
  <c r="F69" i="92"/>
  <c r="F74" i="92"/>
  <c r="F67" i="92"/>
  <c r="F63" i="92"/>
  <c r="F59" i="92"/>
  <c r="F54" i="92"/>
  <c r="F51" i="92"/>
  <c r="F77" i="92"/>
  <c r="F68" i="92"/>
  <c r="F62" i="92"/>
  <c r="F42" i="92"/>
  <c r="F39" i="92"/>
  <c r="F34" i="92"/>
  <c r="F27" i="92"/>
  <c r="D21" i="92"/>
  <c r="F19" i="92"/>
  <c r="F72" i="92"/>
  <c r="F60" i="92"/>
  <c r="F49" i="92"/>
  <c r="F38" i="92"/>
  <c r="F26" i="92"/>
  <c r="F18" i="92"/>
  <c r="F52" i="92"/>
  <c r="F44" i="92"/>
  <c r="F41" i="92"/>
  <c r="F37" i="92"/>
  <c r="F33" i="92"/>
  <c r="F25" i="92"/>
  <c r="F36" i="92"/>
  <c r="F32" i="92"/>
  <c r="F23" i="92"/>
  <c r="F46" i="92"/>
  <c r="F43" i="92"/>
  <c r="F35" i="92"/>
  <c r="F31" i="92"/>
  <c r="F66" i="92"/>
  <c r="F64" i="92"/>
  <c r="F30" i="92"/>
  <c r="F17" i="92"/>
  <c r="F40" i="92"/>
  <c r="F28" i="92"/>
  <c r="F21" i="92"/>
  <c r="L12" i="92"/>
  <c r="F29" i="92"/>
  <c r="F24" i="92"/>
  <c r="F45" i="92"/>
  <c r="F57" i="92"/>
  <c r="D72" i="81"/>
  <c r="L16" i="81"/>
  <c r="D68" i="57"/>
  <c r="L65" i="57"/>
  <c r="Z16" i="58"/>
  <c r="T68" i="58"/>
  <c r="Z27" i="31"/>
  <c r="T31" i="31"/>
  <c r="T89" i="9"/>
  <c r="Z16" i="9"/>
  <c r="L18" i="100"/>
  <c r="D27" i="100"/>
  <c r="Z20" i="96"/>
  <c r="N27" i="98"/>
  <c r="H31" i="98"/>
  <c r="X16" i="93"/>
  <c r="P24" i="93"/>
  <c r="J72" i="92"/>
  <c r="J58" i="92"/>
  <c r="J50" i="92"/>
  <c r="J70" i="92"/>
  <c r="J52" i="92"/>
  <c r="J86" i="92"/>
  <c r="J79" i="92"/>
  <c r="J69" i="92"/>
  <c r="J57" i="92"/>
  <c r="J49" i="92"/>
  <c r="J74" i="92"/>
  <c r="J68" i="92"/>
  <c r="J66" i="92"/>
  <c r="J62" i="92"/>
  <c r="J56" i="92"/>
  <c r="J48" i="92"/>
  <c r="J71" i="92"/>
  <c r="J67" i="92"/>
  <c r="J61" i="92"/>
  <c r="J59" i="92"/>
  <c r="J39" i="92"/>
  <c r="J60" i="92"/>
  <c r="J44" i="92"/>
  <c r="J38" i="92"/>
  <c r="J26" i="92"/>
  <c r="J18" i="92"/>
  <c r="J47" i="92"/>
  <c r="J41" i="92"/>
  <c r="J37" i="92"/>
  <c r="J33" i="92"/>
  <c r="J25" i="92"/>
  <c r="J23" i="92"/>
  <c r="J73" i="92"/>
  <c r="J54" i="92"/>
  <c r="J51" i="92"/>
  <c r="J46" i="92"/>
  <c r="J36" i="92"/>
  <c r="J32" i="92"/>
  <c r="J63" i="92"/>
  <c r="J53" i="92"/>
  <c r="J43" i="92"/>
  <c r="J35" i="92"/>
  <c r="J31" i="92"/>
  <c r="J17" i="92"/>
  <c r="J81" i="92"/>
  <c r="J65" i="92"/>
  <c r="J64" i="92"/>
  <c r="J55" i="92"/>
  <c r="J40" i="92"/>
  <c r="J30" i="92"/>
  <c r="J24" i="92"/>
  <c r="J45" i="92"/>
  <c r="J29" i="92"/>
  <c r="J21" i="92"/>
  <c r="J83" i="92"/>
  <c r="J34" i="92"/>
  <c r="J28" i="92"/>
  <c r="H21" i="92"/>
  <c r="J77" i="92"/>
  <c r="N12" i="92"/>
  <c r="J42" i="92"/>
  <c r="J27" i="92"/>
  <c r="J19" i="92"/>
  <c r="J75" i="92"/>
  <c r="H47" i="90"/>
  <c r="N18" i="90"/>
  <c r="V20" i="85"/>
  <c r="F28" i="84"/>
  <c r="F25" i="84"/>
  <c r="F20" i="84"/>
  <c r="F17" i="84"/>
  <c r="F38" i="84"/>
  <c r="F32" i="84"/>
  <c r="F27" i="84"/>
  <c r="F22" i="84"/>
  <c r="D17" i="84"/>
  <c r="F36" i="84"/>
  <c r="F30" i="84"/>
  <c r="F29" i="84"/>
  <c r="F24" i="84"/>
  <c r="F21" i="84"/>
  <c r="F19" i="84"/>
  <c r="F15" i="84"/>
  <c r="L12" i="84"/>
  <c r="F26" i="84"/>
  <c r="F41" i="84"/>
  <c r="F34" i="84"/>
  <c r="F23" i="84"/>
  <c r="J78" i="85"/>
  <c r="J64" i="85"/>
  <c r="J56" i="85"/>
  <c r="J48" i="85"/>
  <c r="J42" i="85"/>
  <c r="J81" i="85"/>
  <c r="J75" i="85"/>
  <c r="J59" i="85"/>
  <c r="J53" i="85"/>
  <c r="J45" i="85"/>
  <c r="J72" i="85"/>
  <c r="J66" i="85"/>
  <c r="J50" i="85"/>
  <c r="J44" i="85"/>
  <c r="J36" i="85"/>
  <c r="J85" i="85"/>
  <c r="J77" i="85"/>
  <c r="J71" i="85"/>
  <c r="J63" i="85"/>
  <c r="J55" i="85"/>
  <c r="J47" i="85"/>
  <c r="J41" i="85"/>
  <c r="J35" i="85"/>
  <c r="J74" i="85"/>
  <c r="J70" i="85"/>
  <c r="J62" i="85"/>
  <c r="J58" i="85"/>
  <c r="J52" i="85"/>
  <c r="J38" i="85"/>
  <c r="J34" i="85"/>
  <c r="J69" i="85"/>
  <c r="J65" i="85"/>
  <c r="J61" i="85"/>
  <c r="J57" i="85"/>
  <c r="J49" i="85"/>
  <c r="J43" i="85"/>
  <c r="J80" i="85"/>
  <c r="J76" i="85"/>
  <c r="J68" i="85"/>
  <c r="J60" i="85"/>
  <c r="J54" i="85"/>
  <c r="J46" i="85"/>
  <c r="J40" i="85"/>
  <c r="J27" i="85"/>
  <c r="H20" i="85"/>
  <c r="J51" i="85"/>
  <c r="J32" i="85"/>
  <c r="J26" i="85"/>
  <c r="J18" i="85"/>
  <c r="J25" i="85"/>
  <c r="J17" i="85"/>
  <c r="J24" i="85"/>
  <c r="J22" i="85"/>
  <c r="J37" i="85"/>
  <c r="J31" i="85"/>
  <c r="J30" i="85"/>
  <c r="J16" i="85"/>
  <c r="J73" i="85"/>
  <c r="J67" i="85"/>
  <c r="J33" i="85"/>
  <c r="J29" i="85"/>
  <c r="J23" i="85"/>
  <c r="J39" i="85"/>
  <c r="J28" i="85"/>
  <c r="N12" i="85"/>
  <c r="D83" i="85"/>
  <c r="L20" i="85"/>
  <c r="Z74" i="70"/>
  <c r="X74" i="70"/>
  <c r="V103" i="77"/>
  <c r="V98" i="77"/>
  <c r="V90" i="77"/>
  <c r="V86" i="77"/>
  <c r="V97" i="77"/>
  <c r="V93" i="77"/>
  <c r="V89" i="77"/>
  <c r="V85" i="77"/>
  <c r="V81" i="77"/>
  <c r="V73" i="77"/>
  <c r="V65" i="77"/>
  <c r="V61" i="77"/>
  <c r="V57" i="77"/>
  <c r="V47" i="77"/>
  <c r="V41" i="77"/>
  <c r="V106" i="77"/>
  <c r="V100" i="77"/>
  <c r="V96" i="77"/>
  <c r="V92" i="77"/>
  <c r="V88" i="77"/>
  <c r="V84" i="77"/>
  <c r="V76" i="77"/>
  <c r="V68" i="77"/>
  <c r="V60" i="77"/>
  <c r="V56" i="77"/>
  <c r="T47" i="77"/>
  <c r="V40" i="77"/>
  <c r="V99" i="77"/>
  <c r="V95" i="77"/>
  <c r="V91" i="77"/>
  <c r="V87" i="77"/>
  <c r="V83" i="77"/>
  <c r="V75" i="77"/>
  <c r="V67" i="77"/>
  <c r="V59" i="77"/>
  <c r="V55" i="77"/>
  <c r="V39" i="77"/>
  <c r="V102" i="77"/>
  <c r="V94" i="77"/>
  <c r="V78" i="77"/>
  <c r="V70" i="77"/>
  <c r="V54" i="77"/>
  <c r="V38" i="77"/>
  <c r="V101" i="77"/>
  <c r="V77" i="77"/>
  <c r="V69" i="77"/>
  <c r="V53" i="77"/>
  <c r="V49" i="77"/>
  <c r="V45" i="77"/>
  <c r="V80" i="77"/>
  <c r="V74" i="77"/>
  <c r="V51" i="77"/>
  <c r="V62" i="77"/>
  <c r="V58" i="77"/>
  <c r="V44" i="77"/>
  <c r="V82" i="77"/>
  <c r="V63" i="77"/>
  <c r="V52" i="77"/>
  <c r="V104" i="77"/>
  <c r="V71" i="77"/>
  <c r="V64" i="77"/>
  <c r="V110" i="77"/>
  <c r="V79" i="77"/>
  <c r="V72" i="77"/>
  <c r="V66" i="77"/>
  <c r="V42" i="77"/>
  <c r="V43" i="77"/>
  <c r="V50" i="77"/>
  <c r="Z12" i="77"/>
  <c r="L17" i="74"/>
  <c r="V20" i="78"/>
  <c r="X137" i="69"/>
  <c r="X12" i="69"/>
  <c r="Z12" i="69" s="1"/>
  <c r="V115" i="66"/>
  <c r="V105" i="66"/>
  <c r="V89" i="66"/>
  <c r="V81" i="66"/>
  <c r="V73" i="66"/>
  <c r="V69" i="66"/>
  <c r="V61" i="66"/>
  <c r="V53" i="66"/>
  <c r="V45" i="66"/>
  <c r="V110" i="66"/>
  <c r="V96" i="66"/>
  <c r="V92" i="66"/>
  <c r="V80" i="66"/>
  <c r="V72" i="66"/>
  <c r="V68" i="66"/>
  <c r="V60" i="66"/>
  <c r="V52" i="66"/>
  <c r="V44" i="66"/>
  <c r="V95" i="66"/>
  <c r="V91" i="66"/>
  <c r="V83" i="66"/>
  <c r="V71" i="66"/>
  <c r="V67" i="66"/>
  <c r="V57" i="66"/>
  <c r="V51" i="66"/>
  <c r="V43" i="66"/>
  <c r="V108" i="66"/>
  <c r="V98" i="66"/>
  <c r="V94" i="66"/>
  <c r="V82" i="66"/>
  <c r="V70" i="66"/>
  <c r="V66" i="66"/>
  <c r="T57" i="66"/>
  <c r="V50" i="66"/>
  <c r="V42" i="66"/>
  <c r="V111" i="66"/>
  <c r="V101" i="66"/>
  <c r="V97" i="66"/>
  <c r="V93" i="66"/>
  <c r="V85" i="66"/>
  <c r="V77" i="66"/>
  <c r="V65" i="66"/>
  <c r="V49" i="66"/>
  <c r="V41" i="66"/>
  <c r="V104" i="66"/>
  <c r="V100" i="66"/>
  <c r="V88" i="66"/>
  <c r="V84" i="66"/>
  <c r="V76" i="66"/>
  <c r="V64" i="66"/>
  <c r="V48" i="66"/>
  <c r="V40" i="66"/>
  <c r="V109" i="66"/>
  <c r="V103" i="66"/>
  <c r="V99" i="66"/>
  <c r="V87" i="66"/>
  <c r="V79" i="66"/>
  <c r="V75" i="66"/>
  <c r="V63" i="66"/>
  <c r="V59" i="66"/>
  <c r="V55" i="66"/>
  <c r="V47" i="66"/>
  <c r="V39" i="66"/>
  <c r="V106" i="66"/>
  <c r="V102" i="66"/>
  <c r="V90" i="66"/>
  <c r="V86" i="66"/>
  <c r="V78" i="66"/>
  <c r="V74" i="66"/>
  <c r="V62" i="66"/>
  <c r="V54" i="66"/>
  <c r="V46" i="66"/>
  <c r="V38" i="66"/>
  <c r="L12" i="66"/>
  <c r="N12" i="66" s="1"/>
  <c r="R109" i="66"/>
  <c r="R106" i="66"/>
  <c r="R99" i="66"/>
  <c r="R90" i="66"/>
  <c r="R74" i="66"/>
  <c r="R62" i="66"/>
  <c r="R59" i="66"/>
  <c r="R54" i="66"/>
  <c r="R46" i="66"/>
  <c r="R115" i="66"/>
  <c r="R102" i="66"/>
  <c r="R86" i="66"/>
  <c r="R81" i="66"/>
  <c r="R78" i="66"/>
  <c r="R73" i="66"/>
  <c r="R69" i="66"/>
  <c r="R61" i="66"/>
  <c r="R53" i="66"/>
  <c r="R45" i="66"/>
  <c r="R38" i="66"/>
  <c r="R105" i="66"/>
  <c r="R96" i="66"/>
  <c r="R92" i="66"/>
  <c r="R89" i="66"/>
  <c r="R72" i="66"/>
  <c r="R68" i="66"/>
  <c r="R52" i="66"/>
  <c r="R44" i="66"/>
  <c r="X12" i="66"/>
  <c r="Z12" i="66" s="1"/>
  <c r="R110" i="66"/>
  <c r="R95" i="66"/>
  <c r="R83" i="66"/>
  <c r="R80" i="66"/>
  <c r="R71" i="66"/>
  <c r="R67" i="66"/>
  <c r="R60" i="66"/>
  <c r="R51" i="66"/>
  <c r="R43" i="66"/>
  <c r="R98" i="66"/>
  <c r="R94" i="66"/>
  <c r="R91" i="66"/>
  <c r="R66" i="66"/>
  <c r="R57" i="66"/>
  <c r="R50" i="66"/>
  <c r="R42" i="66"/>
  <c r="R108" i="66"/>
  <c r="R101" i="66"/>
  <c r="R85" i="66"/>
  <c r="R82" i="66"/>
  <c r="R77" i="66"/>
  <c r="R70" i="66"/>
  <c r="R65" i="66"/>
  <c r="P57" i="66"/>
  <c r="R49" i="66"/>
  <c r="R41" i="66"/>
  <c r="R111" i="66"/>
  <c r="R104" i="66"/>
  <c r="R100" i="66"/>
  <c r="R97" i="66"/>
  <c r="R93" i="66"/>
  <c r="R88" i="66"/>
  <c r="R76" i="66"/>
  <c r="R64" i="66"/>
  <c r="R48" i="66"/>
  <c r="R40" i="66"/>
  <c r="R103" i="66"/>
  <c r="R87" i="66"/>
  <c r="R84" i="66"/>
  <c r="R79" i="66"/>
  <c r="R75" i="66"/>
  <c r="R63" i="66"/>
  <c r="R55" i="66"/>
  <c r="R47" i="66"/>
  <c r="R39" i="66"/>
  <c r="H102" i="62"/>
  <c r="D30" i="55"/>
  <c r="L16" i="55"/>
  <c r="D45" i="63"/>
  <c r="L42" i="63"/>
  <c r="D44" i="61"/>
  <c r="L16" i="61"/>
  <c r="L16" i="56"/>
  <c r="D63" i="56"/>
  <c r="P53" i="60"/>
  <c r="H27" i="47"/>
  <c r="N18" i="47"/>
  <c r="P102" i="42"/>
  <c r="X23" i="42"/>
  <c r="Z23" i="42" s="1"/>
  <c r="D27" i="44"/>
  <c r="L18" i="44"/>
  <c r="X97" i="42"/>
  <c r="Z97" i="42" s="1"/>
  <c r="P31" i="44"/>
  <c r="P31" i="54"/>
  <c r="H62" i="48"/>
  <c r="H27" i="41"/>
  <c r="N18" i="41"/>
  <c r="X31" i="43"/>
  <c r="P36" i="43"/>
  <c r="X36" i="43" s="1"/>
  <c r="L97" i="42"/>
  <c r="J105" i="36"/>
  <c r="J101" i="36"/>
  <c r="J95" i="36"/>
  <c r="J89" i="36"/>
  <c r="J81" i="36"/>
  <c r="J73" i="36"/>
  <c r="J67" i="36"/>
  <c r="J59" i="36"/>
  <c r="J45" i="36"/>
  <c r="J41" i="36"/>
  <c r="J29" i="36"/>
  <c r="J21" i="36"/>
  <c r="J108" i="36"/>
  <c r="J100" i="36"/>
  <c r="J88" i="36"/>
  <c r="J84" i="36"/>
  <c r="J80" i="36"/>
  <c r="J76" i="36"/>
  <c r="J72" i="36"/>
  <c r="J64" i="36"/>
  <c r="J56" i="36"/>
  <c r="J50" i="36"/>
  <c r="J40" i="36"/>
  <c r="J36" i="36"/>
  <c r="J28" i="36"/>
  <c r="J26" i="36"/>
  <c r="N12" i="36"/>
  <c r="J103" i="36"/>
  <c r="J97" i="36"/>
  <c r="J87" i="36"/>
  <c r="J83" i="36"/>
  <c r="J79" i="36"/>
  <c r="J69" i="36"/>
  <c r="J61" i="36"/>
  <c r="J53" i="36"/>
  <c r="J47" i="36"/>
  <c r="J39" i="36"/>
  <c r="J35" i="36"/>
  <c r="J112" i="36"/>
  <c r="J106" i="36"/>
  <c r="J94" i="36"/>
  <c r="J86" i="36"/>
  <c r="J78" i="36"/>
  <c r="J66" i="36"/>
  <c r="J58" i="36"/>
  <c r="J44" i="36"/>
  <c r="J38" i="36"/>
  <c r="J34" i="36"/>
  <c r="J20" i="36"/>
  <c r="J102" i="36"/>
  <c r="J96" i="36"/>
  <c r="J92" i="36"/>
  <c r="J82" i="36"/>
  <c r="J68" i="36"/>
  <c r="J60" i="36"/>
  <c r="J52" i="36"/>
  <c r="J46" i="36"/>
  <c r="J32" i="36"/>
  <c r="J24" i="36"/>
  <c r="J107" i="36"/>
  <c r="J91" i="36"/>
  <c r="J85" i="36"/>
  <c r="J77" i="36"/>
  <c r="J65" i="36"/>
  <c r="J57" i="36"/>
  <c r="J51" i="36"/>
  <c r="J43" i="36"/>
  <c r="J37" i="36"/>
  <c r="J31" i="36"/>
  <c r="H24" i="36"/>
  <c r="L24" i="36" s="1"/>
  <c r="J98" i="36"/>
  <c r="J90" i="36"/>
  <c r="J74" i="36"/>
  <c r="J70" i="36"/>
  <c r="J62" i="36"/>
  <c r="J54" i="36"/>
  <c r="J48" i="36"/>
  <c r="J42" i="36"/>
  <c r="J30" i="36"/>
  <c r="J22" i="36"/>
  <c r="J75" i="36"/>
  <c r="J63" i="36"/>
  <c r="J33" i="36"/>
  <c r="J93" i="36"/>
  <c r="J71" i="36"/>
  <c r="J27" i="36"/>
  <c r="J99" i="36"/>
  <c r="J55" i="36"/>
  <c r="J49" i="36"/>
  <c r="L18" i="32"/>
  <c r="D27" i="32"/>
  <c r="Z76" i="33"/>
  <c r="R78" i="33"/>
  <c r="R55" i="33"/>
  <c r="R52" i="33"/>
  <c r="R47" i="33"/>
  <c r="R43" i="33"/>
  <c r="R39" i="33"/>
  <c r="R70" i="33"/>
  <c r="R62" i="33"/>
  <c r="R58" i="33"/>
  <c r="R38" i="33"/>
  <c r="P30" i="33"/>
  <c r="R30" i="33" s="1"/>
  <c r="R76" i="33"/>
  <c r="R69" i="33"/>
  <c r="R61" i="33"/>
  <c r="R54" i="33"/>
  <c r="R49" i="33"/>
  <c r="R46" i="33"/>
  <c r="R42" i="33"/>
  <c r="R37" i="33"/>
  <c r="R82" i="33"/>
  <c r="R72" i="33"/>
  <c r="R68" i="33"/>
  <c r="R64" i="33"/>
  <c r="R60" i="33"/>
  <c r="R57" i="33"/>
  <c r="R36" i="33"/>
  <c r="R28" i="33"/>
  <c r="X12" i="33"/>
  <c r="Z12" i="33" s="1"/>
  <c r="R77" i="33"/>
  <c r="R74" i="33"/>
  <c r="R71" i="33"/>
  <c r="R66" i="33"/>
  <c r="R63" i="33"/>
  <c r="R59" i="33"/>
  <c r="R34" i="33"/>
  <c r="R26" i="33"/>
  <c r="R53" i="33"/>
  <c r="R50" i="33"/>
  <c r="R45" i="33"/>
  <c r="R41" i="33"/>
  <c r="R73" i="33"/>
  <c r="R65" i="33"/>
  <c r="R56" i="33"/>
  <c r="R44" i="33"/>
  <c r="R40" i="33"/>
  <c r="R33" i="33"/>
  <c r="R25" i="33"/>
  <c r="R35" i="33"/>
  <c r="R32" i="33"/>
  <c r="R51" i="33"/>
  <c r="R48" i="33"/>
  <c r="R67" i="33"/>
  <c r="R27" i="33"/>
  <c r="J108" i="39"/>
  <c r="J99" i="39"/>
  <c r="J104" i="39"/>
  <c r="J98" i="39"/>
  <c r="J113" i="39"/>
  <c r="J107" i="39"/>
  <c r="J103" i="39"/>
  <c r="J106" i="39"/>
  <c r="J84" i="39"/>
  <c r="J70" i="39"/>
  <c r="J50" i="39"/>
  <c r="J46" i="39"/>
  <c r="J42" i="39"/>
  <c r="J101" i="39"/>
  <c r="J95" i="39"/>
  <c r="J94" i="39"/>
  <c r="J93" i="39"/>
  <c r="J79" i="39"/>
  <c r="J67" i="39"/>
  <c r="J61" i="39"/>
  <c r="J55" i="39"/>
  <c r="J45" i="39"/>
  <c r="J41" i="39"/>
  <c r="J27" i="39"/>
  <c r="J102" i="39"/>
  <c r="J92" i="39"/>
  <c r="J86" i="39"/>
  <c r="J76" i="39"/>
  <c r="J72" i="39"/>
  <c r="J64" i="39"/>
  <c r="J58" i="39"/>
  <c r="J52" i="39"/>
  <c r="J44" i="39"/>
  <c r="J40" i="39"/>
  <c r="J34" i="39"/>
  <c r="J109" i="39"/>
  <c r="J91" i="39"/>
  <c r="J83" i="39"/>
  <c r="J75" i="39"/>
  <c r="J69" i="39"/>
  <c r="J63" i="39"/>
  <c r="J49" i="39"/>
  <c r="J39" i="39"/>
  <c r="J90" i="39"/>
  <c r="J82" i="39"/>
  <c r="J89" i="39"/>
  <c r="J85" i="39"/>
  <c r="J81" i="39"/>
  <c r="J71" i="39"/>
  <c r="J57" i="39"/>
  <c r="J51" i="39"/>
  <c r="J43" i="39"/>
  <c r="J37" i="39"/>
  <c r="J29" i="39"/>
  <c r="J88" i="39"/>
  <c r="J80" i="39"/>
  <c r="J68" i="39"/>
  <c r="J62" i="39"/>
  <c r="J56" i="39"/>
  <c r="J48" i="39"/>
  <c r="J36" i="39"/>
  <c r="J28" i="39"/>
  <c r="N12" i="39"/>
  <c r="J100" i="39"/>
  <c r="J97" i="39"/>
  <c r="J96" i="39"/>
  <c r="J87" i="39"/>
  <c r="J77" i="39"/>
  <c r="J73" i="39"/>
  <c r="J65" i="39"/>
  <c r="J59" i="39"/>
  <c r="J53" i="39"/>
  <c r="J47" i="39"/>
  <c r="J35" i="39"/>
  <c r="J33" i="39"/>
  <c r="H31" i="39"/>
  <c r="J78" i="39"/>
  <c r="J66" i="39"/>
  <c r="J60" i="39"/>
  <c r="J54" i="39"/>
  <c r="J38" i="39"/>
  <c r="J74" i="39"/>
  <c r="L18" i="35"/>
  <c r="D27" i="35"/>
  <c r="N27" i="31"/>
  <c r="H31" i="31"/>
  <c r="J111" i="27"/>
  <c r="J103" i="27"/>
  <c r="J97" i="27"/>
  <c r="J93" i="27"/>
  <c r="J87" i="27"/>
  <c r="J79" i="27"/>
  <c r="J75" i="27"/>
  <c r="J63" i="27"/>
  <c r="J55" i="27"/>
  <c r="J47" i="27"/>
  <c r="J39" i="27"/>
  <c r="J106" i="27"/>
  <c r="J90" i="27"/>
  <c r="J84" i="27"/>
  <c r="J74" i="27"/>
  <c r="J62" i="27"/>
  <c r="J54" i="27"/>
  <c r="J46" i="27"/>
  <c r="J115" i="27"/>
  <c r="J109" i="27"/>
  <c r="J99" i="27"/>
  <c r="J81" i="27"/>
  <c r="J73" i="27"/>
  <c r="J69" i="27"/>
  <c r="J61" i="27"/>
  <c r="J59" i="27"/>
  <c r="J53" i="27"/>
  <c r="J45" i="27"/>
  <c r="J102" i="27"/>
  <c r="J96" i="27"/>
  <c r="J92" i="27"/>
  <c r="J86" i="27"/>
  <c r="J78" i="27"/>
  <c r="J72" i="27"/>
  <c r="J68" i="27"/>
  <c r="J52" i="27"/>
  <c r="J44" i="27"/>
  <c r="J38" i="27"/>
  <c r="N12" i="27"/>
  <c r="J105" i="27"/>
  <c r="J95" i="27"/>
  <c r="J89" i="27"/>
  <c r="J83" i="27"/>
  <c r="J71" i="27"/>
  <c r="J67" i="27"/>
  <c r="J51" i="27"/>
  <c r="J43" i="27"/>
  <c r="J110" i="27"/>
  <c r="J98" i="27"/>
  <c r="J94" i="27"/>
  <c r="J80" i="27"/>
  <c r="J66" i="27"/>
  <c r="J60" i="27"/>
  <c r="J50" i="27"/>
  <c r="J42" i="27"/>
  <c r="J101" i="27"/>
  <c r="J91" i="27"/>
  <c r="J85" i="27"/>
  <c r="J77" i="27"/>
  <c r="J65" i="27"/>
  <c r="J49" i="27"/>
  <c r="J41" i="27"/>
  <c r="J108" i="27"/>
  <c r="J104" i="27"/>
  <c r="J100" i="27"/>
  <c r="J88" i="27"/>
  <c r="J82" i="27"/>
  <c r="J76" i="27"/>
  <c r="J70" i="27"/>
  <c r="J64" i="27"/>
  <c r="H57" i="27"/>
  <c r="J48" i="27"/>
  <c r="J40" i="27"/>
  <c r="L18" i="29"/>
  <c r="D27" i="29"/>
  <c r="N105" i="36"/>
  <c r="X108" i="27"/>
  <c r="Z108" i="27" s="1"/>
  <c r="V57" i="27"/>
  <c r="V85" i="24"/>
  <c r="V79" i="24"/>
  <c r="V71" i="24"/>
  <c r="V67" i="24"/>
  <c r="V55" i="24"/>
  <c r="V51" i="24"/>
  <c r="V47" i="24"/>
  <c r="V39" i="24"/>
  <c r="V31" i="24"/>
  <c r="V78" i="24"/>
  <c r="V74" i="24"/>
  <c r="V70" i="24"/>
  <c r="V58" i="24"/>
  <c r="V50" i="24"/>
  <c r="V46" i="24"/>
  <c r="V38" i="24"/>
  <c r="V30" i="24"/>
  <c r="V81" i="24"/>
  <c r="V77" i="24"/>
  <c r="V73" i="24"/>
  <c r="V69" i="24"/>
  <c r="V61" i="24"/>
  <c r="V57" i="24"/>
  <c r="V45" i="24"/>
  <c r="V37" i="24"/>
  <c r="V80" i="24"/>
  <c r="V76" i="24"/>
  <c r="V72" i="24"/>
  <c r="V64" i="24"/>
  <c r="V60" i="24"/>
  <c r="V42" i="24"/>
  <c r="V36" i="24"/>
  <c r="Z12" i="24"/>
  <c r="V89" i="24"/>
  <c r="V83" i="24"/>
  <c r="V75" i="24"/>
  <c r="V63" i="24"/>
  <c r="V59" i="24"/>
  <c r="T42" i="24"/>
  <c r="V35" i="24"/>
  <c r="V82" i="24"/>
  <c r="V66" i="24"/>
  <c r="V62" i="24"/>
  <c r="V54" i="24"/>
  <c r="V34" i="24"/>
  <c r="V65" i="24"/>
  <c r="V53" i="24"/>
  <c r="V49" i="24"/>
  <c r="V33" i="24"/>
  <c r="V68" i="24"/>
  <c r="V56" i="24"/>
  <c r="V44" i="24"/>
  <c r="V52" i="24"/>
  <c r="V40" i="24"/>
  <c r="V32" i="24"/>
  <c r="V48" i="24"/>
  <c r="L18" i="22"/>
  <c r="D27" i="22"/>
  <c r="P113" i="27"/>
  <c r="X57" i="27"/>
  <c r="Z57" i="27" s="1"/>
  <c r="X18" i="22"/>
  <c r="P27" i="22"/>
  <c r="H27" i="14"/>
  <c r="N18" i="14"/>
  <c r="H27" i="16"/>
  <c r="N18" i="16"/>
  <c r="L18" i="14"/>
  <c r="D27" i="14"/>
  <c r="H27" i="4"/>
  <c r="N18" i="4"/>
  <c r="P218" i="15"/>
  <c r="X121" i="15"/>
  <c r="P31" i="8"/>
  <c r="T27" i="7"/>
  <c r="Z18" i="7"/>
  <c r="Z18" i="8"/>
  <c r="T27" i="8"/>
  <c r="X18" i="8"/>
  <c r="D26" i="6"/>
  <c r="D27" i="98"/>
  <c r="L18" i="98"/>
  <c r="V98" i="71"/>
  <c r="V88" i="71"/>
  <c r="V76" i="71"/>
  <c r="V68" i="71"/>
  <c r="V56" i="71"/>
  <c r="V52" i="71"/>
  <c r="V48" i="71"/>
  <c r="V40" i="71"/>
  <c r="V93" i="71"/>
  <c r="V79" i="71"/>
  <c r="V75" i="71"/>
  <c r="V67" i="71"/>
  <c r="V55" i="71"/>
  <c r="V47" i="71"/>
  <c r="V39" i="71"/>
  <c r="V78" i="71"/>
  <c r="V70" i="71"/>
  <c r="V66" i="71"/>
  <c r="V62" i="71"/>
  <c r="V54" i="71"/>
  <c r="V46" i="71"/>
  <c r="V38" i="71"/>
  <c r="V91" i="71"/>
  <c r="V85" i="71"/>
  <c r="V81" i="71"/>
  <c r="V69" i="71"/>
  <c r="V65" i="71"/>
  <c r="V61" i="71"/>
  <c r="V53" i="71"/>
  <c r="V45" i="71"/>
  <c r="V37" i="71"/>
  <c r="V94" i="71"/>
  <c r="V84" i="71"/>
  <c r="V80" i="71"/>
  <c r="V72" i="71"/>
  <c r="V64" i="71"/>
  <c r="V60" i="71"/>
  <c r="V44" i="71"/>
  <c r="V36" i="71"/>
  <c r="Z12" i="71"/>
  <c r="V87" i="71"/>
  <c r="V83" i="71"/>
  <c r="V71" i="71"/>
  <c r="V63" i="71"/>
  <c r="V59" i="71"/>
  <c r="T50" i="71"/>
  <c r="V43" i="71"/>
  <c r="V35" i="71"/>
  <c r="V92" i="71"/>
  <c r="V86" i="71"/>
  <c r="V82" i="71"/>
  <c r="V74" i="71"/>
  <c r="V58" i="71"/>
  <c r="V42" i="71"/>
  <c r="V89" i="71"/>
  <c r="V77" i="71"/>
  <c r="V73" i="71"/>
  <c r="V57" i="71"/>
  <c r="V41" i="71"/>
  <c r="P141" i="69"/>
  <c r="X83" i="69"/>
  <c r="D30" i="89"/>
  <c r="L16" i="89"/>
  <c r="V23" i="87"/>
  <c r="V21" i="87"/>
  <c r="V19" i="87"/>
  <c r="Z12" i="87"/>
  <c r="V17" i="87"/>
  <c r="V27" i="87"/>
  <c r="T17" i="87"/>
  <c r="V20" i="87"/>
  <c r="V15" i="87"/>
  <c r="Z17" i="86"/>
  <c r="T66" i="86"/>
  <c r="F29" i="87"/>
  <c r="F23" i="87"/>
  <c r="F27" i="87"/>
  <c r="F21" i="87"/>
  <c r="F17" i="87"/>
  <c r="D17" i="87"/>
  <c r="F25" i="87"/>
  <c r="F20" i="87"/>
  <c r="F32" i="87"/>
  <c r="F15" i="87"/>
  <c r="L12" i="87"/>
  <c r="N12" i="87" s="1"/>
  <c r="F19" i="87"/>
  <c r="N16" i="81"/>
  <c r="H72" i="81"/>
  <c r="P44" i="74"/>
  <c r="X17" i="74"/>
  <c r="Z17" i="74" s="1"/>
  <c r="Z137" i="69"/>
  <c r="L74" i="70"/>
  <c r="N74" i="70" s="1"/>
  <c r="J130" i="69"/>
  <c r="J126" i="69"/>
  <c r="J128" i="69"/>
  <c r="J135" i="69"/>
  <c r="J138" i="69"/>
  <c r="J132" i="69"/>
  <c r="J124" i="69"/>
  <c r="J134" i="69"/>
  <c r="J143" i="69"/>
  <c r="J137" i="69"/>
  <c r="J127" i="69"/>
  <c r="J125" i="69"/>
  <c r="J114" i="69"/>
  <c r="J108" i="69"/>
  <c r="J102" i="69"/>
  <c r="J98" i="69"/>
  <c r="J94" i="69"/>
  <c r="J78" i="69"/>
  <c r="J70" i="69"/>
  <c r="J62" i="69"/>
  <c r="J56" i="69"/>
  <c r="J139" i="69"/>
  <c r="J133" i="69"/>
  <c r="J120" i="69"/>
  <c r="J110" i="69"/>
  <c r="J104" i="69"/>
  <c r="J96" i="69"/>
  <c r="J92" i="69"/>
  <c r="J86" i="69"/>
  <c r="J76" i="69"/>
  <c r="J68" i="69"/>
  <c r="J60" i="69"/>
  <c r="J129" i="69"/>
  <c r="J119" i="69"/>
  <c r="J113" i="69"/>
  <c r="J107" i="69"/>
  <c r="J101" i="69"/>
  <c r="J91" i="69"/>
  <c r="J83" i="69"/>
  <c r="J75" i="69"/>
  <c r="J67" i="69"/>
  <c r="J59" i="69"/>
  <c r="J116" i="69"/>
  <c r="J90" i="69"/>
  <c r="H83" i="69"/>
  <c r="L83" i="69" s="1"/>
  <c r="J74" i="69"/>
  <c r="J66" i="69"/>
  <c r="J58" i="69"/>
  <c r="J131" i="69"/>
  <c r="J123" i="69"/>
  <c r="J118" i="69"/>
  <c r="J112" i="69"/>
  <c r="J106" i="69"/>
  <c r="J100" i="69"/>
  <c r="J88" i="69"/>
  <c r="J80" i="69"/>
  <c r="J72" i="69"/>
  <c r="J64" i="69"/>
  <c r="J121" i="69"/>
  <c r="J115" i="69"/>
  <c r="J111" i="69"/>
  <c r="J99" i="69"/>
  <c r="J87" i="69"/>
  <c r="J85" i="69"/>
  <c r="J79" i="69"/>
  <c r="J71" i="69"/>
  <c r="J63" i="69"/>
  <c r="J61" i="69"/>
  <c r="J105" i="69"/>
  <c r="J89" i="69"/>
  <c r="N12" i="69"/>
  <c r="J73" i="69"/>
  <c r="J65" i="69"/>
  <c r="J97" i="69"/>
  <c r="J77" i="69"/>
  <c r="J122" i="69"/>
  <c r="J93" i="69"/>
  <c r="J117" i="69"/>
  <c r="J103" i="69"/>
  <c r="J81" i="69"/>
  <c r="J109" i="69"/>
  <c r="J95" i="69"/>
  <c r="J69" i="69"/>
  <c r="J57" i="69"/>
  <c r="L12" i="69"/>
  <c r="T46" i="60"/>
  <c r="Z16" i="60"/>
  <c r="H27" i="49"/>
  <c r="N18" i="49"/>
  <c r="T27" i="49"/>
  <c r="Z18" i="49"/>
  <c r="X18" i="53"/>
  <c r="T27" i="40"/>
  <c r="Z18" i="40"/>
  <c r="T27" i="44"/>
  <c r="X27" i="44" s="1"/>
  <c r="Z18" i="44"/>
  <c r="T31" i="46"/>
  <c r="Z27" i="46"/>
  <c r="J21" i="45"/>
  <c r="H27" i="38"/>
  <c r="N18" i="38"/>
  <c r="L18" i="38"/>
  <c r="N27" i="37"/>
  <c r="H31" i="37"/>
  <c r="P27" i="31"/>
  <c r="X18" i="31"/>
  <c r="X27" i="25"/>
  <c r="P31" i="25"/>
  <c r="P31" i="35"/>
  <c r="X27" i="35"/>
  <c r="Z18" i="32"/>
  <c r="T27" i="32"/>
  <c r="J89" i="24"/>
  <c r="J83" i="24"/>
  <c r="J69" i="24"/>
  <c r="J63" i="24"/>
  <c r="J57" i="24"/>
  <c r="J45" i="24"/>
  <c r="J35" i="24"/>
  <c r="J80" i="24"/>
  <c r="J72" i="24"/>
  <c r="J66" i="24"/>
  <c r="J54" i="24"/>
  <c r="J42" i="24"/>
  <c r="J34" i="24"/>
  <c r="J94" i="24"/>
  <c r="J87" i="24"/>
  <c r="J75" i="24"/>
  <c r="J59" i="24"/>
  <c r="J53" i="24"/>
  <c r="J49" i="24"/>
  <c r="H42" i="24"/>
  <c r="L42" i="24" s="1"/>
  <c r="J33" i="24"/>
  <c r="J82" i="24"/>
  <c r="J68" i="24"/>
  <c r="J62" i="24"/>
  <c r="J56" i="24"/>
  <c r="J52" i="24"/>
  <c r="J48" i="24"/>
  <c r="J40" i="24"/>
  <c r="J32" i="24"/>
  <c r="J79" i="24"/>
  <c r="J71" i="24"/>
  <c r="J65" i="24"/>
  <c r="J51" i="24"/>
  <c r="J47" i="24"/>
  <c r="J39" i="24"/>
  <c r="J31" i="24"/>
  <c r="J78" i="24"/>
  <c r="J74" i="24"/>
  <c r="J70" i="24"/>
  <c r="J58" i="24"/>
  <c r="J46" i="24"/>
  <c r="J44" i="24"/>
  <c r="J38" i="24"/>
  <c r="J91" i="24"/>
  <c r="J85" i="24"/>
  <c r="J81" i="24"/>
  <c r="J77" i="24"/>
  <c r="J73" i="24"/>
  <c r="J67" i="24"/>
  <c r="J61" i="24"/>
  <c r="J55" i="24"/>
  <c r="J37" i="24"/>
  <c r="J76" i="24"/>
  <c r="J64" i="24"/>
  <c r="J60" i="24"/>
  <c r="J50" i="24"/>
  <c r="J36" i="24"/>
  <c r="J30" i="24"/>
  <c r="N12" i="24"/>
  <c r="L27" i="19"/>
  <c r="D31" i="19"/>
  <c r="N31" i="19"/>
  <c r="H36" i="19"/>
  <c r="N36" i="19" s="1"/>
  <c r="X18" i="17"/>
  <c r="V224" i="12"/>
  <c r="V218" i="12"/>
  <c r="V214" i="12"/>
  <c r="V202" i="12"/>
  <c r="V198" i="12"/>
  <c r="V194" i="12"/>
  <c r="V190" i="12"/>
  <c r="V186" i="12"/>
  <c r="V178" i="12"/>
  <c r="V170" i="12"/>
  <c r="V166" i="12"/>
  <c r="V158" i="12"/>
  <c r="V154" i="12"/>
  <c r="V146" i="12"/>
  <c r="V134" i="12"/>
  <c r="V118" i="12"/>
  <c r="V110" i="12"/>
  <c r="V102" i="12"/>
  <c r="V94" i="12"/>
  <c r="V86" i="12"/>
  <c r="V217" i="12"/>
  <c r="V213" i="12"/>
  <c r="V201" i="12"/>
  <c r="V197" i="12"/>
  <c r="V193" i="12"/>
  <c r="V189" i="12"/>
  <c r="V185" i="12"/>
  <c r="V181" i="12"/>
  <c r="V169" i="12"/>
  <c r="V161" i="12"/>
  <c r="V157" i="12"/>
  <c r="V149" i="12"/>
  <c r="V145" i="12"/>
  <c r="V133" i="12"/>
  <c r="V117" i="12"/>
  <c r="V109" i="12"/>
  <c r="V101" i="12"/>
  <c r="V93" i="12"/>
  <c r="V85" i="12"/>
  <c r="V222" i="12"/>
  <c r="V200" i="12"/>
  <c r="V192" i="12"/>
  <c r="V188" i="12"/>
  <c r="V184" i="12"/>
  <c r="V180" i="12"/>
  <c r="V172" i="12"/>
  <c r="V160" i="12"/>
  <c r="V148" i="12"/>
  <c r="V144" i="12"/>
  <c r="V132" i="12"/>
  <c r="V128" i="12"/>
  <c r="V124" i="12"/>
  <c r="V116" i="12"/>
  <c r="V108" i="12"/>
  <c r="V100" i="12"/>
  <c r="V92" i="12"/>
  <c r="V84" i="12"/>
  <c r="V207" i="12"/>
  <c r="V191" i="12"/>
  <c r="V187" i="12"/>
  <c r="V183" i="12"/>
  <c r="V171" i="12"/>
  <c r="V163" i="12"/>
  <c r="V151" i="12"/>
  <c r="V143" i="12"/>
  <c r="V139" i="12"/>
  <c r="V131" i="12"/>
  <c r="V123" i="12"/>
  <c r="V115" i="12"/>
  <c r="V107" i="12"/>
  <c r="V99" i="12"/>
  <c r="V91" i="12"/>
  <c r="V83" i="12"/>
  <c r="V228" i="12"/>
  <c r="V220" i="12"/>
  <c r="V210" i="12"/>
  <c r="V206" i="12"/>
  <c r="V182" i="12"/>
  <c r="V174" i="12"/>
  <c r="V162" i="12"/>
  <c r="V150" i="12"/>
  <c r="V142" i="12"/>
  <c r="V138" i="12"/>
  <c r="V130" i="12"/>
  <c r="V122" i="12"/>
  <c r="V114" i="12"/>
  <c r="V106" i="12"/>
  <c r="V98" i="12"/>
  <c r="V90" i="12"/>
  <c r="V82" i="12"/>
  <c r="V223" i="12"/>
  <c r="V209" i="12"/>
  <c r="V205" i="12"/>
  <c r="V177" i="12"/>
  <c r="V173" i="12"/>
  <c r="V165" i="12"/>
  <c r="V153" i="12"/>
  <c r="V141" i="12"/>
  <c r="V137" i="12"/>
  <c r="V129" i="12"/>
  <c r="V121" i="12"/>
  <c r="V113" i="12"/>
  <c r="V105" i="12"/>
  <c r="V97" i="12"/>
  <c r="V89" i="12"/>
  <c r="V216" i="12"/>
  <c r="V212" i="12"/>
  <c r="V208" i="12"/>
  <c r="V204" i="12"/>
  <c r="V196" i="12"/>
  <c r="V176" i="12"/>
  <c r="V168" i="12"/>
  <c r="V164" i="12"/>
  <c r="V156" i="12"/>
  <c r="V152" i="12"/>
  <c r="V140" i="12"/>
  <c r="V136" i="12"/>
  <c r="V120" i="12"/>
  <c r="V112" i="12"/>
  <c r="V104" i="12"/>
  <c r="V96" i="12"/>
  <c r="V88" i="12"/>
  <c r="T126" i="12"/>
  <c r="V126" i="12" s="1"/>
  <c r="V95" i="12"/>
  <c r="V87" i="12"/>
  <c r="V221" i="12"/>
  <c r="V203" i="12"/>
  <c r="V167" i="12"/>
  <c r="V195" i="12"/>
  <c r="V215" i="12"/>
  <c r="V211" i="12"/>
  <c r="V119" i="12"/>
  <c r="V199" i="12"/>
  <c r="V135" i="12"/>
  <c r="V103" i="12"/>
  <c r="V179" i="12"/>
  <c r="V175" i="12"/>
  <c r="V159" i="12"/>
  <c r="V147" i="12"/>
  <c r="V111" i="12"/>
  <c r="V155" i="12"/>
  <c r="L16" i="9"/>
  <c r="D89" i="9"/>
  <c r="R215" i="12"/>
  <c r="R208" i="12"/>
  <c r="R203" i="12"/>
  <c r="R199" i="12"/>
  <c r="R195" i="12"/>
  <c r="R179" i="12"/>
  <c r="R167" i="12"/>
  <c r="R164" i="12"/>
  <c r="R159" i="12"/>
  <c r="R155" i="12"/>
  <c r="R152" i="12"/>
  <c r="R147" i="12"/>
  <c r="R140" i="12"/>
  <c r="R135" i="12"/>
  <c r="R119" i="12"/>
  <c r="R111" i="12"/>
  <c r="R103" i="12"/>
  <c r="R95" i="12"/>
  <c r="R87" i="12"/>
  <c r="R221" i="12"/>
  <c r="R218" i="12"/>
  <c r="R214" i="12"/>
  <c r="R211" i="12"/>
  <c r="R202" i="12"/>
  <c r="R198" i="12"/>
  <c r="R194" i="12"/>
  <c r="R190" i="12"/>
  <c r="R186" i="12"/>
  <c r="R175" i="12"/>
  <c r="R170" i="12"/>
  <c r="R158" i="12"/>
  <c r="R146" i="12"/>
  <c r="R134" i="12"/>
  <c r="P126" i="12"/>
  <c r="R126" i="12" s="1"/>
  <c r="R118" i="12"/>
  <c r="R110" i="12"/>
  <c r="R102" i="12"/>
  <c r="R94" i="12"/>
  <c r="R86" i="12"/>
  <c r="R224" i="12"/>
  <c r="R201" i="12"/>
  <c r="R193" i="12"/>
  <c r="R189" i="12"/>
  <c r="R185" i="12"/>
  <c r="R181" i="12"/>
  <c r="R178" i="12"/>
  <c r="R166" i="12"/>
  <c r="R161" i="12"/>
  <c r="R154" i="12"/>
  <c r="R149" i="12"/>
  <c r="R145" i="12"/>
  <c r="R133" i="12"/>
  <c r="R117" i="12"/>
  <c r="R109" i="12"/>
  <c r="R101" i="12"/>
  <c r="R93" i="12"/>
  <c r="R85" i="12"/>
  <c r="R217" i="12"/>
  <c r="R213" i="12"/>
  <c r="R197" i="12"/>
  <c r="R192" i="12"/>
  <c r="R188" i="12"/>
  <c r="R184" i="12"/>
  <c r="R172" i="12"/>
  <c r="R169" i="12"/>
  <c r="R157" i="12"/>
  <c r="R144" i="12"/>
  <c r="R132" i="12"/>
  <c r="R124" i="12"/>
  <c r="R116" i="12"/>
  <c r="R108" i="12"/>
  <c r="R100" i="12"/>
  <c r="R92" i="12"/>
  <c r="R84" i="12"/>
  <c r="X12" i="12"/>
  <c r="Z12" i="12" s="1"/>
  <c r="R222" i="12"/>
  <c r="R207" i="12"/>
  <c r="R200" i="12"/>
  <c r="R183" i="12"/>
  <c r="R180" i="12"/>
  <c r="R163" i="12"/>
  <c r="R160" i="12"/>
  <c r="R151" i="12"/>
  <c r="R148" i="12"/>
  <c r="R143" i="12"/>
  <c r="R139" i="12"/>
  <c r="R131" i="12"/>
  <c r="R128" i="12"/>
  <c r="R123" i="12"/>
  <c r="R115" i="12"/>
  <c r="R107" i="12"/>
  <c r="R99" i="12"/>
  <c r="R91" i="12"/>
  <c r="R83" i="12"/>
  <c r="R228" i="12"/>
  <c r="R210" i="12"/>
  <c r="R206" i="12"/>
  <c r="R191" i="12"/>
  <c r="R187" i="12"/>
  <c r="R174" i="12"/>
  <c r="R171" i="12"/>
  <c r="R142" i="12"/>
  <c r="R138" i="12"/>
  <c r="R130" i="12"/>
  <c r="R122" i="12"/>
  <c r="R114" i="12"/>
  <c r="R106" i="12"/>
  <c r="R98" i="12"/>
  <c r="R90" i="12"/>
  <c r="R220" i="12"/>
  <c r="R209" i="12"/>
  <c r="R205" i="12"/>
  <c r="R182" i="12"/>
  <c r="R177" i="12"/>
  <c r="R165" i="12"/>
  <c r="R162" i="12"/>
  <c r="R153" i="12"/>
  <c r="R150" i="12"/>
  <c r="R141" i="12"/>
  <c r="R137" i="12"/>
  <c r="R121" i="12"/>
  <c r="R113" i="12"/>
  <c r="R105" i="12"/>
  <c r="R97" i="12"/>
  <c r="R89" i="12"/>
  <c r="R82" i="12"/>
  <c r="R176" i="12"/>
  <c r="R173" i="12"/>
  <c r="R112" i="12"/>
  <c r="R156" i="12"/>
  <c r="R120" i="12"/>
  <c r="R88" i="12"/>
  <c r="R96" i="12"/>
  <c r="R223" i="12"/>
  <c r="R204" i="12"/>
  <c r="R168" i="12"/>
  <c r="R196" i="12"/>
  <c r="R216" i="12"/>
  <c r="R212" i="12"/>
  <c r="R136" i="12"/>
  <c r="R129" i="12"/>
  <c r="R104" i="12"/>
  <c r="T27" i="5"/>
  <c r="Z18" i="5"/>
  <c r="L18" i="8"/>
  <c r="D27" i="8"/>
  <c r="D27" i="7"/>
  <c r="L18" i="7"/>
  <c r="X18" i="7"/>
  <c r="P27" i="7"/>
  <c r="Z251" i="3"/>
  <c r="N251" i="3"/>
  <c r="L16" i="96"/>
  <c r="D24" i="96"/>
  <c r="H25" i="87"/>
  <c r="V79" i="70"/>
  <c r="V53" i="70"/>
  <c r="V45" i="70"/>
  <c r="V41" i="70"/>
  <c r="V37" i="70"/>
  <c r="T28" i="70"/>
  <c r="V67" i="70"/>
  <c r="V59" i="70"/>
  <c r="V55" i="70"/>
  <c r="V47" i="70"/>
  <c r="V35" i="70"/>
  <c r="V70" i="70"/>
  <c r="V66" i="70"/>
  <c r="V62" i="70"/>
  <c r="V58" i="70"/>
  <c r="V46" i="70"/>
  <c r="V34" i="70"/>
  <c r="V30" i="70"/>
  <c r="V26" i="70"/>
  <c r="V75" i="70"/>
  <c r="V69" i="70"/>
  <c r="V65" i="70"/>
  <c r="V61" i="70"/>
  <c r="V57" i="70"/>
  <c r="V49" i="70"/>
  <c r="V33" i="70"/>
  <c r="V25" i="70"/>
  <c r="V72" i="70"/>
  <c r="V64" i="70"/>
  <c r="V48" i="70"/>
  <c r="V71" i="70"/>
  <c r="V63" i="70"/>
  <c r="V51" i="70"/>
  <c r="V43" i="70"/>
  <c r="V39" i="70"/>
  <c r="V31" i="70"/>
  <c r="V36" i="70"/>
  <c r="V68" i="70"/>
  <c r="V50" i="70"/>
  <c r="V42" i="70"/>
  <c r="V28" i="70"/>
  <c r="V54" i="70"/>
  <c r="V44" i="70"/>
  <c r="V38" i="70"/>
  <c r="V56" i="70"/>
  <c r="V52" i="70"/>
  <c r="V32" i="70"/>
  <c r="Z12" i="70"/>
  <c r="V74" i="70"/>
  <c r="V60" i="70"/>
  <c r="V40" i="70"/>
  <c r="D54" i="59"/>
  <c r="L16" i="59"/>
  <c r="H54" i="59"/>
  <c r="N16" i="59"/>
  <c r="N97" i="42"/>
  <c r="X18" i="37"/>
  <c r="P27" i="37"/>
  <c r="X18" i="29"/>
  <c r="P27" i="29"/>
  <c r="R161" i="30"/>
  <c r="R151" i="30"/>
  <c r="R148" i="30"/>
  <c r="R139" i="30"/>
  <c r="R135" i="30"/>
  <c r="R156" i="30"/>
  <c r="R157" i="30"/>
  <c r="R146" i="30"/>
  <c r="R138" i="30"/>
  <c r="R134" i="30"/>
  <c r="R130" i="30"/>
  <c r="R155" i="30"/>
  <c r="R144" i="30"/>
  <c r="R140" i="30"/>
  <c r="R136" i="30"/>
  <c r="R120" i="30"/>
  <c r="R145" i="30"/>
  <c r="R137" i="30"/>
  <c r="R119" i="30"/>
  <c r="R107" i="30"/>
  <c r="R102" i="30"/>
  <c r="R98" i="30"/>
  <c r="R94" i="30"/>
  <c r="R78" i="30"/>
  <c r="R70" i="30"/>
  <c r="R62" i="30"/>
  <c r="R113" i="30"/>
  <c r="R110" i="30"/>
  <c r="R97" i="30"/>
  <c r="R93" i="30"/>
  <c r="R86" i="30"/>
  <c r="R77" i="30"/>
  <c r="R69" i="30"/>
  <c r="R61" i="30"/>
  <c r="R133" i="30"/>
  <c r="R132" i="30"/>
  <c r="R116" i="30"/>
  <c r="R104" i="30"/>
  <c r="R101" i="30"/>
  <c r="R96" i="30"/>
  <c r="R92" i="30"/>
  <c r="R76" i="30"/>
  <c r="R68" i="30"/>
  <c r="R60" i="30"/>
  <c r="X12" i="30"/>
  <c r="Z12" i="30" s="1"/>
  <c r="R129" i="30"/>
  <c r="R125" i="30"/>
  <c r="R115" i="30"/>
  <c r="R112" i="30"/>
  <c r="R91" i="30"/>
  <c r="P83" i="30"/>
  <c r="R75" i="30"/>
  <c r="R67" i="30"/>
  <c r="R59" i="30"/>
  <c r="R150" i="30"/>
  <c r="R149" i="30"/>
  <c r="R147" i="30"/>
  <c r="R143" i="30"/>
  <c r="R142" i="30"/>
  <c r="R128" i="30"/>
  <c r="R124" i="30"/>
  <c r="R118" i="30"/>
  <c r="R106" i="30"/>
  <c r="R103" i="30"/>
  <c r="R95" i="30"/>
  <c r="R90" i="30"/>
  <c r="R74" i="30"/>
  <c r="R66" i="30"/>
  <c r="R58" i="30"/>
  <c r="R141" i="30"/>
  <c r="R131" i="30"/>
  <c r="R114" i="30"/>
  <c r="R109" i="30"/>
  <c r="R89" i="30"/>
  <c r="R81" i="30"/>
  <c r="R73" i="30"/>
  <c r="R65" i="30"/>
  <c r="R57" i="30"/>
  <c r="R153" i="30"/>
  <c r="R152" i="30"/>
  <c r="R123" i="30"/>
  <c r="R117" i="30"/>
  <c r="R108" i="30"/>
  <c r="R105" i="30"/>
  <c r="R100" i="30"/>
  <c r="R88" i="30"/>
  <c r="R85" i="30"/>
  <c r="R80" i="30"/>
  <c r="R72" i="30"/>
  <c r="R64" i="30"/>
  <c r="R127" i="30"/>
  <c r="R126" i="30"/>
  <c r="R122" i="30"/>
  <c r="R121" i="30"/>
  <c r="R111" i="30"/>
  <c r="R99" i="30"/>
  <c r="R87" i="30"/>
  <c r="R79" i="30"/>
  <c r="R71" i="30"/>
  <c r="R63" i="30"/>
  <c r="R56" i="30"/>
  <c r="X18" i="10"/>
  <c r="P27" i="10"/>
  <c r="L27" i="99"/>
  <c r="D31" i="99"/>
  <c r="T27" i="98"/>
  <c r="Z18" i="98"/>
  <c r="Z16" i="96"/>
  <c r="T24" i="96"/>
  <c r="X24" i="96" s="1"/>
  <c r="J48" i="97"/>
  <c r="J42" i="97"/>
  <c r="J57" i="97"/>
  <c r="J51" i="97"/>
  <c r="J45" i="97"/>
  <c r="J39" i="97"/>
  <c r="J60" i="97"/>
  <c r="J54" i="97"/>
  <c r="J36" i="97"/>
  <c r="J30" i="97"/>
  <c r="J53" i="97"/>
  <c r="J49" i="97"/>
  <c r="J33" i="97"/>
  <c r="J59" i="97"/>
  <c r="J55" i="97"/>
  <c r="J43" i="97"/>
  <c r="J37" i="97"/>
  <c r="J31" i="97"/>
  <c r="J41" i="97"/>
  <c r="J40" i="97"/>
  <c r="J28" i="97"/>
  <c r="J20" i="97"/>
  <c r="J56" i="97"/>
  <c r="J35" i="97"/>
  <c r="J29" i="97"/>
  <c r="J27" i="97"/>
  <c r="J26" i="97"/>
  <c r="J17" i="97"/>
  <c r="J64" i="97"/>
  <c r="J25" i="97"/>
  <c r="J24" i="97"/>
  <c r="H17" i="97"/>
  <c r="L17" i="97" s="1"/>
  <c r="J44" i="97"/>
  <c r="J23" i="97"/>
  <c r="J50" i="97"/>
  <c r="J46" i="97"/>
  <c r="J32" i="97"/>
  <c r="J22" i="97"/>
  <c r="J47" i="97"/>
  <c r="J38" i="97"/>
  <c r="J21" i="97"/>
  <c r="J19" i="97"/>
  <c r="J15" i="97"/>
  <c r="J52" i="97"/>
  <c r="N12" i="97"/>
  <c r="L12" i="97"/>
  <c r="J34" i="97"/>
  <c r="Z31" i="99"/>
  <c r="T36" i="99"/>
  <c r="Z36" i="99" s="1"/>
  <c r="V77" i="94"/>
  <c r="V73" i="94"/>
  <c r="V65" i="94"/>
  <c r="V57" i="94"/>
  <c r="V49" i="94"/>
  <c r="V41" i="94"/>
  <c r="V86" i="94"/>
  <c r="V80" i="94"/>
  <c r="V72" i="94"/>
  <c r="V64" i="94"/>
  <c r="V60" i="94"/>
  <c r="V56" i="94"/>
  <c r="V48" i="94"/>
  <c r="V40" i="94"/>
  <c r="V79" i="94"/>
  <c r="V71" i="94"/>
  <c r="V67" i="94"/>
  <c r="V63" i="94"/>
  <c r="V59" i="94"/>
  <c r="V51" i="94"/>
  <c r="V43" i="94"/>
  <c r="V70" i="94"/>
  <c r="V66" i="94"/>
  <c r="V62" i="94"/>
  <c r="V58" i="94"/>
  <c r="V50" i="94"/>
  <c r="V82" i="94"/>
  <c r="V76" i="94"/>
  <c r="V68" i="94"/>
  <c r="V52" i="94"/>
  <c r="V44" i="94"/>
  <c r="V75" i="94"/>
  <c r="V54" i="94"/>
  <c r="V33" i="94"/>
  <c r="V25" i="94"/>
  <c r="V17" i="94"/>
  <c r="V39" i="94"/>
  <c r="V35" i="94"/>
  <c r="V31" i="94"/>
  <c r="V78" i="94"/>
  <c r="V69" i="94"/>
  <c r="V55" i="94"/>
  <c r="V34" i="94"/>
  <c r="V30" i="94"/>
  <c r="T21" i="94"/>
  <c r="V21" i="94" s="1"/>
  <c r="V29" i="94"/>
  <c r="V74" i="94"/>
  <c r="V46" i="94"/>
  <c r="V27" i="94"/>
  <c r="V23" i="94"/>
  <c r="V19" i="94"/>
  <c r="V53" i="94"/>
  <c r="V45" i="94"/>
  <c r="V61" i="94"/>
  <c r="V38" i="94"/>
  <c r="V28" i="94"/>
  <c r="Z12" i="94"/>
  <c r="V26" i="94"/>
  <c r="V47" i="94"/>
  <c r="V36" i="94"/>
  <c r="V32" i="94"/>
  <c r="V42" i="94"/>
  <c r="V24" i="94"/>
  <c r="V18" i="94"/>
  <c r="V37" i="94"/>
  <c r="T79" i="92"/>
  <c r="V21" i="92"/>
  <c r="N29" i="88"/>
  <c r="L29" i="88"/>
  <c r="T30" i="89"/>
  <c r="Z16" i="89"/>
  <c r="L17" i="86"/>
  <c r="D66" i="86"/>
  <c r="P32" i="80"/>
  <c r="X16" i="80"/>
  <c r="T45" i="83"/>
  <c r="H34" i="84"/>
  <c r="N17" i="84"/>
  <c r="X16" i="82"/>
  <c r="P33" i="82"/>
  <c r="J95" i="77"/>
  <c r="J106" i="77"/>
  <c r="J102" i="77"/>
  <c r="J99" i="77"/>
  <c r="J91" i="77"/>
  <c r="J87" i="77"/>
  <c r="J83" i="77"/>
  <c r="J75" i="77"/>
  <c r="J67" i="77"/>
  <c r="J59" i="77"/>
  <c r="J53" i="77"/>
  <c r="J45" i="77"/>
  <c r="J110" i="77"/>
  <c r="J104" i="77"/>
  <c r="J94" i="77"/>
  <c r="J80" i="77"/>
  <c r="J72" i="77"/>
  <c r="J64" i="77"/>
  <c r="J52" i="77"/>
  <c r="J44" i="77"/>
  <c r="J38" i="77"/>
  <c r="N12" i="77"/>
  <c r="J101" i="77"/>
  <c r="J77" i="77"/>
  <c r="J69" i="77"/>
  <c r="J63" i="77"/>
  <c r="J51" i="77"/>
  <c r="J49" i="77"/>
  <c r="J43" i="77"/>
  <c r="J98" i="77"/>
  <c r="J90" i="77"/>
  <c r="J86" i="77"/>
  <c r="J82" i="77"/>
  <c r="J74" i="77"/>
  <c r="J66" i="77"/>
  <c r="J62" i="77"/>
  <c r="J58" i="77"/>
  <c r="J42" i="77"/>
  <c r="J103" i="77"/>
  <c r="J97" i="77"/>
  <c r="J93" i="77"/>
  <c r="J89" i="77"/>
  <c r="J85" i="77"/>
  <c r="J79" i="77"/>
  <c r="J71" i="77"/>
  <c r="J61" i="77"/>
  <c r="J57" i="77"/>
  <c r="J41" i="77"/>
  <c r="J78" i="77"/>
  <c r="J73" i="77"/>
  <c r="H47" i="77"/>
  <c r="J47" i="77" s="1"/>
  <c r="J54" i="77"/>
  <c r="J81" i="77"/>
  <c r="J68" i="77"/>
  <c r="J50" i="77"/>
  <c r="J55" i="77"/>
  <c r="J39" i="77"/>
  <c r="J100" i="77"/>
  <c r="J96" i="77"/>
  <c r="J76" i="77"/>
  <c r="J40" i="77"/>
  <c r="J92" i="77"/>
  <c r="J88" i="77"/>
  <c r="J60" i="77"/>
  <c r="J56" i="77"/>
  <c r="J84" i="77"/>
  <c r="J70" i="77"/>
  <c r="J65" i="77"/>
  <c r="F20" i="76"/>
  <c r="H29" i="75"/>
  <c r="F88" i="71"/>
  <c r="F85" i="71"/>
  <c r="F81" i="71"/>
  <c r="F65" i="71"/>
  <c r="F61" i="71"/>
  <c r="F52" i="71"/>
  <c r="F45" i="71"/>
  <c r="F37" i="71"/>
  <c r="F93" i="71"/>
  <c r="F84" i="71"/>
  <c r="F75" i="71"/>
  <c r="F72" i="71"/>
  <c r="F64" i="71"/>
  <c r="F60" i="71"/>
  <c r="F44" i="71"/>
  <c r="F36" i="71"/>
  <c r="F87" i="71"/>
  <c r="F83" i="71"/>
  <c r="F78" i="71"/>
  <c r="F59" i="71"/>
  <c r="F43" i="71"/>
  <c r="F91" i="71"/>
  <c r="F74" i="71"/>
  <c r="F69" i="71"/>
  <c r="F58" i="71"/>
  <c r="F53" i="71"/>
  <c r="F42" i="71"/>
  <c r="F94" i="71"/>
  <c r="F89" i="71"/>
  <c r="F80" i="71"/>
  <c r="F77" i="71"/>
  <c r="F57" i="71"/>
  <c r="F41" i="71"/>
  <c r="F98" i="71"/>
  <c r="F76" i="71"/>
  <c r="F71" i="71"/>
  <c r="F68" i="71"/>
  <c r="F63" i="71"/>
  <c r="F56" i="71"/>
  <c r="D50" i="71"/>
  <c r="F48" i="71"/>
  <c r="F40" i="71"/>
  <c r="F35" i="71"/>
  <c r="F92" i="71"/>
  <c r="F86" i="71"/>
  <c r="F82" i="71"/>
  <c r="F79" i="71"/>
  <c r="F67" i="71"/>
  <c r="F55" i="71"/>
  <c r="F47" i="71"/>
  <c r="F39" i="71"/>
  <c r="F73" i="71"/>
  <c r="F70" i="71"/>
  <c r="F66" i="71"/>
  <c r="F62" i="71"/>
  <c r="F54" i="71"/>
  <c r="F46" i="71"/>
  <c r="F38" i="71"/>
  <c r="L12" i="71"/>
  <c r="N12" i="71" s="1"/>
  <c r="L91" i="71"/>
  <c r="N91" i="71" s="1"/>
  <c r="R47" i="77"/>
  <c r="X91" i="71"/>
  <c r="Z91" i="71" s="1"/>
  <c r="H66" i="73"/>
  <c r="L137" i="69"/>
  <c r="N137" i="69" s="1"/>
  <c r="R137" i="69"/>
  <c r="F57" i="66"/>
  <c r="T98" i="62"/>
  <c r="Z17" i="62"/>
  <c r="X17" i="62"/>
  <c r="H38" i="65"/>
  <c r="N16" i="65"/>
  <c r="D46" i="60"/>
  <c r="L16" i="60"/>
  <c r="P63" i="56"/>
  <c r="X16" i="56"/>
  <c r="P98" i="62"/>
  <c r="H37" i="55"/>
  <c r="L61" i="57"/>
  <c r="N61" i="57" s="1"/>
  <c r="P61" i="57"/>
  <c r="X16" i="57"/>
  <c r="T31" i="52"/>
  <c r="Z27" i="52"/>
  <c r="D31" i="50"/>
  <c r="X18" i="49"/>
  <c r="D31" i="52"/>
  <c r="R91" i="51"/>
  <c r="R84" i="51"/>
  <c r="R72" i="51"/>
  <c r="R69" i="51"/>
  <c r="R64" i="51"/>
  <c r="R60" i="51"/>
  <c r="R53" i="51"/>
  <c r="R44" i="51"/>
  <c r="R36" i="51"/>
  <c r="X12" i="51"/>
  <c r="Z12" i="51" s="1"/>
  <c r="R94" i="51"/>
  <c r="R87" i="51"/>
  <c r="R83" i="51"/>
  <c r="R80" i="51"/>
  <c r="R59" i="51"/>
  <c r="R50" i="51"/>
  <c r="R43" i="51"/>
  <c r="R74" i="51"/>
  <c r="R71" i="51"/>
  <c r="R63" i="51"/>
  <c r="R58" i="51"/>
  <c r="P50" i="51"/>
  <c r="R42" i="51"/>
  <c r="R35" i="51"/>
  <c r="R92" i="51"/>
  <c r="R89" i="51"/>
  <c r="R86" i="51"/>
  <c r="R82" i="51"/>
  <c r="R77" i="51"/>
  <c r="R57" i="51"/>
  <c r="R41" i="51"/>
  <c r="R88" i="51"/>
  <c r="R79" i="51"/>
  <c r="R67" i="51"/>
  <c r="R55" i="51"/>
  <c r="R52" i="51"/>
  <c r="R47" i="51"/>
  <c r="R39" i="51"/>
  <c r="R93" i="51"/>
  <c r="R75" i="51"/>
  <c r="R70" i="51"/>
  <c r="R66" i="51"/>
  <c r="R62" i="51"/>
  <c r="R54" i="51"/>
  <c r="R46" i="51"/>
  <c r="R38" i="51"/>
  <c r="R65" i="51"/>
  <c r="R78" i="51"/>
  <c r="R98" i="51"/>
  <c r="R76" i="51"/>
  <c r="R48" i="51"/>
  <c r="R45" i="51"/>
  <c r="R85" i="51"/>
  <c r="R81" i="51"/>
  <c r="R40" i="51"/>
  <c r="R37" i="51"/>
  <c r="R73" i="51"/>
  <c r="R61" i="51"/>
  <c r="R56" i="51"/>
  <c r="R68" i="51"/>
  <c r="X18" i="46"/>
  <c r="P27" i="46"/>
  <c r="J59" i="48"/>
  <c r="F21" i="45"/>
  <c r="L106" i="39"/>
  <c r="N106" i="39" s="1"/>
  <c r="V83" i="30"/>
  <c r="L27" i="37"/>
  <c r="D31" i="37"/>
  <c r="L76" i="33"/>
  <c r="N76" i="33" s="1"/>
  <c r="L18" i="25"/>
  <c r="D27" i="25"/>
  <c r="D36" i="38"/>
  <c r="V76" i="33"/>
  <c r="X18" i="26"/>
  <c r="P27" i="26"/>
  <c r="J152" i="30"/>
  <c r="J157" i="30"/>
  <c r="J149" i="30"/>
  <c r="J145" i="30"/>
  <c r="J141" i="30"/>
  <c r="J137" i="30"/>
  <c r="J133" i="30"/>
  <c r="J161" i="30"/>
  <c r="J155" i="30"/>
  <c r="J151" i="30"/>
  <c r="J143" i="30"/>
  <c r="J153" i="30"/>
  <c r="J139" i="30"/>
  <c r="J135" i="30"/>
  <c r="J125" i="30"/>
  <c r="J147" i="30"/>
  <c r="J131" i="30"/>
  <c r="J127" i="30"/>
  <c r="J121" i="30"/>
  <c r="J128" i="30"/>
  <c r="J109" i="30"/>
  <c r="J103" i="30"/>
  <c r="J95" i="30"/>
  <c r="J89" i="30"/>
  <c r="J81" i="30"/>
  <c r="J73" i="30"/>
  <c r="J65" i="30"/>
  <c r="J57" i="30"/>
  <c r="J144" i="30"/>
  <c r="J136" i="30"/>
  <c r="J123" i="30"/>
  <c r="J114" i="30"/>
  <c r="J108" i="30"/>
  <c r="J100" i="30"/>
  <c r="J88" i="30"/>
  <c r="J80" i="30"/>
  <c r="J72" i="30"/>
  <c r="J64" i="30"/>
  <c r="J122" i="30"/>
  <c r="J117" i="30"/>
  <c r="J111" i="30"/>
  <c r="J105" i="30"/>
  <c r="J99" i="30"/>
  <c r="J87" i="30"/>
  <c r="J85" i="30"/>
  <c r="J79" i="30"/>
  <c r="J71" i="30"/>
  <c r="J63" i="30"/>
  <c r="J126" i="30"/>
  <c r="J120" i="30"/>
  <c r="J102" i="30"/>
  <c r="J98" i="30"/>
  <c r="J94" i="30"/>
  <c r="J78" i="30"/>
  <c r="J70" i="30"/>
  <c r="J62" i="30"/>
  <c r="J56" i="30"/>
  <c r="J156" i="30"/>
  <c r="J119" i="30"/>
  <c r="J113" i="30"/>
  <c r="J107" i="30"/>
  <c r="J97" i="30"/>
  <c r="J93" i="30"/>
  <c r="J77" i="30"/>
  <c r="J69" i="30"/>
  <c r="J61" i="30"/>
  <c r="J146" i="30"/>
  <c r="J138" i="30"/>
  <c r="J116" i="30"/>
  <c r="J110" i="30"/>
  <c r="J104" i="30"/>
  <c r="J96" i="30"/>
  <c r="J92" i="30"/>
  <c r="J86" i="30"/>
  <c r="J76" i="30"/>
  <c r="J68" i="30"/>
  <c r="J60" i="30"/>
  <c r="N12" i="30"/>
  <c r="J148" i="30"/>
  <c r="J132" i="30"/>
  <c r="J129" i="30"/>
  <c r="J115" i="30"/>
  <c r="J101" i="30"/>
  <c r="J91" i="30"/>
  <c r="J83" i="30"/>
  <c r="J75" i="30"/>
  <c r="J67" i="30"/>
  <c r="J59" i="30"/>
  <c r="J150" i="30"/>
  <c r="J142" i="30"/>
  <c r="J140" i="30"/>
  <c r="J134" i="30"/>
  <c r="J130" i="30"/>
  <c r="J124" i="30"/>
  <c r="J118" i="30"/>
  <c r="J112" i="30"/>
  <c r="J106" i="30"/>
  <c r="J90" i="30"/>
  <c r="H83" i="30"/>
  <c r="L83" i="30" s="1"/>
  <c r="J74" i="30"/>
  <c r="J66" i="30"/>
  <c r="J58" i="30"/>
  <c r="Z18" i="23"/>
  <c r="T27" i="23"/>
  <c r="P27" i="23"/>
  <c r="X18" i="23"/>
  <c r="L12" i="24"/>
  <c r="X18" i="16"/>
  <c r="P27" i="16"/>
  <c r="H27" i="22"/>
  <c r="N18" i="22"/>
  <c r="F144" i="18"/>
  <c r="R57" i="27"/>
  <c r="P31" i="17"/>
  <c r="N31" i="23"/>
  <c r="H36" i="23"/>
  <c r="N36" i="23" s="1"/>
  <c r="D86" i="21"/>
  <c r="L27" i="21"/>
  <c r="N27" i="21" s="1"/>
  <c r="N212" i="15"/>
  <c r="X220" i="12"/>
  <c r="Z220" i="12" s="1"/>
  <c r="H27" i="8"/>
  <c r="N18" i="8"/>
  <c r="L18" i="5"/>
  <c r="D27" i="5"/>
  <c r="F215" i="15"/>
  <c r="F213" i="15"/>
  <c r="F203" i="15"/>
  <c r="F220" i="15"/>
  <c r="F214" i="15"/>
  <c r="F208" i="15"/>
  <c r="F204" i="15"/>
  <c r="F212" i="15"/>
  <c r="F207" i="15"/>
  <c r="F209" i="15"/>
  <c r="F176" i="15"/>
  <c r="F171" i="15"/>
  <c r="F159" i="15"/>
  <c r="F156" i="15"/>
  <c r="F147" i="15"/>
  <c r="F144" i="15"/>
  <c r="F140" i="15"/>
  <c r="F135" i="15"/>
  <c r="F128" i="15"/>
  <c r="F112" i="15"/>
  <c r="F104" i="15"/>
  <c r="F96" i="15"/>
  <c r="F88" i="15"/>
  <c r="F80" i="15"/>
  <c r="F199" i="15"/>
  <c r="F167" i="15"/>
  <c r="F139" i="15"/>
  <c r="F127" i="15"/>
  <c r="D121" i="15"/>
  <c r="F119" i="15"/>
  <c r="F111" i="15"/>
  <c r="F103" i="15"/>
  <c r="F95" i="15"/>
  <c r="F87" i="15"/>
  <c r="F198" i="15"/>
  <c r="F189" i="15"/>
  <c r="F173" i="15"/>
  <c r="F170" i="15"/>
  <c r="F161" i="15"/>
  <c r="F158" i="15"/>
  <c r="F149" i="15"/>
  <c r="F146" i="15"/>
  <c r="F138" i="15"/>
  <c r="F134" i="15"/>
  <c r="F126" i="15"/>
  <c r="F118" i="15"/>
  <c r="F110" i="15"/>
  <c r="F102" i="15"/>
  <c r="F94" i="15"/>
  <c r="F86" i="15"/>
  <c r="F202" i="15"/>
  <c r="F201" i="15"/>
  <c r="F197" i="15"/>
  <c r="F192" i="15"/>
  <c r="F184" i="15"/>
  <c r="F180" i="15"/>
  <c r="F169" i="15"/>
  <c r="F164" i="15"/>
  <c r="F152" i="15"/>
  <c r="F137" i="15"/>
  <c r="F133" i="15"/>
  <c r="F125" i="15"/>
  <c r="F117" i="15"/>
  <c r="F109" i="15"/>
  <c r="F101" i="15"/>
  <c r="F93" i="15"/>
  <c r="F85" i="15"/>
  <c r="F206" i="15"/>
  <c r="F196" i="15"/>
  <c r="F188" i="15"/>
  <c r="F175" i="15"/>
  <c r="F172" i="15"/>
  <c r="F160" i="15"/>
  <c r="F155" i="15"/>
  <c r="F148" i="15"/>
  <c r="F143" i="15"/>
  <c r="F136" i="15"/>
  <c r="F132" i="15"/>
  <c r="F123" i="15"/>
  <c r="F116" i="15"/>
  <c r="F108" i="15"/>
  <c r="F100" i="15"/>
  <c r="F92" i="15"/>
  <c r="F84" i="15"/>
  <c r="F79" i="15"/>
  <c r="L12" i="15"/>
  <c r="N12" i="15" s="1"/>
  <c r="F205" i="15"/>
  <c r="F195" i="15"/>
  <c r="F191" i="15"/>
  <c r="F187" i="15"/>
  <c r="F183" i="15"/>
  <c r="F179" i="15"/>
  <c r="F166" i="15"/>
  <c r="F163" i="15"/>
  <c r="F151" i="15"/>
  <c r="F131" i="15"/>
  <c r="F115" i="15"/>
  <c r="F107" i="15"/>
  <c r="F99" i="15"/>
  <c r="F91" i="15"/>
  <c r="F83" i="15"/>
  <c r="F194" i="15"/>
  <c r="F190" i="15"/>
  <c r="F186" i="15"/>
  <c r="F182" i="15"/>
  <c r="F178" i="15"/>
  <c r="F174" i="15"/>
  <c r="F162" i="15"/>
  <c r="F157" i="15"/>
  <c r="F154" i="15"/>
  <c r="F150" i="15"/>
  <c r="F145" i="15"/>
  <c r="F142" i="15"/>
  <c r="F130" i="15"/>
  <c r="F114" i="15"/>
  <c r="F106" i="15"/>
  <c r="F98" i="15"/>
  <c r="F90" i="15"/>
  <c r="F82" i="15"/>
  <c r="F181" i="15"/>
  <c r="F168" i="15"/>
  <c r="F153" i="15"/>
  <c r="F124" i="15"/>
  <c r="F113" i="15"/>
  <c r="F81" i="15"/>
  <c r="F200" i="15"/>
  <c r="F97" i="15"/>
  <c r="F165" i="15"/>
  <c r="F141" i="15"/>
  <c r="F216" i="15"/>
  <c r="F193" i="15"/>
  <c r="F185" i="15"/>
  <c r="F210" i="15"/>
  <c r="F177" i="15"/>
  <c r="F105" i="15"/>
  <c r="F89" i="15"/>
  <c r="F129" i="15"/>
  <c r="L18" i="13"/>
  <c r="D27" i="13"/>
  <c r="H22" i="6"/>
  <c r="L22" i="6" s="1"/>
  <c r="N16" i="6"/>
  <c r="Z22" i="6"/>
  <c r="T26" i="6"/>
  <c r="X18" i="4"/>
  <c r="L31" i="28" l="1"/>
  <c r="N27" i="43"/>
  <c r="H31" i="43"/>
  <c r="H36" i="43" s="1"/>
  <c r="Z27" i="23"/>
  <c r="T31" i="23"/>
  <c r="D31" i="25"/>
  <c r="L27" i="25"/>
  <c r="T102" i="62"/>
  <c r="H38" i="84"/>
  <c r="T34" i="89"/>
  <c r="X30" i="89"/>
  <c r="Z30" i="89" s="1"/>
  <c r="X27" i="29"/>
  <c r="P31" i="29"/>
  <c r="D58" i="59"/>
  <c r="L54" i="59"/>
  <c r="H29" i="87"/>
  <c r="J25" i="87"/>
  <c r="D31" i="7"/>
  <c r="L27" i="7"/>
  <c r="T25" i="87"/>
  <c r="Z17" i="87"/>
  <c r="X17" i="87"/>
  <c r="L27" i="35"/>
  <c r="D31" i="35"/>
  <c r="H111" i="39"/>
  <c r="D48" i="61"/>
  <c r="L44" i="61"/>
  <c r="H51" i="90"/>
  <c r="D91" i="24"/>
  <c r="F87" i="24"/>
  <c r="D84" i="33"/>
  <c r="L80" i="33"/>
  <c r="F80" i="33"/>
  <c r="X27" i="38"/>
  <c r="P31" i="38"/>
  <c r="H26" i="54"/>
  <c r="N22" i="54"/>
  <c r="P36" i="53"/>
  <c r="T36" i="11"/>
  <c r="Z36" i="11" s="1"/>
  <c r="Z31" i="11"/>
  <c r="L23" i="42"/>
  <c r="N23" i="42" s="1"/>
  <c r="D102" i="42"/>
  <c r="D31" i="53"/>
  <c r="L27" i="53"/>
  <c r="P31" i="5"/>
  <c r="X27" i="5"/>
  <c r="Z27" i="20"/>
  <c r="T31" i="20"/>
  <c r="X27" i="20"/>
  <c r="T31" i="26"/>
  <c r="Z27" i="26"/>
  <c r="T62" i="48"/>
  <c r="Z17" i="48"/>
  <c r="D26" i="54"/>
  <c r="L22" i="54"/>
  <c r="P48" i="61"/>
  <c r="X44" i="61"/>
  <c r="P31" i="98"/>
  <c r="X27" i="98"/>
  <c r="P31" i="14"/>
  <c r="X27" i="14"/>
  <c r="D82" i="64"/>
  <c r="L39" i="64"/>
  <c r="N39" i="64" s="1"/>
  <c r="T66" i="73"/>
  <c r="P112" i="77"/>
  <c r="R108" i="77"/>
  <c r="H36" i="88"/>
  <c r="H31" i="96"/>
  <c r="T36" i="52"/>
  <c r="Z36" i="52" s="1"/>
  <c r="Z31" i="52"/>
  <c r="P67" i="56"/>
  <c r="X63" i="56"/>
  <c r="P159" i="30"/>
  <c r="X83" i="30"/>
  <c r="Z83" i="30" s="1"/>
  <c r="D28" i="96"/>
  <c r="L24" i="96"/>
  <c r="N24" i="96" s="1"/>
  <c r="L27" i="8"/>
  <c r="D31" i="8"/>
  <c r="T31" i="49"/>
  <c r="Z27" i="49"/>
  <c r="X27" i="49"/>
  <c r="P222" i="15"/>
  <c r="R218" i="15"/>
  <c r="N27" i="14"/>
  <c r="H31" i="14"/>
  <c r="T87" i="24"/>
  <c r="J31" i="39"/>
  <c r="P36" i="44"/>
  <c r="H83" i="85"/>
  <c r="N20" i="85"/>
  <c r="P28" i="93"/>
  <c r="X24" i="93"/>
  <c r="Z24" i="93" s="1"/>
  <c r="Z89" i="9"/>
  <c r="T93" i="9"/>
  <c r="X89" i="9"/>
  <c r="D76" i="81"/>
  <c r="L72" i="81"/>
  <c r="H247" i="18"/>
  <c r="J243" i="18"/>
  <c r="H31" i="17"/>
  <c r="N27" i="17"/>
  <c r="H96" i="51"/>
  <c r="H53" i="60"/>
  <c r="P32" i="78"/>
  <c r="X28" i="78"/>
  <c r="R28" i="78"/>
  <c r="D114" i="36"/>
  <c r="F110" i="36"/>
  <c r="P91" i="45"/>
  <c r="X21" i="45"/>
  <c r="Z21" i="45" s="1"/>
  <c r="R21" i="45"/>
  <c r="N27" i="44"/>
  <c r="H31" i="44"/>
  <c r="D102" i="62"/>
  <c r="L98" i="62"/>
  <c r="N98" i="62" s="1"/>
  <c r="H54" i="67"/>
  <c r="P79" i="81"/>
  <c r="P39" i="88"/>
  <c r="X21" i="95"/>
  <c r="P81" i="95"/>
  <c r="D36" i="11"/>
  <c r="H36" i="5"/>
  <c r="N36" i="5" s="1"/>
  <c r="N31" i="5"/>
  <c r="H93" i="9"/>
  <c r="T110" i="36"/>
  <c r="Z24" i="36"/>
  <c r="X73" i="76"/>
  <c r="P77" i="76"/>
  <c r="R73" i="76"/>
  <c r="D32" i="78"/>
  <c r="L28" i="78"/>
  <c r="F28" i="78"/>
  <c r="Z27" i="16"/>
  <c r="T31" i="16"/>
  <c r="P36" i="47"/>
  <c r="H72" i="58"/>
  <c r="T54" i="67"/>
  <c r="T51" i="74"/>
  <c r="X66" i="73"/>
  <c r="P70" i="73"/>
  <c r="D90" i="21"/>
  <c r="L86" i="21"/>
  <c r="F86" i="21"/>
  <c r="P31" i="46"/>
  <c r="X27" i="46"/>
  <c r="H33" i="75"/>
  <c r="J29" i="75"/>
  <c r="T84" i="94"/>
  <c r="Z27" i="98"/>
  <c r="T31" i="98"/>
  <c r="X27" i="37"/>
  <c r="P31" i="37"/>
  <c r="X27" i="31"/>
  <c r="P31" i="31"/>
  <c r="T36" i="46"/>
  <c r="Z36" i="46" s="1"/>
  <c r="Z31" i="46"/>
  <c r="Z27" i="8"/>
  <c r="T31" i="8"/>
  <c r="X31" i="8" s="1"/>
  <c r="X27" i="22"/>
  <c r="P31" i="22"/>
  <c r="H113" i="27"/>
  <c r="L27" i="32"/>
  <c r="D31" i="32"/>
  <c r="N27" i="47"/>
  <c r="H31" i="47"/>
  <c r="L45" i="63"/>
  <c r="T36" i="31"/>
  <c r="Z36" i="31" s="1"/>
  <c r="Z31" i="31"/>
  <c r="T85" i="95"/>
  <c r="N27" i="34"/>
  <c r="H31" i="34"/>
  <c r="P34" i="55"/>
  <c r="X30" i="55"/>
  <c r="T48" i="61"/>
  <c r="Z44" i="61"/>
  <c r="H70" i="86"/>
  <c r="H85" i="95"/>
  <c r="Z27" i="38"/>
  <c r="T31" i="38"/>
  <c r="L27" i="4"/>
  <c r="D31" i="4"/>
  <c r="D247" i="18"/>
  <c r="L243" i="18"/>
  <c r="N243" i="18" s="1"/>
  <c r="F243" i="18"/>
  <c r="H31" i="32"/>
  <c r="N27" i="32"/>
  <c r="Z63" i="56"/>
  <c r="T67" i="56"/>
  <c r="P58" i="59"/>
  <c r="X54" i="59"/>
  <c r="T34" i="84"/>
  <c r="X17" i="84"/>
  <c r="Z17" i="84" s="1"/>
  <c r="D66" i="97"/>
  <c r="F62" i="97"/>
  <c r="N42" i="63"/>
  <c r="H45" i="63"/>
  <c r="N45" i="63" s="1"/>
  <c r="H31" i="29"/>
  <c r="N27" i="29"/>
  <c r="P66" i="48"/>
  <c r="X62" i="48"/>
  <c r="R62" i="48"/>
  <c r="T31" i="53"/>
  <c r="X31" i="53" s="1"/>
  <c r="Z27" i="53"/>
  <c r="N44" i="61"/>
  <c r="H48" i="61"/>
  <c r="H96" i="71"/>
  <c r="H52" i="91"/>
  <c r="N48" i="91"/>
  <c r="L48" i="91"/>
  <c r="P26" i="6"/>
  <c r="X22" i="6"/>
  <c r="N31" i="10"/>
  <c r="H36" i="10"/>
  <c r="N36" i="10" s="1"/>
  <c r="X27" i="19"/>
  <c r="P31" i="19"/>
  <c r="D108" i="77"/>
  <c r="L47" i="77"/>
  <c r="H218" i="15"/>
  <c r="D163" i="30"/>
  <c r="F159" i="30"/>
  <c r="X20" i="73"/>
  <c r="Z20" i="73" s="1"/>
  <c r="D85" i="79"/>
  <c r="F81" i="79"/>
  <c r="X27" i="99"/>
  <c r="P31" i="99"/>
  <c r="P31" i="26"/>
  <c r="X27" i="26"/>
  <c r="D50" i="60"/>
  <c r="L46" i="60"/>
  <c r="N46" i="60" s="1"/>
  <c r="D36" i="99"/>
  <c r="L31" i="99"/>
  <c r="R83" i="30"/>
  <c r="T226" i="12"/>
  <c r="Z27" i="32"/>
  <c r="T31" i="32"/>
  <c r="N31" i="37"/>
  <c r="H36" i="37"/>
  <c r="N36" i="37" s="1"/>
  <c r="H31" i="49"/>
  <c r="N27" i="49"/>
  <c r="D34" i="89"/>
  <c r="L30" i="89"/>
  <c r="T96" i="71"/>
  <c r="N27" i="4"/>
  <c r="H31" i="4"/>
  <c r="D87" i="85"/>
  <c r="L83" i="85"/>
  <c r="F83" i="85"/>
  <c r="N31" i="98"/>
  <c r="H36" i="98"/>
  <c r="N36" i="98" s="1"/>
  <c r="D79" i="92"/>
  <c r="L21" i="92"/>
  <c r="H31" i="20"/>
  <c r="N27" i="20"/>
  <c r="Z27" i="29"/>
  <c r="T31" i="29"/>
  <c r="L27" i="23"/>
  <c r="D31" i="23"/>
  <c r="L27" i="31"/>
  <c r="D31" i="31"/>
  <c r="T32" i="78"/>
  <c r="Z28" i="78"/>
  <c r="V28" i="78"/>
  <c r="D47" i="90"/>
  <c r="L18" i="90"/>
  <c r="P84" i="94"/>
  <c r="X21" i="94"/>
  <c r="Z21" i="94" s="1"/>
  <c r="T247" i="18"/>
  <c r="V243" i="18"/>
  <c r="P114" i="36"/>
  <c r="X110" i="36"/>
  <c r="R110" i="36"/>
  <c r="D36" i="40"/>
  <c r="D36" i="46"/>
  <c r="H32" i="78"/>
  <c r="N28" i="78"/>
  <c r="P51" i="90"/>
  <c r="R47" i="90"/>
  <c r="D31" i="93"/>
  <c r="Z27" i="10"/>
  <c r="T31" i="10"/>
  <c r="T33" i="75"/>
  <c r="X33" i="75" s="1"/>
  <c r="V29" i="75"/>
  <c r="P261" i="3"/>
  <c r="X153" i="3"/>
  <c r="T36" i="100"/>
  <c r="Z36" i="100" s="1"/>
  <c r="Z31" i="100"/>
  <c r="T218" i="15"/>
  <c r="Z121" i="15"/>
  <c r="L36" i="28"/>
  <c r="Z27" i="41"/>
  <c r="T31" i="41"/>
  <c r="N27" i="53"/>
  <c r="H31" i="53"/>
  <c r="P42" i="63"/>
  <c r="X38" i="63"/>
  <c r="P77" i="70"/>
  <c r="X28" i="70"/>
  <c r="P36" i="75"/>
  <c r="R33" i="75"/>
  <c r="H91" i="94"/>
  <c r="J88" i="94"/>
  <c r="P36" i="100"/>
  <c r="X31" i="100"/>
  <c r="D218" i="15"/>
  <c r="L121" i="15"/>
  <c r="N121" i="15" s="1"/>
  <c r="Z27" i="5"/>
  <c r="T31" i="5"/>
  <c r="X126" i="12"/>
  <c r="Z126" i="12" s="1"/>
  <c r="P226" i="12"/>
  <c r="T31" i="44"/>
  <c r="Z27" i="44"/>
  <c r="T70" i="86"/>
  <c r="V50" i="71"/>
  <c r="D31" i="14"/>
  <c r="L27" i="14"/>
  <c r="P80" i="33"/>
  <c r="X30" i="33"/>
  <c r="Z30" i="33" s="1"/>
  <c r="N27" i="41"/>
  <c r="H31" i="41"/>
  <c r="D34" i="55"/>
  <c r="L30" i="55"/>
  <c r="N30" i="55" s="1"/>
  <c r="T72" i="58"/>
  <c r="T31" i="14"/>
  <c r="Z27" i="14"/>
  <c r="D31" i="47"/>
  <c r="L27" i="47"/>
  <c r="H113" i="66"/>
  <c r="X21" i="67"/>
  <c r="Z21" i="67" s="1"/>
  <c r="P50" i="67"/>
  <c r="P31" i="34"/>
  <c r="X27" i="34"/>
  <c r="H81" i="79"/>
  <c r="N20" i="79"/>
  <c r="N126" i="12"/>
  <c r="H226" i="12"/>
  <c r="D31" i="26"/>
  <c r="L27" i="26"/>
  <c r="T31" i="47"/>
  <c r="X31" i="47" s="1"/>
  <c r="Z27" i="47"/>
  <c r="P31" i="50"/>
  <c r="X27" i="50"/>
  <c r="T141" i="69"/>
  <c r="Z83" i="69"/>
  <c r="P83" i="85"/>
  <c r="X20" i="85"/>
  <c r="Z20" i="85" s="1"/>
  <c r="P79" i="92"/>
  <c r="X21" i="92"/>
  <c r="Z21" i="92" s="1"/>
  <c r="H31" i="13"/>
  <c r="N27" i="13"/>
  <c r="Z81" i="79"/>
  <c r="T85" i="79"/>
  <c r="N86" i="21"/>
  <c r="H90" i="21"/>
  <c r="H36" i="35"/>
  <c r="N36" i="35" s="1"/>
  <c r="N31" i="35"/>
  <c r="H84" i="33"/>
  <c r="N80" i="33"/>
  <c r="J80" i="33"/>
  <c r="T163" i="30"/>
  <c r="V159" i="30"/>
  <c r="L27" i="41"/>
  <c r="D31" i="41"/>
  <c r="H31" i="46"/>
  <c r="N27" i="46"/>
  <c r="D29" i="75"/>
  <c r="L23" i="75"/>
  <c r="N23" i="75" s="1"/>
  <c r="H34" i="89"/>
  <c r="N30" i="89"/>
  <c r="P31" i="40"/>
  <c r="X27" i="40"/>
  <c r="X42" i="24"/>
  <c r="Z42" i="24" s="1"/>
  <c r="P87" i="24"/>
  <c r="R42" i="24"/>
  <c r="L57" i="27"/>
  <c r="N57" i="27" s="1"/>
  <c r="D113" i="27"/>
  <c r="D31" i="49"/>
  <c r="L27" i="49"/>
  <c r="P96" i="71"/>
  <c r="X50" i="71"/>
  <c r="Z50" i="71" s="1"/>
  <c r="X29" i="75"/>
  <c r="Z29" i="75" s="1"/>
  <c r="P85" i="79"/>
  <c r="X81" i="79"/>
  <c r="R81" i="79"/>
  <c r="T40" i="82"/>
  <c r="T47" i="90"/>
  <c r="X47" i="90" s="1"/>
  <c r="Z18" i="90"/>
  <c r="T31" i="6"/>
  <c r="Z26" i="6"/>
  <c r="H31" i="22"/>
  <c r="N27" i="22"/>
  <c r="X27" i="16"/>
  <c r="P31" i="16"/>
  <c r="P65" i="57"/>
  <c r="X61" i="57"/>
  <c r="Z61" i="57" s="1"/>
  <c r="D31" i="13"/>
  <c r="L27" i="13"/>
  <c r="P96" i="51"/>
  <c r="X50" i="51"/>
  <c r="D36" i="52"/>
  <c r="P36" i="80"/>
  <c r="X32" i="80"/>
  <c r="Z32" i="80" s="1"/>
  <c r="F121" i="15"/>
  <c r="P36" i="17"/>
  <c r="H159" i="30"/>
  <c r="L159" i="30" s="1"/>
  <c r="N83" i="30"/>
  <c r="H42" i="65"/>
  <c r="H70" i="73"/>
  <c r="P37" i="82"/>
  <c r="X33" i="82"/>
  <c r="Z33" i="82" s="1"/>
  <c r="D70" i="86"/>
  <c r="L66" i="86"/>
  <c r="N66" i="86" s="1"/>
  <c r="T83" i="92"/>
  <c r="V79" i="92"/>
  <c r="H62" i="97"/>
  <c r="N17" i="97"/>
  <c r="X27" i="10"/>
  <c r="P31" i="10"/>
  <c r="P31" i="7"/>
  <c r="X27" i="7"/>
  <c r="T50" i="60"/>
  <c r="X46" i="60"/>
  <c r="Z46" i="60" s="1"/>
  <c r="P48" i="74"/>
  <c r="X44" i="74"/>
  <c r="Z44" i="74" s="1"/>
  <c r="P145" i="69"/>
  <c r="X141" i="69"/>
  <c r="R141" i="69"/>
  <c r="T31" i="7"/>
  <c r="Z27" i="7"/>
  <c r="P117" i="27"/>
  <c r="X113" i="27"/>
  <c r="R113" i="27"/>
  <c r="J57" i="27"/>
  <c r="D31" i="44"/>
  <c r="L27" i="44"/>
  <c r="D67" i="56"/>
  <c r="L63" i="56"/>
  <c r="X57" i="66"/>
  <c r="P113" i="66"/>
  <c r="T108" i="77"/>
  <c r="J20" i="85"/>
  <c r="D34" i="84"/>
  <c r="L17" i="84"/>
  <c r="D230" i="12"/>
  <c r="L226" i="12"/>
  <c r="F226" i="12"/>
  <c r="T31" i="22"/>
  <c r="Z27" i="22"/>
  <c r="T84" i="33"/>
  <c r="V80" i="33"/>
  <c r="T95" i="45"/>
  <c r="V91" i="45"/>
  <c r="H31" i="50"/>
  <c r="L31" i="50" s="1"/>
  <c r="N27" i="50"/>
  <c r="T34" i="55"/>
  <c r="Z30" i="55"/>
  <c r="D51" i="74"/>
  <c r="T76" i="81"/>
  <c r="Z72" i="81"/>
  <c r="D36" i="88"/>
  <c r="L32" i="88"/>
  <c r="N32" i="88" s="1"/>
  <c r="H28" i="93"/>
  <c r="N24" i="93"/>
  <c r="P36" i="4"/>
  <c r="T90" i="21"/>
  <c r="V86" i="21"/>
  <c r="P31" i="41"/>
  <c r="X27" i="41"/>
  <c r="H68" i="57"/>
  <c r="N65" i="57"/>
  <c r="P86" i="64"/>
  <c r="R82" i="64"/>
  <c r="D145" i="69"/>
  <c r="F141" i="69"/>
  <c r="P69" i="97"/>
  <c r="R66" i="97"/>
  <c r="Z27" i="4"/>
  <c r="T31" i="4"/>
  <c r="X31" i="4" s="1"/>
  <c r="X27" i="21"/>
  <c r="Z27" i="21" s="1"/>
  <c r="P86" i="21"/>
  <c r="R27" i="21"/>
  <c r="L31" i="39"/>
  <c r="N31" i="39" s="1"/>
  <c r="N27" i="52"/>
  <c r="H31" i="52"/>
  <c r="L31" i="52" s="1"/>
  <c r="T45" i="65"/>
  <c r="Z42" i="65"/>
  <c r="T82" i="64"/>
  <c r="Z39" i="64"/>
  <c r="H39" i="80"/>
  <c r="T31" i="13"/>
  <c r="X31" i="13" s="1"/>
  <c r="Z27" i="13"/>
  <c r="T261" i="3"/>
  <c r="Z153" i="3"/>
  <c r="V121" i="15"/>
  <c r="P111" i="39"/>
  <c r="X31" i="39"/>
  <c r="P36" i="32"/>
  <c r="X31" i="32"/>
  <c r="H95" i="45"/>
  <c r="J91" i="45"/>
  <c r="Z22" i="54"/>
  <c r="T26" i="54"/>
  <c r="X22" i="54"/>
  <c r="F39" i="64"/>
  <c r="H26" i="6"/>
  <c r="N22" i="6"/>
  <c r="L27" i="5"/>
  <c r="D31" i="5"/>
  <c r="D36" i="37"/>
  <c r="L31" i="37"/>
  <c r="N27" i="8"/>
  <c r="H31" i="8"/>
  <c r="D96" i="71"/>
  <c r="L50" i="71"/>
  <c r="N50" i="71" s="1"/>
  <c r="F50" i="71"/>
  <c r="H58" i="59"/>
  <c r="N54" i="59"/>
  <c r="D36" i="19"/>
  <c r="L36" i="19" s="1"/>
  <c r="L31" i="19"/>
  <c r="P36" i="35"/>
  <c r="X36" i="35" s="1"/>
  <c r="X31" i="35"/>
  <c r="Z27" i="40"/>
  <c r="T31" i="40"/>
  <c r="H141" i="69"/>
  <c r="N83" i="69"/>
  <c r="H76" i="81"/>
  <c r="N72" i="81"/>
  <c r="D25" i="87"/>
  <c r="L17" i="87"/>
  <c r="N17" i="87" s="1"/>
  <c r="L27" i="98"/>
  <c r="D31" i="98"/>
  <c r="X27" i="8"/>
  <c r="D31" i="22"/>
  <c r="L27" i="22"/>
  <c r="D31" i="29"/>
  <c r="L27" i="29"/>
  <c r="N31" i="31"/>
  <c r="H36" i="31"/>
  <c r="N36" i="31" s="1"/>
  <c r="H66" i="48"/>
  <c r="J62" i="48"/>
  <c r="H105" i="62"/>
  <c r="Z57" i="66"/>
  <c r="T113" i="66"/>
  <c r="D31" i="100"/>
  <c r="L27" i="100"/>
  <c r="X27" i="11"/>
  <c r="P31" i="11"/>
  <c r="T117" i="27"/>
  <c r="Z113" i="27"/>
  <c r="V113" i="27"/>
  <c r="L57" i="66"/>
  <c r="N57" i="66" s="1"/>
  <c r="T62" i="97"/>
  <c r="X17" i="97"/>
  <c r="Z17" i="97" s="1"/>
  <c r="H106" i="42"/>
  <c r="J102" i="42"/>
  <c r="D66" i="73"/>
  <c r="L20" i="73"/>
  <c r="N20" i="73" s="1"/>
  <c r="J126" i="12"/>
  <c r="D261" i="3"/>
  <c r="L153" i="3"/>
  <c r="T31" i="34"/>
  <c r="Z27" i="34"/>
  <c r="F23" i="42"/>
  <c r="Z50" i="51"/>
  <c r="T96" i="51"/>
  <c r="D96" i="51"/>
  <c r="L50" i="51"/>
  <c r="N50" i="51" s="1"/>
  <c r="D54" i="67"/>
  <c r="L50" i="67"/>
  <c r="N50" i="67" s="1"/>
  <c r="V83" i="69"/>
  <c r="N27" i="26"/>
  <c r="H31" i="26"/>
  <c r="P32" i="87"/>
  <c r="H31" i="11"/>
  <c r="L31" i="11" s="1"/>
  <c r="N27" i="11"/>
  <c r="Z27" i="17"/>
  <c r="T31" i="17"/>
  <c r="D115" i="39"/>
  <c r="L111" i="39"/>
  <c r="F111" i="39"/>
  <c r="P72" i="58"/>
  <c r="X68" i="58"/>
  <c r="Z68" i="58" s="1"/>
  <c r="L28" i="70"/>
  <c r="N28" i="70" s="1"/>
  <c r="D77" i="70"/>
  <c r="H81" i="70"/>
  <c r="J77" i="70"/>
  <c r="F23" i="75"/>
  <c r="T77" i="76"/>
  <c r="Z73" i="76"/>
  <c r="P70" i="86"/>
  <c r="X66" i="86"/>
  <c r="Z66" i="86" s="1"/>
  <c r="D85" i="95"/>
  <c r="L81" i="95"/>
  <c r="N81" i="95" s="1"/>
  <c r="F81" i="95"/>
  <c r="R153" i="3"/>
  <c r="D31" i="16"/>
  <c r="L27" i="16"/>
  <c r="F47" i="77"/>
  <c r="P36" i="13"/>
  <c r="L27" i="17"/>
  <c r="D31" i="17"/>
  <c r="X27" i="32"/>
  <c r="P31" i="52"/>
  <c r="X27" i="52"/>
  <c r="D72" i="58"/>
  <c r="L68" i="58"/>
  <c r="N68" i="58" s="1"/>
  <c r="D42" i="65"/>
  <c r="L38" i="65"/>
  <c r="N38" i="65" s="1"/>
  <c r="H77" i="76"/>
  <c r="D77" i="76"/>
  <c r="L73" i="76"/>
  <c r="N73" i="76" s="1"/>
  <c r="F73" i="76"/>
  <c r="L36" i="80"/>
  <c r="N36" i="80" s="1"/>
  <c r="D39" i="80"/>
  <c r="L39" i="80" s="1"/>
  <c r="P42" i="83"/>
  <c r="X38" i="83"/>
  <c r="Z38" i="83" s="1"/>
  <c r="P31" i="96"/>
  <c r="D62" i="48"/>
  <c r="L17" i="48"/>
  <c r="N17" i="48" s="1"/>
  <c r="P31" i="23"/>
  <c r="X27" i="23"/>
  <c r="D36" i="50"/>
  <c r="P102" i="62"/>
  <c r="X98" i="62"/>
  <c r="Z98" i="62" s="1"/>
  <c r="H108" i="77"/>
  <c r="N47" i="77"/>
  <c r="T28" i="96"/>
  <c r="Z24" i="96"/>
  <c r="T77" i="70"/>
  <c r="Z28" i="70"/>
  <c r="L89" i="9"/>
  <c r="N89" i="9" s="1"/>
  <c r="D93" i="9"/>
  <c r="H87" i="24"/>
  <c r="N42" i="24"/>
  <c r="P36" i="25"/>
  <c r="X36" i="25" s="1"/>
  <c r="X31" i="25"/>
  <c r="H31" i="38"/>
  <c r="N27" i="38"/>
  <c r="L27" i="38"/>
  <c r="D31" i="6"/>
  <c r="L26" i="6"/>
  <c r="P36" i="8"/>
  <c r="N27" i="16"/>
  <c r="H31" i="16"/>
  <c r="N24" i="36"/>
  <c r="H110" i="36"/>
  <c r="P106" i="42"/>
  <c r="X102" i="42"/>
  <c r="R102" i="42"/>
  <c r="H79" i="92"/>
  <c r="N21" i="92"/>
  <c r="L68" i="57"/>
  <c r="D36" i="10"/>
  <c r="L31" i="10"/>
  <c r="D31" i="34"/>
  <c r="L27" i="34"/>
  <c r="D117" i="66"/>
  <c r="L113" i="66"/>
  <c r="F113" i="66"/>
  <c r="J57" i="66"/>
  <c r="P41" i="84"/>
  <c r="R21" i="94"/>
  <c r="L84" i="94"/>
  <c r="N84" i="94" s="1"/>
  <c r="D88" i="94"/>
  <c r="F84" i="94"/>
  <c r="H36" i="99"/>
  <c r="N36" i="99" s="1"/>
  <c r="N31" i="99"/>
  <c r="N27" i="7"/>
  <c r="H31" i="7"/>
  <c r="L27" i="20"/>
  <c r="D31" i="20"/>
  <c r="P243" i="18"/>
  <c r="X144" i="18"/>
  <c r="Z144" i="18" s="1"/>
  <c r="R144" i="18"/>
  <c r="X27" i="28"/>
  <c r="P31" i="28"/>
  <c r="N27" i="40"/>
  <c r="H31" i="40"/>
  <c r="T58" i="59"/>
  <c r="Z54" i="59"/>
  <c r="H86" i="64"/>
  <c r="T42" i="63"/>
  <c r="Z38" i="63"/>
  <c r="D40" i="82"/>
  <c r="L40" i="82" s="1"/>
  <c r="N40" i="82" s="1"/>
  <c r="L37" i="82"/>
  <c r="N37" i="82" s="1"/>
  <c r="V17" i="84"/>
  <c r="T87" i="85"/>
  <c r="V83" i="85"/>
  <c r="P52" i="91"/>
  <c r="X48" i="91"/>
  <c r="Z48" i="91" s="1"/>
  <c r="N27" i="100"/>
  <c r="H31" i="100"/>
  <c r="D95" i="45"/>
  <c r="L91" i="45"/>
  <c r="N91" i="45" s="1"/>
  <c r="F91" i="45"/>
  <c r="T36" i="88"/>
  <c r="X36" i="88" s="1"/>
  <c r="Z32" i="88"/>
  <c r="H261" i="3"/>
  <c r="N153" i="3"/>
  <c r="T106" i="42"/>
  <c r="Z102" i="42"/>
  <c r="V102" i="42"/>
  <c r="H67" i="56"/>
  <c r="N63" i="56"/>
  <c r="X27" i="13"/>
  <c r="F57" i="27"/>
  <c r="T111" i="39"/>
  <c r="Z31" i="39"/>
  <c r="T36" i="50"/>
  <c r="Z36" i="50" s="1"/>
  <c r="Z31" i="50"/>
  <c r="X47" i="77"/>
  <c r="Z47" i="77" s="1"/>
  <c r="H48" i="74"/>
  <c r="L48" i="74" s="1"/>
  <c r="N44" i="74"/>
  <c r="L45" i="83"/>
  <c r="N45" i="83" s="1"/>
  <c r="L36" i="10" l="1"/>
  <c r="N31" i="43"/>
  <c r="L31" i="43"/>
  <c r="L36" i="37"/>
  <c r="X36" i="100"/>
  <c r="H36" i="40"/>
  <c r="N36" i="40" s="1"/>
  <c r="N31" i="40"/>
  <c r="H70" i="56"/>
  <c r="H89" i="64"/>
  <c r="H83" i="92"/>
  <c r="T31" i="96"/>
  <c r="H80" i="76"/>
  <c r="D36" i="17"/>
  <c r="L31" i="17"/>
  <c r="H36" i="26"/>
  <c r="N36" i="26" s="1"/>
  <c r="N31" i="26"/>
  <c r="D70" i="73"/>
  <c r="L66" i="73"/>
  <c r="N66" i="73" s="1"/>
  <c r="D29" i="87"/>
  <c r="L25" i="87"/>
  <c r="N25" i="87" s="1"/>
  <c r="H31" i="6"/>
  <c r="N26" i="6"/>
  <c r="T36" i="13"/>
  <c r="Z36" i="13" s="1"/>
  <c r="Z31" i="13"/>
  <c r="R69" i="97"/>
  <c r="P89" i="64"/>
  <c r="R86" i="64"/>
  <c r="T98" i="45"/>
  <c r="V95" i="45"/>
  <c r="D233" i="12"/>
  <c r="F230" i="12"/>
  <c r="P120" i="27"/>
  <c r="X117" i="27"/>
  <c r="R117" i="27"/>
  <c r="H66" i="97"/>
  <c r="J62" i="97"/>
  <c r="D36" i="13"/>
  <c r="L31" i="13"/>
  <c r="P91" i="24"/>
  <c r="X87" i="24"/>
  <c r="R87" i="24"/>
  <c r="T36" i="41"/>
  <c r="Z36" i="41" s="1"/>
  <c r="Z31" i="41"/>
  <c r="P265" i="3"/>
  <c r="X261" i="3"/>
  <c r="R261" i="3"/>
  <c r="T250" i="18"/>
  <c r="V247" i="18"/>
  <c r="D36" i="31"/>
  <c r="L36" i="31" s="1"/>
  <c r="L31" i="31"/>
  <c r="D88" i="79"/>
  <c r="F85" i="79"/>
  <c r="D112" i="77"/>
  <c r="L108" i="77"/>
  <c r="F108" i="77"/>
  <c r="T70" i="56"/>
  <c r="T51" i="61"/>
  <c r="P36" i="22"/>
  <c r="X31" i="22"/>
  <c r="P36" i="37"/>
  <c r="X36" i="37" s="1"/>
  <c r="X31" i="37"/>
  <c r="P73" i="73"/>
  <c r="H75" i="58"/>
  <c r="T96" i="9"/>
  <c r="X93" i="9"/>
  <c r="Z93" i="9" s="1"/>
  <c r="P36" i="98"/>
  <c r="X31" i="98"/>
  <c r="T36" i="20"/>
  <c r="Z31" i="20"/>
  <c r="X31" i="20"/>
  <c r="P36" i="38"/>
  <c r="X31" i="38"/>
  <c r="H32" i="87"/>
  <c r="J29" i="87"/>
  <c r="T109" i="42"/>
  <c r="V106" i="42"/>
  <c r="T90" i="85"/>
  <c r="V87" i="85"/>
  <c r="P247" i="18"/>
  <c r="X243" i="18"/>
  <c r="Z243" i="18" s="1"/>
  <c r="R243" i="18"/>
  <c r="D91" i="94"/>
  <c r="L88" i="94"/>
  <c r="N88" i="94" s="1"/>
  <c r="F88" i="94"/>
  <c r="D120" i="66"/>
  <c r="F117" i="66"/>
  <c r="P45" i="83"/>
  <c r="X45" i="83" s="1"/>
  <c r="Z45" i="83" s="1"/>
  <c r="X42" i="83"/>
  <c r="Z42" i="83" s="1"/>
  <c r="D118" i="39"/>
  <c r="F115" i="39"/>
  <c r="D36" i="29"/>
  <c r="L31" i="29"/>
  <c r="H36" i="8"/>
  <c r="N36" i="8" s="1"/>
  <c r="N31" i="8"/>
  <c r="H73" i="73"/>
  <c r="H36" i="46"/>
  <c r="N36" i="46" s="1"/>
  <c r="N31" i="46"/>
  <c r="H87" i="33"/>
  <c r="J84" i="33"/>
  <c r="H36" i="13"/>
  <c r="N36" i="13" s="1"/>
  <c r="N31" i="13"/>
  <c r="X31" i="50"/>
  <c r="P36" i="50"/>
  <c r="X36" i="50" s="1"/>
  <c r="H85" i="79"/>
  <c r="L85" i="79" s="1"/>
  <c r="L31" i="47"/>
  <c r="D36" i="47"/>
  <c r="H36" i="41"/>
  <c r="N36" i="41" s="1"/>
  <c r="N31" i="41"/>
  <c r="T73" i="86"/>
  <c r="D222" i="15"/>
  <c r="L218" i="15"/>
  <c r="F218" i="15"/>
  <c r="R36" i="75"/>
  <c r="L31" i="40"/>
  <c r="D83" i="92"/>
  <c r="L79" i="92"/>
  <c r="N79" i="92" s="1"/>
  <c r="F79" i="92"/>
  <c r="T36" i="32"/>
  <c r="Z36" i="32" s="1"/>
  <c r="Z31" i="32"/>
  <c r="D53" i="60"/>
  <c r="L53" i="60" s="1"/>
  <c r="L50" i="60"/>
  <c r="N50" i="60" s="1"/>
  <c r="P36" i="19"/>
  <c r="X36" i="19" s="1"/>
  <c r="X31" i="19"/>
  <c r="H55" i="91"/>
  <c r="L52" i="91"/>
  <c r="N52" i="91" s="1"/>
  <c r="L62" i="97"/>
  <c r="N62" i="97" s="1"/>
  <c r="T36" i="38"/>
  <c r="Z36" i="38" s="1"/>
  <c r="Z31" i="38"/>
  <c r="H36" i="75"/>
  <c r="J33" i="75"/>
  <c r="P80" i="76"/>
  <c r="X77" i="76"/>
  <c r="R77" i="76"/>
  <c r="P35" i="78"/>
  <c r="X32" i="78"/>
  <c r="R32" i="78"/>
  <c r="H36" i="17"/>
  <c r="N36" i="17" s="1"/>
  <c r="N31" i="17"/>
  <c r="T91" i="24"/>
  <c r="Z87" i="24"/>
  <c r="V87" i="24"/>
  <c r="D31" i="96"/>
  <c r="L31" i="96" s="1"/>
  <c r="N31" i="96" s="1"/>
  <c r="L28" i="96"/>
  <c r="N28" i="96" s="1"/>
  <c r="T70" i="73"/>
  <c r="X70" i="73" s="1"/>
  <c r="Z66" i="73"/>
  <c r="V66" i="73"/>
  <c r="T66" i="48"/>
  <c r="Z62" i="48"/>
  <c r="V62" i="48"/>
  <c r="H54" i="90"/>
  <c r="H41" i="84"/>
  <c r="D98" i="45"/>
  <c r="L95" i="45"/>
  <c r="F95" i="45"/>
  <c r="T61" i="59"/>
  <c r="D36" i="20"/>
  <c r="L31" i="20"/>
  <c r="H91" i="24"/>
  <c r="H112" i="77"/>
  <c r="N108" i="77"/>
  <c r="J108" i="77"/>
  <c r="D45" i="65"/>
  <c r="L42" i="65"/>
  <c r="D88" i="95"/>
  <c r="L85" i="95"/>
  <c r="F85" i="95"/>
  <c r="H84" i="70"/>
  <c r="J81" i="70"/>
  <c r="T36" i="17"/>
  <c r="Z36" i="17" s="1"/>
  <c r="Z31" i="17"/>
  <c r="Z117" i="27"/>
  <c r="T120" i="27"/>
  <c r="V117" i="27"/>
  <c r="H79" i="81"/>
  <c r="N39" i="80"/>
  <c r="N68" i="57"/>
  <c r="T87" i="33"/>
  <c r="V84" i="33"/>
  <c r="D38" i="84"/>
  <c r="L34" i="84"/>
  <c r="N34" i="84" s="1"/>
  <c r="D70" i="56"/>
  <c r="L70" i="56" s="1"/>
  <c r="L67" i="56"/>
  <c r="N67" i="56" s="1"/>
  <c r="T36" i="7"/>
  <c r="Z36" i="7" s="1"/>
  <c r="Z31" i="7"/>
  <c r="T53" i="60"/>
  <c r="X50" i="60"/>
  <c r="Z50" i="60" s="1"/>
  <c r="H45" i="65"/>
  <c r="N42" i="65"/>
  <c r="P39" i="80"/>
  <c r="X39" i="80" s="1"/>
  <c r="Z39" i="80" s="1"/>
  <c r="X36" i="80"/>
  <c r="Z36" i="80" s="1"/>
  <c r="P68" i="57"/>
  <c r="X68" i="57" s="1"/>
  <c r="Z68" i="57" s="1"/>
  <c r="X65" i="57"/>
  <c r="Z65" i="57" s="1"/>
  <c r="Z47" i="90"/>
  <c r="T51" i="90"/>
  <c r="P100" i="71"/>
  <c r="X96" i="71"/>
  <c r="Z96" i="71" s="1"/>
  <c r="R96" i="71"/>
  <c r="D36" i="41"/>
  <c r="L31" i="41"/>
  <c r="P54" i="90"/>
  <c r="R51" i="90"/>
  <c r="L36" i="40"/>
  <c r="P88" i="94"/>
  <c r="X84" i="94"/>
  <c r="R84" i="94"/>
  <c r="D36" i="23"/>
  <c r="L36" i="23" s="1"/>
  <c r="L31" i="23"/>
  <c r="T100" i="71"/>
  <c r="V96" i="71"/>
  <c r="H100" i="71"/>
  <c r="J96" i="71"/>
  <c r="P69" i="48"/>
  <c r="X66" i="48"/>
  <c r="R66" i="48"/>
  <c r="D69" i="97"/>
  <c r="L66" i="97"/>
  <c r="F66" i="97"/>
  <c r="P37" i="55"/>
  <c r="X34" i="55"/>
  <c r="H36" i="47"/>
  <c r="N36" i="47" s="1"/>
  <c r="N31" i="47"/>
  <c r="T36" i="8"/>
  <c r="Z36" i="8" s="1"/>
  <c r="Z31" i="8"/>
  <c r="T36" i="98"/>
  <c r="Z36" i="98" s="1"/>
  <c r="Z31" i="98"/>
  <c r="D61" i="59"/>
  <c r="L58" i="59"/>
  <c r="L31" i="6"/>
  <c r="L93" i="9"/>
  <c r="D96" i="9"/>
  <c r="P36" i="23"/>
  <c r="X31" i="23"/>
  <c r="D81" i="70"/>
  <c r="L77" i="70"/>
  <c r="N77" i="70" s="1"/>
  <c r="F77" i="70"/>
  <c r="Z31" i="34"/>
  <c r="T36" i="34"/>
  <c r="Z36" i="34" s="1"/>
  <c r="H109" i="42"/>
  <c r="J106" i="42"/>
  <c r="P36" i="11"/>
  <c r="X36" i="11" s="1"/>
  <c r="X31" i="11"/>
  <c r="D36" i="22"/>
  <c r="L31" i="22"/>
  <c r="T31" i="54"/>
  <c r="Z26" i="54"/>
  <c r="X26" i="54"/>
  <c r="P115" i="39"/>
  <c r="X111" i="39"/>
  <c r="R111" i="39"/>
  <c r="P90" i="21"/>
  <c r="X86" i="21"/>
  <c r="Z86" i="21" s="1"/>
  <c r="R86" i="21"/>
  <c r="H31" i="93"/>
  <c r="N31" i="93" s="1"/>
  <c r="N28" i="93"/>
  <c r="T37" i="55"/>
  <c r="Z34" i="55"/>
  <c r="T86" i="92"/>
  <c r="V83" i="92"/>
  <c r="P36" i="16"/>
  <c r="X31" i="16"/>
  <c r="P36" i="40"/>
  <c r="X31" i="40"/>
  <c r="P83" i="92"/>
  <c r="X79" i="92"/>
  <c r="Z79" i="92" s="1"/>
  <c r="R79" i="92"/>
  <c r="Z31" i="47"/>
  <c r="T36" i="47"/>
  <c r="Z36" i="47" s="1"/>
  <c r="P36" i="34"/>
  <c r="X31" i="34"/>
  <c r="T36" i="14"/>
  <c r="Z36" i="14" s="1"/>
  <c r="Z31" i="14"/>
  <c r="Z31" i="44"/>
  <c r="T36" i="44"/>
  <c r="Z36" i="44" s="1"/>
  <c r="P81" i="70"/>
  <c r="X77" i="70"/>
  <c r="R77" i="70"/>
  <c r="T36" i="75"/>
  <c r="X36" i="75" s="1"/>
  <c r="Z33" i="75"/>
  <c r="V33" i="75"/>
  <c r="T230" i="12"/>
  <c r="V226" i="12"/>
  <c r="P36" i="26"/>
  <c r="X31" i="26"/>
  <c r="D166" i="30"/>
  <c r="F163" i="30"/>
  <c r="H36" i="32"/>
  <c r="N36" i="32" s="1"/>
  <c r="N31" i="32"/>
  <c r="H36" i="34"/>
  <c r="N36" i="34" s="1"/>
  <c r="N31" i="34"/>
  <c r="X31" i="46"/>
  <c r="P36" i="46"/>
  <c r="X36" i="46" s="1"/>
  <c r="Z31" i="16"/>
  <c r="T36" i="16"/>
  <c r="Z36" i="16" s="1"/>
  <c r="P85" i="95"/>
  <c r="X81" i="95"/>
  <c r="Z81" i="95" s="1"/>
  <c r="R81" i="95"/>
  <c r="P95" i="45"/>
  <c r="X91" i="45"/>
  <c r="Z91" i="45" s="1"/>
  <c r="R91" i="45"/>
  <c r="N53" i="60"/>
  <c r="P31" i="93"/>
  <c r="X31" i="93" s="1"/>
  <c r="Z31" i="93" s="1"/>
  <c r="X28" i="93"/>
  <c r="Z28" i="93" s="1"/>
  <c r="H36" i="14"/>
  <c r="N36" i="14" s="1"/>
  <c r="N31" i="14"/>
  <c r="X159" i="30"/>
  <c r="Z159" i="30" s="1"/>
  <c r="P163" i="30"/>
  <c r="R159" i="30"/>
  <c r="H39" i="88"/>
  <c r="D86" i="64"/>
  <c r="L82" i="64"/>
  <c r="N82" i="64" s="1"/>
  <c r="F82" i="64"/>
  <c r="N36" i="43"/>
  <c r="L36" i="43"/>
  <c r="P36" i="5"/>
  <c r="X31" i="5"/>
  <c r="D51" i="61"/>
  <c r="L48" i="61"/>
  <c r="T29" i="87"/>
  <c r="Z25" i="87"/>
  <c r="V25" i="87"/>
  <c r="X25" i="87"/>
  <c r="P36" i="29"/>
  <c r="X31" i="29"/>
  <c r="T105" i="62"/>
  <c r="H36" i="7"/>
  <c r="N36" i="7" s="1"/>
  <c r="N31" i="7"/>
  <c r="H114" i="36"/>
  <c r="J110" i="36"/>
  <c r="D75" i="58"/>
  <c r="L75" i="58" s="1"/>
  <c r="L72" i="58"/>
  <c r="N72" i="58" s="1"/>
  <c r="P73" i="86"/>
  <c r="X73" i="86" s="1"/>
  <c r="X70" i="86"/>
  <c r="Z70" i="86" s="1"/>
  <c r="D57" i="67"/>
  <c r="L54" i="67"/>
  <c r="H69" i="48"/>
  <c r="J66" i="48"/>
  <c r="H145" i="69"/>
  <c r="J141" i="69"/>
  <c r="H61" i="59"/>
  <c r="N58" i="59"/>
  <c r="T86" i="64"/>
  <c r="X86" i="64" s="1"/>
  <c r="V82" i="64"/>
  <c r="L141" i="69"/>
  <c r="N141" i="69" s="1"/>
  <c r="P36" i="41"/>
  <c r="X31" i="41"/>
  <c r="D36" i="44"/>
  <c r="L31" i="44"/>
  <c r="P36" i="7"/>
  <c r="X31" i="7"/>
  <c r="D36" i="49"/>
  <c r="L31" i="49"/>
  <c r="H93" i="21"/>
  <c r="P54" i="67"/>
  <c r="X50" i="67"/>
  <c r="Z50" i="67" s="1"/>
  <c r="P84" i="33"/>
  <c r="X80" i="33"/>
  <c r="Z80" i="33" s="1"/>
  <c r="R80" i="33"/>
  <c r="P230" i="12"/>
  <c r="X226" i="12"/>
  <c r="Z226" i="12" s="1"/>
  <c r="R226" i="12"/>
  <c r="T222" i="15"/>
  <c r="V218" i="15"/>
  <c r="T36" i="10"/>
  <c r="Z36" i="10" s="1"/>
  <c r="Z31" i="10"/>
  <c r="H35" i="78"/>
  <c r="D51" i="90"/>
  <c r="L47" i="90"/>
  <c r="N47" i="90" s="1"/>
  <c r="F47" i="90"/>
  <c r="Z31" i="29"/>
  <c r="T36" i="29"/>
  <c r="Z36" i="29" s="1"/>
  <c r="D37" i="89"/>
  <c r="L34" i="89"/>
  <c r="P36" i="99"/>
  <c r="X36" i="99" s="1"/>
  <c r="X31" i="99"/>
  <c r="N48" i="61"/>
  <c r="H51" i="61"/>
  <c r="H36" i="29"/>
  <c r="N36" i="29" s="1"/>
  <c r="N31" i="29"/>
  <c r="H88" i="95"/>
  <c r="N85" i="95"/>
  <c r="D36" i="32"/>
  <c r="L31" i="32"/>
  <c r="Z110" i="36"/>
  <c r="T114" i="36"/>
  <c r="V110" i="36"/>
  <c r="H57" i="67"/>
  <c r="N54" i="67"/>
  <c r="H250" i="18"/>
  <c r="J247" i="18"/>
  <c r="D87" i="33"/>
  <c r="L84" i="33"/>
  <c r="N84" i="33" s="1"/>
  <c r="F84" i="33"/>
  <c r="D36" i="34"/>
  <c r="L31" i="34"/>
  <c r="T115" i="39"/>
  <c r="Z111" i="39"/>
  <c r="V111" i="39"/>
  <c r="P36" i="28"/>
  <c r="X36" i="28" s="1"/>
  <c r="X31" i="28"/>
  <c r="D66" i="48"/>
  <c r="L62" i="48"/>
  <c r="N62" i="48" s="1"/>
  <c r="F62" i="48"/>
  <c r="H36" i="11"/>
  <c r="N36" i="11" s="1"/>
  <c r="N31" i="11"/>
  <c r="D265" i="3"/>
  <c r="L261" i="3"/>
  <c r="F261" i="3"/>
  <c r="D36" i="98"/>
  <c r="L36" i="98" s="1"/>
  <c r="L31" i="98"/>
  <c r="T36" i="40"/>
  <c r="Z36" i="40" s="1"/>
  <c r="Z31" i="40"/>
  <c r="D36" i="5"/>
  <c r="L36" i="5" s="1"/>
  <c r="L31" i="5"/>
  <c r="T36" i="4"/>
  <c r="Z36" i="4" s="1"/>
  <c r="Z31" i="4"/>
  <c r="D148" i="69"/>
  <c r="L145" i="69"/>
  <c r="F145" i="69"/>
  <c r="D39" i="88"/>
  <c r="L39" i="88" s="1"/>
  <c r="L36" i="88"/>
  <c r="N36" i="88" s="1"/>
  <c r="H36" i="50"/>
  <c r="N36" i="50" s="1"/>
  <c r="N31" i="50"/>
  <c r="T36" i="22"/>
  <c r="Z36" i="22" s="1"/>
  <c r="Z31" i="22"/>
  <c r="T112" i="77"/>
  <c r="V108" i="77"/>
  <c r="P148" i="69"/>
  <c r="R145" i="69"/>
  <c r="P36" i="10"/>
  <c r="X31" i="10"/>
  <c r="D73" i="86"/>
  <c r="L70" i="86"/>
  <c r="H163" i="30"/>
  <c r="N159" i="30"/>
  <c r="J159" i="30"/>
  <c r="D117" i="27"/>
  <c r="L113" i="27"/>
  <c r="F113" i="27"/>
  <c r="H37" i="89"/>
  <c r="N34" i="89"/>
  <c r="T166" i="30"/>
  <c r="V163" i="30"/>
  <c r="P87" i="85"/>
  <c r="X83" i="85"/>
  <c r="Z83" i="85" s="1"/>
  <c r="R83" i="85"/>
  <c r="D36" i="26"/>
  <c r="L31" i="26"/>
  <c r="T75" i="58"/>
  <c r="P45" i="63"/>
  <c r="X45" i="63" s="1"/>
  <c r="X42" i="63"/>
  <c r="P117" i="36"/>
  <c r="X114" i="36"/>
  <c r="R114" i="36"/>
  <c r="T38" i="84"/>
  <c r="X34" i="84"/>
  <c r="Z34" i="84" s="1"/>
  <c r="V34" i="84"/>
  <c r="T88" i="95"/>
  <c r="T88" i="94"/>
  <c r="Z84" i="94"/>
  <c r="V84" i="94"/>
  <c r="T57" i="67"/>
  <c r="L110" i="36"/>
  <c r="N110" i="36" s="1"/>
  <c r="H87" i="85"/>
  <c r="N83" i="85"/>
  <c r="J83" i="85"/>
  <c r="T36" i="49"/>
  <c r="Z31" i="49"/>
  <c r="X31" i="49"/>
  <c r="P70" i="56"/>
  <c r="X70" i="56" s="1"/>
  <c r="X67" i="56"/>
  <c r="Z67" i="56" s="1"/>
  <c r="P51" i="61"/>
  <c r="X51" i="61" s="1"/>
  <c r="X48" i="61"/>
  <c r="Z48" i="61" s="1"/>
  <c r="D36" i="53"/>
  <c r="L31" i="53"/>
  <c r="D36" i="7"/>
  <c r="L31" i="7"/>
  <c r="D36" i="25"/>
  <c r="L36" i="25" s="1"/>
  <c r="L31" i="25"/>
  <c r="H265" i="3"/>
  <c r="N261" i="3"/>
  <c r="J261" i="3"/>
  <c r="P55" i="91"/>
  <c r="X55" i="91" s="1"/>
  <c r="Z55" i="91" s="1"/>
  <c r="X52" i="91"/>
  <c r="Z52" i="91" s="1"/>
  <c r="T45" i="63"/>
  <c r="Z42" i="63"/>
  <c r="N31" i="16"/>
  <c r="H36" i="16"/>
  <c r="N36" i="16" s="1"/>
  <c r="H36" i="38"/>
  <c r="N31" i="38"/>
  <c r="L31" i="38"/>
  <c r="T81" i="70"/>
  <c r="Z77" i="70"/>
  <c r="V77" i="70"/>
  <c r="P105" i="62"/>
  <c r="X105" i="62" s="1"/>
  <c r="X102" i="62"/>
  <c r="Z102" i="62" s="1"/>
  <c r="X28" i="96"/>
  <c r="Z28" i="96" s="1"/>
  <c r="D80" i="76"/>
  <c r="L77" i="76"/>
  <c r="N77" i="76" s="1"/>
  <c r="F77" i="76"/>
  <c r="P36" i="52"/>
  <c r="X36" i="52" s="1"/>
  <c r="X31" i="52"/>
  <c r="L31" i="16"/>
  <c r="D36" i="16"/>
  <c r="L36" i="16" s="1"/>
  <c r="T80" i="76"/>
  <c r="Z77" i="76"/>
  <c r="P75" i="58"/>
  <c r="X75" i="58" s="1"/>
  <c r="X72" i="58"/>
  <c r="Z72" i="58" s="1"/>
  <c r="D100" i="51"/>
  <c r="L96" i="51"/>
  <c r="F96" i="51"/>
  <c r="T66" i="97"/>
  <c r="Z62" i="97"/>
  <c r="X62" i="97"/>
  <c r="V62" i="97"/>
  <c r="D36" i="100"/>
  <c r="L31" i="100"/>
  <c r="T265" i="3"/>
  <c r="Z261" i="3"/>
  <c r="V261" i="3"/>
  <c r="Z45" i="65"/>
  <c r="X31" i="17"/>
  <c r="P100" i="51"/>
  <c r="X96" i="51"/>
  <c r="R96" i="51"/>
  <c r="H36" i="22"/>
  <c r="N36" i="22" s="1"/>
  <c r="N31" i="22"/>
  <c r="T88" i="79"/>
  <c r="N226" i="12"/>
  <c r="H230" i="12"/>
  <c r="L230" i="12" s="1"/>
  <c r="J226" i="12"/>
  <c r="H117" i="66"/>
  <c r="N113" i="66"/>
  <c r="J113" i="66"/>
  <c r="D36" i="14"/>
  <c r="L31" i="14"/>
  <c r="T36" i="5"/>
  <c r="Z36" i="5" s="1"/>
  <c r="Z31" i="5"/>
  <c r="J91" i="94"/>
  <c r="H36" i="53"/>
  <c r="N36" i="53" s="1"/>
  <c r="N31" i="53"/>
  <c r="L28" i="93"/>
  <c r="D90" i="85"/>
  <c r="L87" i="85"/>
  <c r="F87" i="85"/>
  <c r="N31" i="49"/>
  <c r="H36" i="49"/>
  <c r="N36" i="49" s="1"/>
  <c r="H222" i="15"/>
  <c r="N218" i="15"/>
  <c r="J218" i="15"/>
  <c r="P31" i="6"/>
  <c r="X31" i="6" s="1"/>
  <c r="Z31" i="6" s="1"/>
  <c r="X26" i="6"/>
  <c r="D250" i="18"/>
  <c r="L247" i="18"/>
  <c r="N247" i="18" s="1"/>
  <c r="F247" i="18"/>
  <c r="H73" i="86"/>
  <c r="N70" i="86"/>
  <c r="H117" i="27"/>
  <c r="N113" i="27"/>
  <c r="J113" i="27"/>
  <c r="P36" i="31"/>
  <c r="X36" i="31" s="1"/>
  <c r="X31" i="31"/>
  <c r="D93" i="21"/>
  <c r="L90" i="21"/>
  <c r="N90" i="21" s="1"/>
  <c r="F90" i="21"/>
  <c r="X45" i="65"/>
  <c r="N93" i="9"/>
  <c r="H96" i="9"/>
  <c r="D105" i="62"/>
  <c r="L105" i="62" s="1"/>
  <c r="N105" i="62" s="1"/>
  <c r="L102" i="62"/>
  <c r="N102" i="62" s="1"/>
  <c r="D117" i="36"/>
  <c r="L114" i="36"/>
  <c r="F114" i="36"/>
  <c r="D79" i="81"/>
  <c r="L79" i="81" s="1"/>
  <c r="L76" i="81"/>
  <c r="N76" i="81" s="1"/>
  <c r="X218" i="15"/>
  <c r="Z218" i="15" s="1"/>
  <c r="D36" i="8"/>
  <c r="L31" i="8"/>
  <c r="X108" i="77"/>
  <c r="Z108" i="77" s="1"/>
  <c r="X31" i="14"/>
  <c r="P36" i="14"/>
  <c r="T36" i="26"/>
  <c r="Z36" i="26" s="1"/>
  <c r="Z31" i="26"/>
  <c r="D106" i="42"/>
  <c r="L102" i="42"/>
  <c r="N102" i="42" s="1"/>
  <c r="F102" i="42"/>
  <c r="L87" i="24"/>
  <c r="N87" i="24" s="1"/>
  <c r="H115" i="39"/>
  <c r="N111" i="39"/>
  <c r="J111" i="39"/>
  <c r="T36" i="23"/>
  <c r="Z36" i="23" s="1"/>
  <c r="Z31" i="23"/>
  <c r="H36" i="100"/>
  <c r="N36" i="100" s="1"/>
  <c r="N31" i="100"/>
  <c r="P109" i="42"/>
  <c r="X106" i="42"/>
  <c r="Z106" i="42" s="1"/>
  <c r="R106" i="42"/>
  <c r="H51" i="74"/>
  <c r="L51" i="74" s="1"/>
  <c r="N48" i="74"/>
  <c r="T39" i="88"/>
  <c r="Z36" i="88"/>
  <c r="X31" i="96"/>
  <c r="T100" i="51"/>
  <c r="Z96" i="51"/>
  <c r="V96" i="51"/>
  <c r="T117" i="66"/>
  <c r="V113" i="66"/>
  <c r="D100" i="71"/>
  <c r="L96" i="71"/>
  <c r="N96" i="71" s="1"/>
  <c r="F96" i="71"/>
  <c r="H98" i="45"/>
  <c r="N95" i="45"/>
  <c r="J95" i="45"/>
  <c r="H36" i="52"/>
  <c r="N36" i="52" s="1"/>
  <c r="N31" i="52"/>
  <c r="X82" i="64"/>
  <c r="Z82" i="64" s="1"/>
  <c r="T93" i="21"/>
  <c r="V90" i="21"/>
  <c r="T79" i="81"/>
  <c r="X79" i="81" s="1"/>
  <c r="P117" i="66"/>
  <c r="X113" i="66"/>
  <c r="Z113" i="66" s="1"/>
  <c r="R113" i="66"/>
  <c r="P51" i="74"/>
  <c r="X51" i="74" s="1"/>
  <c r="Z51" i="74" s="1"/>
  <c r="X48" i="74"/>
  <c r="Z48" i="74" s="1"/>
  <c r="P40" i="82"/>
  <c r="X40" i="82" s="1"/>
  <c r="Z40" i="82" s="1"/>
  <c r="X37" i="82"/>
  <c r="Z37" i="82" s="1"/>
  <c r="X36" i="17"/>
  <c r="P88" i="79"/>
  <c r="X85" i="79"/>
  <c r="Z85" i="79" s="1"/>
  <c r="R85" i="79"/>
  <c r="D33" i="75"/>
  <c r="L29" i="75"/>
  <c r="N29" i="75" s="1"/>
  <c r="F29" i="75"/>
  <c r="T145" i="69"/>
  <c r="Z141" i="69"/>
  <c r="V141" i="69"/>
  <c r="D37" i="55"/>
  <c r="L37" i="55" s="1"/>
  <c r="N37" i="55" s="1"/>
  <c r="L34" i="55"/>
  <c r="N34" i="55" s="1"/>
  <c r="L31" i="93"/>
  <c r="L31" i="46"/>
  <c r="T35" i="78"/>
  <c r="Z32" i="78"/>
  <c r="V32" i="78"/>
  <c r="H36" i="20"/>
  <c r="N36" i="20" s="1"/>
  <c r="N31" i="20"/>
  <c r="H36" i="4"/>
  <c r="N36" i="4" s="1"/>
  <c r="N31" i="4"/>
  <c r="L36" i="99"/>
  <c r="L81" i="79"/>
  <c r="N81" i="79" s="1"/>
  <c r="T36" i="53"/>
  <c r="Z36" i="53" s="1"/>
  <c r="Z31" i="53"/>
  <c r="P61" i="59"/>
  <c r="X61" i="59" s="1"/>
  <c r="X58" i="59"/>
  <c r="Z58" i="59" s="1"/>
  <c r="D36" i="4"/>
  <c r="L36" i="4" s="1"/>
  <c r="L31" i="4"/>
  <c r="D35" i="78"/>
  <c r="L32" i="78"/>
  <c r="N32" i="78" s="1"/>
  <c r="F32" i="78"/>
  <c r="X76" i="81"/>
  <c r="Z76" i="81" s="1"/>
  <c r="N31" i="44"/>
  <c r="H36" i="44"/>
  <c r="N36" i="44" s="1"/>
  <c r="H100" i="51"/>
  <c r="N96" i="51"/>
  <c r="J96" i="51"/>
  <c r="X31" i="44"/>
  <c r="P225" i="15"/>
  <c r="X222" i="15"/>
  <c r="R222" i="15"/>
  <c r="P115" i="77"/>
  <c r="X112" i="77"/>
  <c r="R112" i="77"/>
  <c r="D31" i="54"/>
  <c r="L26" i="54"/>
  <c r="H31" i="54"/>
  <c r="N26" i="54"/>
  <c r="D94" i="24"/>
  <c r="L91" i="24"/>
  <c r="F91" i="24"/>
  <c r="D36" i="35"/>
  <c r="L36" i="35" s="1"/>
  <c r="L31" i="35"/>
  <c r="T37" i="89"/>
  <c r="Z34" i="89"/>
  <c r="X34" i="89"/>
  <c r="X36" i="44" l="1"/>
  <c r="X36" i="7"/>
  <c r="L36" i="14"/>
  <c r="X36" i="41"/>
  <c r="L36" i="8"/>
  <c r="X36" i="13"/>
  <c r="L36" i="41"/>
  <c r="X36" i="14"/>
  <c r="L36" i="34"/>
  <c r="L36" i="26"/>
  <c r="L36" i="7"/>
  <c r="X36" i="10"/>
  <c r="L36" i="32"/>
  <c r="T148" i="69"/>
  <c r="V145" i="69"/>
  <c r="V35" i="78"/>
  <c r="J98" i="45"/>
  <c r="L31" i="54"/>
  <c r="N31" i="54" s="1"/>
  <c r="L35" i="78"/>
  <c r="F35" i="78"/>
  <c r="T103" i="51"/>
  <c r="V100" i="51"/>
  <c r="H118" i="39"/>
  <c r="J115" i="39"/>
  <c r="H120" i="27"/>
  <c r="J117" i="27"/>
  <c r="L80" i="76"/>
  <c r="F80" i="76"/>
  <c r="Z36" i="49"/>
  <c r="X36" i="49"/>
  <c r="Z75" i="58"/>
  <c r="V166" i="30"/>
  <c r="H166" i="30"/>
  <c r="J163" i="30"/>
  <c r="L36" i="44"/>
  <c r="L57" i="67"/>
  <c r="D89" i="64"/>
  <c r="L86" i="64"/>
  <c r="N86" i="64" s="1"/>
  <c r="F86" i="64"/>
  <c r="P88" i="95"/>
  <c r="X85" i="95"/>
  <c r="Z85" i="95" s="1"/>
  <c r="R85" i="95"/>
  <c r="P93" i="21"/>
  <c r="X90" i="21"/>
  <c r="Z90" i="21" s="1"/>
  <c r="R90" i="21"/>
  <c r="L36" i="22"/>
  <c r="L36" i="11"/>
  <c r="L36" i="20"/>
  <c r="F120" i="66"/>
  <c r="Z96" i="9"/>
  <c r="X96" i="9"/>
  <c r="N66" i="97"/>
  <c r="H69" i="97"/>
  <c r="J66" i="97"/>
  <c r="V98" i="45"/>
  <c r="D36" i="75"/>
  <c r="L33" i="75"/>
  <c r="N33" i="75" s="1"/>
  <c r="F33" i="75"/>
  <c r="V93" i="21"/>
  <c r="X109" i="42"/>
  <c r="R109" i="42"/>
  <c r="N36" i="38"/>
  <c r="L36" i="38"/>
  <c r="L36" i="53"/>
  <c r="T41" i="84"/>
  <c r="V38" i="84"/>
  <c r="X38" i="84"/>
  <c r="Z38" i="84" s="1"/>
  <c r="T118" i="39"/>
  <c r="V115" i="39"/>
  <c r="J250" i="18"/>
  <c r="N35" i="78"/>
  <c r="X230" i="12"/>
  <c r="P233" i="12"/>
  <c r="R230" i="12"/>
  <c r="H117" i="36"/>
  <c r="N114" i="36"/>
  <c r="J114" i="36"/>
  <c r="X36" i="5"/>
  <c r="T233" i="12"/>
  <c r="Z230" i="12"/>
  <c r="V230" i="12"/>
  <c r="V86" i="92"/>
  <c r="X36" i="47"/>
  <c r="X37" i="55"/>
  <c r="L45" i="65"/>
  <c r="L115" i="39"/>
  <c r="N115" i="39" s="1"/>
  <c r="V90" i="85"/>
  <c r="X36" i="38"/>
  <c r="D115" i="77"/>
  <c r="L112" i="77"/>
  <c r="F112" i="77"/>
  <c r="V250" i="18"/>
  <c r="H86" i="92"/>
  <c r="D103" i="71"/>
  <c r="L100" i="71"/>
  <c r="F100" i="71"/>
  <c r="F117" i="36"/>
  <c r="H225" i="15"/>
  <c r="J222" i="15"/>
  <c r="T69" i="97"/>
  <c r="Z66" i="97"/>
  <c r="V66" i="97"/>
  <c r="X66" i="97"/>
  <c r="H270" i="3"/>
  <c r="J265" i="3"/>
  <c r="L73" i="86"/>
  <c r="N73" i="86" s="1"/>
  <c r="T115" i="77"/>
  <c r="Z112" i="77"/>
  <c r="V112" i="77"/>
  <c r="L37" i="89"/>
  <c r="N37" i="89" s="1"/>
  <c r="L36" i="49"/>
  <c r="N39" i="88"/>
  <c r="P86" i="92"/>
  <c r="X83" i="92"/>
  <c r="Z83" i="92" s="1"/>
  <c r="R83" i="92"/>
  <c r="D84" i="70"/>
  <c r="L81" i="70"/>
  <c r="N81" i="70" s="1"/>
  <c r="F81" i="70"/>
  <c r="L61" i="59"/>
  <c r="N61" i="59" s="1"/>
  <c r="N100" i="71"/>
  <c r="H103" i="71"/>
  <c r="J100" i="71"/>
  <c r="P91" i="94"/>
  <c r="X88" i="94"/>
  <c r="R88" i="94"/>
  <c r="N79" i="81"/>
  <c r="Z61" i="59"/>
  <c r="X35" i="78"/>
  <c r="Z35" i="78" s="1"/>
  <c r="R35" i="78"/>
  <c r="L36" i="47"/>
  <c r="X36" i="4"/>
  <c r="L118" i="39"/>
  <c r="F118" i="39"/>
  <c r="X36" i="22"/>
  <c r="L36" i="46"/>
  <c r="P94" i="24"/>
  <c r="X91" i="24"/>
  <c r="R91" i="24"/>
  <c r="N31" i="6"/>
  <c r="L36" i="17"/>
  <c r="X115" i="77"/>
  <c r="R115" i="77"/>
  <c r="L93" i="21"/>
  <c r="N93" i="21" s="1"/>
  <c r="F93" i="21"/>
  <c r="H90" i="85"/>
  <c r="N87" i="85"/>
  <c r="J87" i="85"/>
  <c r="T91" i="94"/>
  <c r="Z88" i="94"/>
  <c r="V88" i="94"/>
  <c r="L148" i="69"/>
  <c r="F148" i="69"/>
  <c r="D69" i="48"/>
  <c r="L66" i="48"/>
  <c r="N66" i="48" s="1"/>
  <c r="F66" i="48"/>
  <c r="N57" i="67"/>
  <c r="H148" i="69"/>
  <c r="N145" i="69"/>
  <c r="J145" i="69"/>
  <c r="T32" i="87"/>
  <c r="Z29" i="87"/>
  <c r="V29" i="87"/>
  <c r="X29" i="87"/>
  <c r="L163" i="30"/>
  <c r="N163" i="30" s="1"/>
  <c r="Z37" i="55"/>
  <c r="P118" i="39"/>
  <c r="X115" i="39"/>
  <c r="Z115" i="39" s="1"/>
  <c r="R115" i="39"/>
  <c r="P103" i="71"/>
  <c r="X100" i="71"/>
  <c r="R100" i="71"/>
  <c r="N45" i="65"/>
  <c r="J84" i="70"/>
  <c r="X36" i="32"/>
  <c r="L91" i="94"/>
  <c r="N91" i="94" s="1"/>
  <c r="F91" i="94"/>
  <c r="Z109" i="42"/>
  <c r="V109" i="42"/>
  <c r="X120" i="27"/>
  <c r="R120" i="27"/>
  <c r="N80" i="76"/>
  <c r="H103" i="51"/>
  <c r="J100" i="51"/>
  <c r="X88" i="79"/>
  <c r="Z88" i="79" s="1"/>
  <c r="R88" i="79"/>
  <c r="T270" i="3"/>
  <c r="Z265" i="3"/>
  <c r="V265" i="3"/>
  <c r="R117" i="36"/>
  <c r="P87" i="33"/>
  <c r="X84" i="33"/>
  <c r="Z84" i="33" s="1"/>
  <c r="R84" i="33"/>
  <c r="L36" i="52"/>
  <c r="Z105" i="62"/>
  <c r="P166" i="30"/>
  <c r="X163" i="30"/>
  <c r="Z163" i="30" s="1"/>
  <c r="R163" i="30"/>
  <c r="L166" i="30"/>
  <c r="F166" i="30"/>
  <c r="Z36" i="75"/>
  <c r="V36" i="75"/>
  <c r="X36" i="40"/>
  <c r="L69" i="97"/>
  <c r="F69" i="97"/>
  <c r="T54" i="90"/>
  <c r="D41" i="84"/>
  <c r="L41" i="84" s="1"/>
  <c r="N41" i="84" s="1"/>
  <c r="L38" i="84"/>
  <c r="N38" i="84" s="1"/>
  <c r="H115" i="77"/>
  <c r="N112" i="77"/>
  <c r="J112" i="77"/>
  <c r="T69" i="48"/>
  <c r="Z66" i="48"/>
  <c r="V66" i="48"/>
  <c r="N87" i="33"/>
  <c r="J87" i="33"/>
  <c r="Z36" i="20"/>
  <c r="X36" i="20"/>
  <c r="N75" i="58"/>
  <c r="Z51" i="61"/>
  <c r="L88" i="79"/>
  <c r="F88" i="79"/>
  <c r="X89" i="64"/>
  <c r="R89" i="64"/>
  <c r="D32" i="87"/>
  <c r="L32" i="87" s="1"/>
  <c r="L29" i="87"/>
  <c r="N29" i="87" s="1"/>
  <c r="N70" i="56"/>
  <c r="F94" i="24"/>
  <c r="P120" i="66"/>
  <c r="X117" i="66"/>
  <c r="Z117" i="66" s="1"/>
  <c r="R117" i="66"/>
  <c r="D109" i="42"/>
  <c r="L106" i="42"/>
  <c r="N106" i="42" s="1"/>
  <c r="F106" i="42"/>
  <c r="T120" i="66"/>
  <c r="V117" i="66"/>
  <c r="X39" i="88"/>
  <c r="Z39" i="88" s="1"/>
  <c r="L250" i="18"/>
  <c r="N250" i="18" s="1"/>
  <c r="F250" i="18"/>
  <c r="H120" i="66"/>
  <c r="L120" i="66" s="1"/>
  <c r="J117" i="66"/>
  <c r="D103" i="51"/>
  <c r="L100" i="51"/>
  <c r="N100" i="51" s="1"/>
  <c r="F100" i="51"/>
  <c r="Z45" i="63"/>
  <c r="P90" i="85"/>
  <c r="X87" i="85"/>
  <c r="Z87" i="85" s="1"/>
  <c r="R87" i="85"/>
  <c r="D120" i="27"/>
  <c r="L117" i="27"/>
  <c r="N117" i="27" s="1"/>
  <c r="F117" i="27"/>
  <c r="T117" i="36"/>
  <c r="X117" i="36" s="1"/>
  <c r="Z114" i="36"/>
  <c r="V114" i="36"/>
  <c r="T89" i="64"/>
  <c r="Z86" i="64"/>
  <c r="V86" i="64"/>
  <c r="L51" i="61"/>
  <c r="N51" i="61" s="1"/>
  <c r="P98" i="45"/>
  <c r="X95" i="45"/>
  <c r="Z95" i="45" s="1"/>
  <c r="R95" i="45"/>
  <c r="X36" i="34"/>
  <c r="J109" i="42"/>
  <c r="X36" i="23"/>
  <c r="T103" i="71"/>
  <c r="Z100" i="71"/>
  <c r="V100" i="71"/>
  <c r="X51" i="90"/>
  <c r="Z51" i="90" s="1"/>
  <c r="H94" i="24"/>
  <c r="N91" i="24"/>
  <c r="L98" i="45"/>
  <c r="N98" i="45" s="1"/>
  <c r="F98" i="45"/>
  <c r="T94" i="24"/>
  <c r="Z91" i="24"/>
  <c r="V91" i="24"/>
  <c r="X80" i="76"/>
  <c r="Z80" i="76" s="1"/>
  <c r="R80" i="76"/>
  <c r="D225" i="15"/>
  <c r="L222" i="15"/>
  <c r="N222" i="15" s="1"/>
  <c r="F222" i="15"/>
  <c r="H88" i="79"/>
  <c r="N85" i="79"/>
  <c r="X36" i="8"/>
  <c r="Z70" i="56"/>
  <c r="P270" i="3"/>
  <c r="X265" i="3"/>
  <c r="R265" i="3"/>
  <c r="L36" i="13"/>
  <c r="L36" i="50"/>
  <c r="X225" i="15"/>
  <c r="R225" i="15"/>
  <c r="Z79" i="81"/>
  <c r="N51" i="74"/>
  <c r="N96" i="9"/>
  <c r="L36" i="100"/>
  <c r="Z81" i="70"/>
  <c r="T84" i="70"/>
  <c r="V81" i="70"/>
  <c r="X145" i="69"/>
  <c r="Z145" i="69" s="1"/>
  <c r="D270" i="3"/>
  <c r="L265" i="3"/>
  <c r="N265" i="3" s="1"/>
  <c r="F265" i="3"/>
  <c r="L87" i="33"/>
  <c r="F87" i="33"/>
  <c r="T225" i="15"/>
  <c r="Z222" i="15"/>
  <c r="V222" i="15"/>
  <c r="P57" i="67"/>
  <c r="X57" i="67" s="1"/>
  <c r="X54" i="67"/>
  <c r="Z54" i="67" s="1"/>
  <c r="J69" i="48"/>
  <c r="X36" i="26"/>
  <c r="X36" i="16"/>
  <c r="Z31" i="54"/>
  <c r="X31" i="54"/>
  <c r="L96" i="9"/>
  <c r="X54" i="90"/>
  <c r="R54" i="90"/>
  <c r="X53" i="60"/>
  <c r="Z53" i="60" s="1"/>
  <c r="Z120" i="27"/>
  <c r="V120" i="27"/>
  <c r="N55" i="91"/>
  <c r="L55" i="91"/>
  <c r="P250" i="18"/>
  <c r="X247" i="18"/>
  <c r="Z247" i="18" s="1"/>
  <c r="R247" i="18"/>
  <c r="X36" i="98"/>
  <c r="L233" i="12"/>
  <c r="F233" i="12"/>
  <c r="D73" i="73"/>
  <c r="L73" i="73" s="1"/>
  <c r="L70" i="73"/>
  <c r="N70" i="73" s="1"/>
  <c r="Z31" i="96"/>
  <c r="X37" i="89"/>
  <c r="Z37" i="89" s="1"/>
  <c r="L90" i="85"/>
  <c r="F90" i="85"/>
  <c r="H233" i="12"/>
  <c r="N230" i="12"/>
  <c r="J230" i="12"/>
  <c r="P103" i="51"/>
  <c r="X100" i="51"/>
  <c r="Z100" i="51" s="1"/>
  <c r="R100" i="51"/>
  <c r="X36" i="53"/>
  <c r="Z57" i="67"/>
  <c r="X148" i="69"/>
  <c r="R148" i="69"/>
  <c r="D54" i="90"/>
  <c r="L51" i="90"/>
  <c r="N51" i="90" s="1"/>
  <c r="F51" i="90"/>
  <c r="X36" i="29"/>
  <c r="P84" i="70"/>
  <c r="X81" i="70"/>
  <c r="R81" i="70"/>
  <c r="X69" i="48"/>
  <c r="R69" i="48"/>
  <c r="V87" i="33"/>
  <c r="L88" i="95"/>
  <c r="N88" i="95" s="1"/>
  <c r="F88" i="95"/>
  <c r="T73" i="73"/>
  <c r="Z70" i="73"/>
  <c r="V70" i="73"/>
  <c r="J36" i="75"/>
  <c r="D86" i="92"/>
  <c r="L83" i="92"/>
  <c r="N83" i="92" s="1"/>
  <c r="F83" i="92"/>
  <c r="Z73" i="86"/>
  <c r="N73" i="73"/>
  <c r="L36" i="29"/>
  <c r="L117" i="66"/>
  <c r="N117" i="66" s="1"/>
  <c r="N32" i="87"/>
  <c r="J32" i="87"/>
  <c r="X120" i="66" l="1"/>
  <c r="R120" i="66"/>
  <c r="V270" i="3"/>
  <c r="X118" i="39"/>
  <c r="R118" i="39"/>
  <c r="Z118" i="39"/>
  <c r="V118" i="39"/>
  <c r="J117" i="36"/>
  <c r="L36" i="75"/>
  <c r="N36" i="75" s="1"/>
  <c r="F36" i="75"/>
  <c r="X103" i="51"/>
  <c r="R103" i="51"/>
  <c r="L225" i="15"/>
  <c r="F225" i="15"/>
  <c r="L103" i="51"/>
  <c r="F103" i="51"/>
  <c r="Z54" i="90"/>
  <c r="N148" i="69"/>
  <c r="J148" i="69"/>
  <c r="J270" i="3"/>
  <c r="N225" i="15"/>
  <c r="J225" i="15"/>
  <c r="X233" i="12"/>
  <c r="R233" i="12"/>
  <c r="N118" i="39"/>
  <c r="J118" i="39"/>
  <c r="X270" i="3"/>
  <c r="Z270" i="3" s="1"/>
  <c r="R270" i="3"/>
  <c r="L120" i="27"/>
  <c r="F120" i="27"/>
  <c r="Z120" i="66"/>
  <c r="V120" i="66"/>
  <c r="L94" i="24"/>
  <c r="N94" i="24" s="1"/>
  <c r="Z69" i="48"/>
  <c r="V69" i="48"/>
  <c r="X87" i="33"/>
  <c r="Z87" i="33" s="1"/>
  <c r="R87" i="33"/>
  <c r="V91" i="94"/>
  <c r="L84" i="70"/>
  <c r="N84" i="70" s="1"/>
  <c r="F84" i="70"/>
  <c r="X88" i="95"/>
  <c r="Z88" i="95" s="1"/>
  <c r="R88" i="95"/>
  <c r="L54" i="90"/>
  <c r="N54" i="90" s="1"/>
  <c r="F54" i="90"/>
  <c r="X250" i="18"/>
  <c r="Z250" i="18" s="1"/>
  <c r="R250" i="18"/>
  <c r="V73" i="73"/>
  <c r="L270" i="3"/>
  <c r="N270" i="3" s="1"/>
  <c r="F270" i="3"/>
  <c r="Z89" i="64"/>
  <c r="V89" i="64"/>
  <c r="N120" i="66"/>
  <c r="J120" i="66"/>
  <c r="X91" i="94"/>
  <c r="Z91" i="94" s="1"/>
  <c r="R91" i="94"/>
  <c r="Z233" i="12"/>
  <c r="V233" i="12"/>
  <c r="N166" i="30"/>
  <c r="J166" i="30"/>
  <c r="Z103" i="51"/>
  <c r="V103" i="51"/>
  <c r="N233" i="12"/>
  <c r="J233" i="12"/>
  <c r="Z115" i="77"/>
  <c r="V115" i="77"/>
  <c r="L117" i="36"/>
  <c r="N117" i="36" s="1"/>
  <c r="V41" i="84"/>
  <c r="X41" i="84"/>
  <c r="Z41" i="84" s="1"/>
  <c r="N69" i="97"/>
  <c r="J69" i="97"/>
  <c r="Z117" i="36"/>
  <c r="V117" i="36"/>
  <c r="X98" i="45"/>
  <c r="Z98" i="45" s="1"/>
  <c r="R98" i="45"/>
  <c r="X90" i="85"/>
  <c r="Z90" i="85" s="1"/>
  <c r="R90" i="85"/>
  <c r="L109" i="42"/>
  <c r="N109" i="42" s="1"/>
  <c r="F109" i="42"/>
  <c r="J115" i="77"/>
  <c r="X166" i="30"/>
  <c r="Z166" i="30" s="1"/>
  <c r="R166" i="30"/>
  <c r="X103" i="71"/>
  <c r="R103" i="71"/>
  <c r="L69" i="48"/>
  <c r="N69" i="48" s="1"/>
  <c r="F69" i="48"/>
  <c r="N90" i="85"/>
  <c r="J90" i="85"/>
  <c r="J103" i="71"/>
  <c r="X86" i="92"/>
  <c r="Z86" i="92" s="1"/>
  <c r="R86" i="92"/>
  <c r="V69" i="97"/>
  <c r="X69" i="97"/>
  <c r="Z69" i="97" s="1"/>
  <c r="L89" i="64"/>
  <c r="N89" i="64" s="1"/>
  <c r="F89" i="64"/>
  <c r="L103" i="71"/>
  <c r="N103" i="71" s="1"/>
  <c r="F103" i="71"/>
  <c r="X93" i="21"/>
  <c r="Z93" i="21" s="1"/>
  <c r="R93" i="21"/>
  <c r="L86" i="92"/>
  <c r="N86" i="92" s="1"/>
  <c r="F86" i="92"/>
  <c r="X84" i="70"/>
  <c r="Z84" i="70" s="1"/>
  <c r="R84" i="70"/>
  <c r="X73" i="73"/>
  <c r="Z73" i="73" s="1"/>
  <c r="Z225" i="15"/>
  <c r="V225" i="15"/>
  <c r="V84" i="70"/>
  <c r="N88" i="79"/>
  <c r="Z94" i="24"/>
  <c r="V94" i="24"/>
  <c r="Z103" i="71"/>
  <c r="V103" i="71"/>
  <c r="N103" i="51"/>
  <c r="J103" i="51"/>
  <c r="V32" i="87"/>
  <c r="X32" i="87"/>
  <c r="Z32" i="87" s="1"/>
  <c r="X94" i="24"/>
  <c r="R94" i="24"/>
  <c r="L115" i="77"/>
  <c r="N115" i="77" s="1"/>
  <c r="F115" i="77"/>
  <c r="N120" i="27"/>
  <c r="J120" i="27"/>
  <c r="Z148" i="69"/>
  <c r="V148" i="69"/>
</calcChain>
</file>

<file path=xl/sharedStrings.xml><?xml version="1.0" encoding="utf-8"?>
<sst xmlns="http://schemas.openxmlformats.org/spreadsheetml/2006/main" count="2870" uniqueCount="314">
  <si>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</si>
  <si>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</si>
  <si>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</si>
  <si>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</si>
  <si>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</si>
  <si>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</si>
  <si>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</si>
  <si>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</si>
  <si>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</si>
  <si>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</si>
  <si>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</si>
  <si>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</si>
  <si>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</si>
  <si>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</si>
  <si>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</si>
  <si>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</si>
  <si>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</si>
  <si>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</si>
  <si>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</si>
  <si>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</si>
  <si>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</si>
  <si>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</si>
  <si>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</si>
  <si>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</si>
  <si>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</si>
  <si>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</si>
  <si>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</si>
  <si>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</si>
  <si>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</si>
  <si>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</si>
  <si>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</si>
  <si>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</si>
  <si>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</si>
  <si>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</si>
  <si>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</si>
  <si>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</si>
  <si>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</si>
  <si>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</si>
  <si>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</si>
  <si>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YEAR TO DATE</t>
  </si>
  <si>
    <t>% of Sales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</si>
  <si>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</si>
  <si>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</si>
  <si>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</si>
  <si>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</si>
  <si>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</si>
  <si>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</si>
  <si>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</si>
  <si>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</si>
  <si>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</si>
  <si>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</si>
  <si>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</si>
  <si>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</si>
  <si>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</si>
  <si>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</si>
  <si>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</si>
  <si>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</si>
  <si>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Actual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</si>
  <si>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</si>
  <si>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</si>
  <si>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</si>
  <si>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</si>
  <si>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</si>
  <si>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</si>
  <si>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</si>
  <si>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</si>
  <si>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</si>
  <si>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</si>
  <si>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</si>
  <si>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</si>
  <si>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</si>
  <si>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</si>
  <si>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</si>
  <si>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</si>
  <si>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</si>
  <si>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</si>
  <si>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</si>
  <si>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</si>
  <si>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</si>
  <si>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</si>
  <si>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</si>
  <si>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</si>
  <si>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</si>
  <si>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</si>
  <si>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</si>
  <si>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</si>
  <si>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</si>
  <si>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</si>
  <si>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</si>
  <si>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</si>
  <si>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</si>
  <si>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</si>
  <si>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</si>
  <si>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</si>
  <si>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</si>
  <si>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</si>
  <si>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</si>
  <si>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</si>
  <si>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</si>
  <si>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</si>
  <si>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</si>
  <si>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</si>
  <si>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</si>
  <si>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</si>
  <si>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5 - ID Card Services</t>
  </si>
  <si>
    <t>Division 491 - Cash Food Operations</t>
  </si>
  <si>
    <t>Division 3 - Bookstore &amp; C-Stores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</si>
  <si>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</si>
  <si>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</si>
  <si>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</si>
  <si>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</si>
  <si>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</si>
  <si>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</si>
  <si>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</si>
  <si>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</si>
  <si>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</si>
  <si>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</si>
  <si>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</si>
  <si>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</si>
  <si>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</si>
  <si>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</si>
  <si>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</si>
  <si>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</si>
  <si>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</si>
  <si>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Division 332 - Combined 316, 320, &amp; 323</t>
  </si>
  <si>
    <t>OPERATING CONTRIBUTION</t>
  </si>
  <si>
    <t>Variance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</si>
  <si>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</si>
  <si>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</si>
  <si>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</si>
  <si>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</si>
  <si>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</si>
  <si>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</si>
  <si>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</si>
  <si>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</si>
  <si>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</si>
  <si>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</si>
  <si>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</si>
  <si>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</si>
  <si>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Sales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</si>
  <si>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</si>
  <si>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</si>
  <si>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</si>
  <si>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</si>
  <si>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</si>
  <si>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</si>
  <si>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</si>
  <si>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</si>
  <si>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</si>
  <si>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</si>
  <si>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</si>
  <si>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</si>
  <si>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</si>
  <si>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</si>
  <si>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</si>
  <si>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</si>
  <si>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</si>
  <si>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</si>
  <si>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</si>
  <si>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</si>
  <si>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</si>
  <si>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</si>
  <si>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</si>
  <si>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</si>
  <si>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</si>
  <si>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</si>
  <si>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</si>
  <si>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</si>
  <si>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</si>
  <si>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</si>
  <si>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</si>
  <si>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</si>
  <si>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</si>
  <si>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</si>
  <si>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</si>
  <si>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</si>
  <si>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</si>
  <si>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</si>
  <si>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</si>
  <si>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</si>
  <si>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</si>
  <si>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</si>
  <si>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</si>
  <si>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</si>
  <si>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</si>
  <si>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</si>
  <si>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</si>
  <si>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</si>
  <si>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</si>
  <si>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</si>
  <si>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</si>
  <si>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</si>
  <si>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</si>
  <si>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</si>
  <si>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</si>
  <si>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</si>
  <si>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</si>
  <si>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</si>
  <si>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310 - C-Stores</t>
  </si>
  <si>
    <t>Division 4 - Food Services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</si>
  <si>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</si>
  <si>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</si>
  <si>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</si>
  <si>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</si>
  <si>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</si>
  <si>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</si>
  <si>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</si>
  <si>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</si>
  <si>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</si>
  <si>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</si>
  <si>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</si>
  <si>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</si>
  <si>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</si>
  <si>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</si>
  <si>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</si>
  <si>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</si>
  <si>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</si>
  <si>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</si>
  <si>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</si>
  <si>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</si>
  <si>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</si>
  <si>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</si>
  <si>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</si>
  <si>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</si>
  <si>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</si>
  <si>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</si>
  <si>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</si>
  <si>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</si>
  <si>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</si>
  <si>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</si>
  <si>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</si>
  <si>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</si>
  <si>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</si>
  <si>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</si>
  <si>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</si>
  <si>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</si>
  <si>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Combined Operating Statement by Department</t>
  </si>
  <si>
    <t>Prior Year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</si>
  <si>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</si>
  <si>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</si>
  <si>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</si>
  <si>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</si>
  <si>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</si>
  <si>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</si>
  <si>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</si>
  <si>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</si>
  <si>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</si>
  <si>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</si>
  <si>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</si>
  <si>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</si>
  <si>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</si>
  <si>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</si>
  <si>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</si>
  <si>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</si>
  <si>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</si>
  <si>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</si>
  <si>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>Cost of Goods Sold</t>
  </si>
  <si>
    <t>% Variance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</si>
  <si>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</si>
  <si>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</si>
  <si>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</si>
  <si>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</si>
  <si>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</si>
  <si>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</si>
  <si>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</si>
  <si>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</si>
  <si>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</si>
  <si>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</si>
  <si>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</si>
  <si>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</si>
  <si>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</si>
  <si>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</si>
  <si>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</si>
  <si>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</si>
  <si>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</si>
  <si>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</si>
  <si>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</si>
  <si>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</si>
  <si>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</si>
  <si>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</si>
  <si>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</si>
  <si>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</si>
  <si>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</si>
  <si>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</si>
  <si>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</si>
  <si>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</si>
  <si>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</si>
  <si>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</si>
  <si>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</si>
  <si>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</si>
  <si>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</si>
  <si>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CURRENT PERIOD</t>
  </si>
  <si>
    <t>Credits &amp; Revenues</t>
  </si>
  <si>
    <t>NET CONTRIBUTION</t>
  </si>
  <si>
    <t>Operating Expenses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</si>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</sst>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1" fillId="0" borderId="0" xfId="3" applyNumberFormat="1" applyFont="1" applyFill="1"/>
    <xf numFmtId="168" fontId="2" fillId="2" borderId="2" xfId="2" applyNumberFormat="1" applyFont="1" applyFill="1" applyBorder="1"/>
    <xf numFmtId="167" fontId="2" fillId="2" borderId="2" xfId="3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1" fillId="0" borderId="0" xfId="0" applyFont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49" fontId="0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Alignment="1">
      <alignment horizontal="right"/>
    </xf>
    <xf numFmtId="0" fontId="0" fillId="0" borderId="0" xfId="0" applyFont="1" applyBorder="1"/>
    <xf numFmtId="49" fontId="2" fillId="0" borderId="0" xfId="0" applyNumberFormat="1" applyFont="1" applyFill="1" applyBorder="1" applyAlignment="1">
      <alignment horizontal="center"/>
    </xf>
    <xf numFmtId="168" fontId="2" fillId="2" borderId="3" xfId="2" applyNumberFormat="1" applyFont="1" applyFill="1" applyBorder="1"/>
    <xf numFmtId="168" fontId="2" fillId="2" borderId="4" xfId="2" applyNumberFormat="1" applyFont="1" applyFill="1" applyBorder="1"/>
    <xf numFmtId="167" fontId="2" fillId="2" borderId="3" xfId="3" applyNumberFormat="1" applyFont="1" applyFill="1" applyBorder="1"/>
    <xf numFmtId="167" fontId="2" fillId="0" borderId="0" xfId="3" applyNumberFormat="1" applyFont="1" applyFill="1" applyBorder="1"/>
    <xf numFmtId="167" fontId="2" fillId="2" borderId="4" xfId="3" applyNumberFormat="1" applyFont="1" applyFill="1" applyBorder="1"/>
    <xf numFmtId="167" fontId="2" fillId="2" borderId="1" xfId="3" applyNumberFormat="1" applyFont="1" applyFill="1" applyBorder="1" applyAlignment="1">
      <alignment horizontal="center"/>
    </xf>
    <xf numFmtId="0" fontId="0" fillId="0" borderId="0" xfId="0" applyFill="1" applyBorder="1"/>
    <xf numFmtId="167" fontId="0" fillId="0" borderId="0" xfId="0" applyNumberFormat="1"/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0" fontId="2" fillId="2" borderId="1" xfId="0" applyNumberFormat="1" applyFont="1" applyFill="1" applyBorder="1" applyAlignment="1">
      <alignment horizontal="center"/>
    </xf>
    <xf numFmtId="167" fontId="0" fillId="0" borderId="0" xfId="3" applyNumberFormat="1" applyFont="1"/>
    <xf numFmtId="167" fontId="0" fillId="0" borderId="0" xfId="0" applyNumberFormat="1" applyFill="1"/>
    <xf numFmtId="167" fontId="0" fillId="0" borderId="0" xfId="3" applyNumberFormat="1" applyFont="1" applyAlignment="1">
      <alignment horizontal="centerContinuous"/>
    </xf>
    <xf numFmtId="164" fontId="2" fillId="0" borderId="0" xfId="1" applyNumberFormat="1" applyFont="1" applyAlignment="1">
      <alignment horizontal="left"/>
    </xf>
    <xf numFmtId="167" fontId="2" fillId="2" borderId="1" xfId="0" applyNumberFormat="1" applyFont="1" applyFill="1" applyBorder="1" applyAlignment="1">
      <alignment horizontal="centerContinuous"/>
    </xf>
    <xf numFmtId="49" fontId="2" fillId="0" borderId="0" xfId="0" applyNumberFormat="1" applyFont="1" applyFill="1"/>
    <xf numFmtId="49" fontId="2" fillId="2" borderId="1" xfId="0" applyNumberFormat="1" applyFont="1" applyFill="1" applyBorder="1" applyAlignment="1">
      <alignment horizontal="center"/>
    </xf>
    <xf numFmtId="0" fontId="0" fillId="0" borderId="0" xfId="0" applyBorder="1"/>
    <xf numFmtId="0" fontId="3" fillId="0" borderId="0" xfId="0" applyFont="1" applyFill="1"/>
    <xf numFmtId="0" fontId="0" fillId="0" borderId="0" xfId="0" applyFill="1" applyAlignment="1">
      <alignment horizontal="centerContinuous"/>
    </xf>
    <xf numFmtId="0" fontId="2" fillId="0" borderId="0" xfId="0" applyFont="1" applyFill="1" applyBorder="1"/>
    <xf numFmtId="0" fontId="4" fillId="0" borderId="0" xfId="0" applyFont="1" applyAlignment="1">
      <alignment horizontal="left"/>
    </xf>
    <xf numFmtId="164" fontId="2" fillId="0" borderId="0" xfId="1" applyNumberFormat="1" applyFont="1" applyFill="1" applyAlignment="1">
      <alignment horizontal="centerContinuous"/>
    </xf>
    <xf numFmtId="0" fontId="5" fillId="0" borderId="0" xfId="0" applyFont="1"/>
    <xf numFmtId="166" fontId="4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165" fontId="0" fillId="0" borderId="0" xfId="0" applyNumberFormat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"/>
  <sheetViews>
    <sheetView workbookViewId="0"/>
  </sheetViews>
  <sheetFormatPr defaultRowHeight="14.4" x14ac:dyDescent="0.3"/>
  <cols>
    <col min="1" max="130" width="20.6640625" customWidth="1"/>
  </cols>
  <sheetData>
    <row r="1" spans="1:130" x14ac:dyDescent="0.3">
      <c r="B1">
        <v>4</v>
      </c>
    </row>
    <row r="3" spans="1:130" ht="28.8" x14ac:dyDescent="0.3">
      <c r="A3" s="41" t="s">
        <v>177</v>
      </c>
      <c r="B3" s="41" t="s">
        <v>195</v>
      </c>
      <c r="C3" s="41" t="s">
        <v>238</v>
      </c>
      <c r="D3" s="41" t="s">
        <v>98</v>
      </c>
      <c r="E3" s="41" t="s">
        <v>157</v>
      </c>
      <c r="F3" s="41" t="s">
        <v>0</v>
      </c>
      <c r="G3" s="41" t="s">
        <v>178</v>
      </c>
      <c r="H3" s="41" t="s">
        <v>53</v>
      </c>
      <c r="I3" s="41" t="s">
        <v>99</v>
      </c>
      <c r="J3" s="41" t="s">
        <v>213</v>
      </c>
      <c r="K3" s="41" t="s">
        <v>137</v>
      </c>
      <c r="L3" s="41" t="s">
        <v>214</v>
      </c>
      <c r="M3" s="41" t="s">
        <v>77</v>
      </c>
      <c r="N3" s="41" t="s">
        <v>78</v>
      </c>
      <c r="O3" s="41" t="s">
        <v>179</v>
      </c>
      <c r="P3" s="41" t="s">
        <v>196</v>
      </c>
      <c r="Q3" s="41" t="s">
        <v>17</v>
      </c>
      <c r="R3" s="41" t="s">
        <v>18</v>
      </c>
      <c r="S3" s="41" t="s">
        <v>54</v>
      </c>
      <c r="T3" s="41" t="s">
        <v>215</v>
      </c>
      <c r="U3" s="41" t="s">
        <v>270</v>
      </c>
      <c r="V3" s="41" t="s">
        <v>288</v>
      </c>
      <c r="W3" s="41" t="s">
        <v>180</v>
      </c>
      <c r="X3" s="41" t="s">
        <v>271</v>
      </c>
      <c r="Y3" s="41" t="s">
        <v>101</v>
      </c>
      <c r="Z3" s="41" t="s">
        <v>252</v>
      </c>
      <c r="AA3" s="41" t="s">
        <v>158</v>
      </c>
      <c r="AB3" s="41" t="s">
        <v>272</v>
      </c>
      <c r="AC3" s="41" t="s">
        <v>19</v>
      </c>
      <c r="AD3" s="41" t="s">
        <v>102</v>
      </c>
      <c r="AE3" s="41" t="s">
        <v>159</v>
      </c>
      <c r="AF3" s="41" t="s">
        <v>103</v>
      </c>
      <c r="AG3" s="41" t="s">
        <v>197</v>
      </c>
      <c r="AH3" s="41" t="s">
        <v>38</v>
      </c>
      <c r="AI3" s="41" t="s">
        <v>273</v>
      </c>
      <c r="AJ3" s="41" t="s">
        <v>274</v>
      </c>
      <c r="AK3" s="41" t="s">
        <v>79</v>
      </c>
      <c r="AL3" s="41" t="s">
        <v>253</v>
      </c>
      <c r="AM3" s="41" t="s">
        <v>254</v>
      </c>
      <c r="AN3" s="41" t="s">
        <v>234</v>
      </c>
      <c r="AO3" s="41" t="s">
        <v>310</v>
      </c>
      <c r="AP3" s="41" t="s">
        <v>311</v>
      </c>
      <c r="AQ3" s="41" t="s">
        <v>123</v>
      </c>
      <c r="AR3" s="41" t="s">
        <v>181</v>
      </c>
      <c r="AS3" s="41" t="s">
        <v>235</v>
      </c>
      <c r="AT3" s="41" t="s">
        <v>275</v>
      </c>
      <c r="AU3" s="41" t="s">
        <v>216</v>
      </c>
      <c r="AV3" s="41" t="s">
        <v>122</v>
      </c>
      <c r="AW3" s="41" t="s">
        <v>100</v>
      </c>
      <c r="AX3" s="41" t="s">
        <v>289</v>
      </c>
      <c r="AY3" s="41" t="s">
        <v>20</v>
      </c>
      <c r="AZ3" s="41" t="s">
        <v>290</v>
      </c>
      <c r="BA3" s="41" t="s">
        <v>277</v>
      </c>
      <c r="BB3" s="41" t="s">
        <v>109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138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106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106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255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255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313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313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198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198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80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0002"/>
  <sheetViews>
    <sheetView workbookViewId="0"/>
  </sheetViews>
  <sheetFormatPr defaultRowHeight="14.4" x14ac:dyDescent="0.3"/>
  <cols>
    <col min="1" max="220" width="20.6640625" customWidth="1"/>
    <col min="221" max="221" width="20.6640625" style="66" customWidth="1"/>
    <col min="222" max="223" width="20.6640625" customWidth="1"/>
  </cols>
  <sheetData>
    <row r="1" spans="1:272" x14ac:dyDescent="0.3">
      <c r="D1">
        <v>4</v>
      </c>
    </row>
    <row r="2" spans="1:272" x14ac:dyDescent="0.3">
      <c r="JK2">
        <v>271</v>
      </c>
      <c r="JL2">
        <v>4</v>
      </c>
    </row>
    <row r="3" spans="1:272" ht="28.8" x14ac:dyDescent="0.3">
      <c r="A3" s="41" t="s">
        <v>238</v>
      </c>
      <c r="B3" s="41" t="s">
        <v>295</v>
      </c>
      <c r="C3" s="41" t="s">
        <v>0</v>
      </c>
      <c r="D3" s="41" t="s">
        <v>58</v>
      </c>
      <c r="E3" s="41" t="s">
        <v>82</v>
      </c>
      <c r="F3" s="41" t="s">
        <v>24</v>
      </c>
      <c r="G3" s="41" t="s">
        <v>128</v>
      </c>
      <c r="H3" s="41" t="s">
        <v>160</v>
      </c>
      <c r="I3" s="41" t="s">
        <v>108</v>
      </c>
      <c r="J3" s="41" t="s">
        <v>239</v>
      </c>
      <c r="K3" s="41" t="s">
        <v>129</v>
      </c>
      <c r="L3" s="41" t="s">
        <v>25</v>
      </c>
      <c r="M3" s="41" t="s">
        <v>59</v>
      </c>
      <c r="N3" s="41" t="s">
        <v>41</v>
      </c>
      <c r="O3" s="41" t="s">
        <v>60</v>
      </c>
      <c r="P3" s="41" t="s">
        <v>161</v>
      </c>
      <c r="Q3" s="41" t="s">
        <v>26</v>
      </c>
      <c r="R3" s="41" t="s">
        <v>184</v>
      </c>
      <c r="S3" s="41" t="s">
        <v>185</v>
      </c>
      <c r="T3" s="41" t="s">
        <v>200</v>
      </c>
      <c r="U3" s="41" t="s">
        <v>27</v>
      </c>
      <c r="V3" s="41" t="s">
        <v>240</v>
      </c>
      <c r="W3" s="41" t="s">
        <v>258</v>
      </c>
      <c r="X3" s="41" t="s">
        <v>201</v>
      </c>
      <c r="Y3" s="41" t="s">
        <v>186</v>
      </c>
      <c r="Z3" s="41" t="s">
        <v>1</v>
      </c>
      <c r="AA3" s="41" t="s">
        <v>278</v>
      </c>
      <c r="AB3" s="41" t="s">
        <v>130</v>
      </c>
      <c r="AC3" s="41" t="s">
        <v>110</v>
      </c>
      <c r="AD3" s="41" t="s">
        <v>42</v>
      </c>
      <c r="AE3" s="41" t="s">
        <v>83</v>
      </c>
      <c r="AF3" s="41" t="s">
        <v>43</v>
      </c>
      <c r="AG3" s="41" t="s">
        <v>219</v>
      </c>
      <c r="AH3" s="41" t="s">
        <v>162</v>
      </c>
      <c r="AI3" s="41" t="s">
        <v>202</v>
      </c>
      <c r="AJ3" s="41" t="s">
        <v>62</v>
      </c>
      <c r="AK3" s="41" t="s">
        <v>131</v>
      </c>
      <c r="AL3" s="41" t="s">
        <v>296</v>
      </c>
      <c r="AM3" s="41" t="s">
        <v>203</v>
      </c>
      <c r="AN3" s="41" t="s">
        <v>63</v>
      </c>
      <c r="AO3" s="41" t="s">
        <v>28</v>
      </c>
      <c r="AP3" s="41" t="s">
        <v>204</v>
      </c>
      <c r="AQ3" s="41" t="s">
        <v>64</v>
      </c>
      <c r="AR3" s="41" t="s">
        <v>259</v>
      </c>
      <c r="AS3" s="41" t="s">
        <v>220</v>
      </c>
      <c r="AT3" s="41" t="s">
        <v>3</v>
      </c>
      <c r="AU3" s="41" t="s">
        <v>279</v>
      </c>
      <c r="AV3" s="41" t="s">
        <v>140</v>
      </c>
      <c r="AW3" s="41" t="s">
        <v>4</v>
      </c>
      <c r="AX3" s="41" t="s">
        <v>84</v>
      </c>
      <c r="AY3" s="41" t="s">
        <v>297</v>
      </c>
      <c r="AZ3" s="41" t="s">
        <v>65</v>
      </c>
      <c r="BA3" s="41" t="s">
        <v>221</v>
      </c>
      <c r="BB3" s="41" t="s">
        <v>66</v>
      </c>
      <c r="BC3" s="41" t="s">
        <v>241</v>
      </c>
      <c r="BD3" s="41" t="s">
        <v>280</v>
      </c>
      <c r="BE3" s="41" t="s">
        <v>141</v>
      </c>
      <c r="BF3" s="41" t="s">
        <v>298</v>
      </c>
      <c r="BG3" s="41" t="s">
        <v>111</v>
      </c>
      <c r="BH3" s="41" t="s">
        <v>112</v>
      </c>
      <c r="BI3" s="41" t="s">
        <v>242</v>
      </c>
      <c r="BJ3" s="41" t="s">
        <v>222</v>
      </c>
      <c r="BK3" s="41" t="s">
        <v>67</v>
      </c>
      <c r="BL3" s="41" t="s">
        <v>163</v>
      </c>
      <c r="BM3" s="41" t="s">
        <v>281</v>
      </c>
      <c r="BN3" s="41" t="s">
        <v>223</v>
      </c>
      <c r="BO3" s="41" t="s">
        <v>299</v>
      </c>
      <c r="BP3" s="41" t="s">
        <v>142</v>
      </c>
      <c r="BQ3" s="41" t="s">
        <v>224</v>
      </c>
      <c r="BR3" s="41" t="s">
        <v>132</v>
      </c>
      <c r="BS3" s="41" t="s">
        <v>205</v>
      </c>
      <c r="BT3" s="41" t="s">
        <v>68</v>
      </c>
      <c r="BU3" s="41" t="s">
        <v>225</v>
      </c>
      <c r="BV3" s="41" t="s">
        <v>260</v>
      </c>
      <c r="BW3" s="41" t="s">
        <v>300</v>
      </c>
      <c r="BX3" s="41" t="s">
        <v>164</v>
      </c>
      <c r="BY3" s="41" t="s">
        <v>282</v>
      </c>
      <c r="BZ3" s="41" t="s">
        <v>143</v>
      </c>
      <c r="CA3" s="41" t="s">
        <v>5</v>
      </c>
      <c r="CB3" s="41" t="s">
        <v>113</v>
      </c>
      <c r="CC3" s="41" t="s">
        <v>206</v>
      </c>
      <c r="CD3" s="41" t="s">
        <v>44</v>
      </c>
      <c r="CE3" s="41" t="s">
        <v>226</v>
      </c>
      <c r="CF3" s="41" t="s">
        <v>45</v>
      </c>
      <c r="CG3" s="41" t="s">
        <v>283</v>
      </c>
      <c r="CH3" s="41" t="s">
        <v>187</v>
      </c>
      <c r="CI3" s="41" t="s">
        <v>133</v>
      </c>
      <c r="CJ3" s="41" t="s">
        <v>301</v>
      </c>
      <c r="CK3" s="41" t="s">
        <v>114</v>
      </c>
      <c r="CL3" s="41" t="s">
        <v>144</v>
      </c>
      <c r="CM3" s="41" t="s">
        <v>145</v>
      </c>
      <c r="CN3" s="41" t="s">
        <v>207</v>
      </c>
      <c r="CO3" s="41" t="s">
        <v>85</v>
      </c>
      <c r="CP3" s="41" t="s">
        <v>165</v>
      </c>
      <c r="CQ3" s="41" t="s">
        <v>302</v>
      </c>
      <c r="CR3" s="41" t="s">
        <v>134</v>
      </c>
      <c r="CS3" s="41" t="s">
        <v>284</v>
      </c>
      <c r="CT3" s="41" t="s">
        <v>166</v>
      </c>
      <c r="CU3" s="41" t="s">
        <v>227</v>
      </c>
      <c r="CV3" s="41" t="s">
        <v>167</v>
      </c>
      <c r="CW3" s="41" t="s">
        <v>115</v>
      </c>
      <c r="CX3" s="41" t="s">
        <v>46</v>
      </c>
      <c r="CY3" s="41" t="s">
        <v>243</v>
      </c>
      <c r="CZ3" s="41" t="s">
        <v>261</v>
      </c>
      <c r="DA3" s="41" t="s">
        <v>6</v>
      </c>
      <c r="DB3" s="41" t="s">
        <v>86</v>
      </c>
      <c r="DC3" s="41" t="s">
        <v>146</v>
      </c>
      <c r="DD3" s="41" t="s">
        <v>7</v>
      </c>
      <c r="DE3" s="41" t="s">
        <v>8</v>
      </c>
      <c r="DF3" s="41" t="s">
        <v>188</v>
      </c>
      <c r="DG3" s="41" t="s">
        <v>47</v>
      </c>
      <c r="DH3" s="41" t="s">
        <v>228</v>
      </c>
      <c r="DI3" s="41" t="s">
        <v>87</v>
      </c>
      <c r="DJ3" s="41" t="s">
        <v>69</v>
      </c>
      <c r="DK3" s="41" t="s">
        <v>29</v>
      </c>
      <c r="DL3" s="41" t="s">
        <v>30</v>
      </c>
      <c r="DM3" s="41" t="s">
        <v>303</v>
      </c>
      <c r="DN3" s="41" t="s">
        <v>168</v>
      </c>
      <c r="DO3" s="41" t="s">
        <v>135</v>
      </c>
      <c r="DP3" s="41" t="s">
        <v>208</v>
      </c>
      <c r="DQ3" s="41" t="s">
        <v>9</v>
      </c>
      <c r="DR3" s="41" t="s">
        <v>70</v>
      </c>
      <c r="DS3" s="41" t="s">
        <v>244</v>
      </c>
      <c r="DT3" s="41" t="s">
        <v>169</v>
      </c>
      <c r="DU3" s="41" t="s">
        <v>71</v>
      </c>
      <c r="DV3" s="41" t="s">
        <v>304</v>
      </c>
      <c r="DW3" s="41" t="s">
        <v>170</v>
      </c>
      <c r="DX3" s="41" t="s">
        <v>147</v>
      </c>
      <c r="DY3" s="41" t="s">
        <v>31</v>
      </c>
      <c r="DZ3" s="41" t="s">
        <v>32</v>
      </c>
      <c r="EA3" s="41" t="s">
        <v>48</v>
      </c>
      <c r="EB3" s="41" t="s">
        <v>245</v>
      </c>
      <c r="EC3" s="41" t="s">
        <v>229</v>
      </c>
      <c r="ED3" s="41" t="s">
        <v>88</v>
      </c>
      <c r="EE3" s="41" t="s">
        <v>189</v>
      </c>
      <c r="EF3" s="41" t="s">
        <v>33</v>
      </c>
      <c r="EG3" s="41" t="s">
        <v>10</v>
      </c>
      <c r="EH3" s="41" t="s">
        <v>305</v>
      </c>
      <c r="EI3" s="41" t="s">
        <v>148</v>
      </c>
      <c r="EJ3" s="41" t="s">
        <v>49</v>
      </c>
      <c r="EK3" s="41" t="s">
        <v>11</v>
      </c>
      <c r="EL3" s="41" t="s">
        <v>89</v>
      </c>
      <c r="EM3" s="41" t="s">
        <v>72</v>
      </c>
      <c r="EN3" s="41" t="s">
        <v>209</v>
      </c>
      <c r="EO3" s="41" t="s">
        <v>230</v>
      </c>
      <c r="EP3" s="41" t="s">
        <v>285</v>
      </c>
      <c r="EQ3" s="41" t="s">
        <v>171</v>
      </c>
      <c r="ER3" s="41" t="s">
        <v>149</v>
      </c>
      <c r="ES3" s="41" t="s">
        <v>246</v>
      </c>
      <c r="ET3" s="41" t="s">
        <v>73</v>
      </c>
      <c r="EU3" s="41" t="s">
        <v>262</v>
      </c>
      <c r="EV3" s="41" t="s">
        <v>263</v>
      </c>
      <c r="EW3" s="41" t="s">
        <v>231</v>
      </c>
      <c r="EX3" s="41" t="s">
        <v>306</v>
      </c>
      <c r="EY3" s="41" t="s">
        <v>247</v>
      </c>
      <c r="EZ3" s="41" t="s">
        <v>248</v>
      </c>
      <c r="FA3" s="41" t="s">
        <v>34</v>
      </c>
      <c r="FB3" s="41" t="s">
        <v>307</v>
      </c>
      <c r="FC3" s="41" t="s">
        <v>50</v>
      </c>
      <c r="FD3" s="41" t="s">
        <v>90</v>
      </c>
      <c r="FE3" s="41" t="s">
        <v>232</v>
      </c>
      <c r="FF3" s="41" t="s">
        <v>116</v>
      </c>
      <c r="FG3" s="41" t="s">
        <v>91</v>
      </c>
      <c r="FH3" s="41" t="s">
        <v>92</v>
      </c>
      <c r="FI3" s="41" t="s">
        <v>264</v>
      </c>
      <c r="FJ3" s="41" t="s">
        <v>190</v>
      </c>
      <c r="FK3" s="41" t="s">
        <v>191</v>
      </c>
      <c r="FL3" s="41" t="s">
        <v>172</v>
      </c>
      <c r="FM3" s="41" t="s">
        <v>150</v>
      </c>
      <c r="FN3" s="41" t="s">
        <v>117</v>
      </c>
      <c r="FO3" s="41" t="s">
        <v>173</v>
      </c>
      <c r="FP3" s="41" t="s">
        <v>265</v>
      </c>
      <c r="FQ3" s="41" t="s">
        <v>249</v>
      </c>
      <c r="FR3" s="41" t="s">
        <v>210</v>
      </c>
      <c r="FS3" s="41" t="s">
        <v>286</v>
      </c>
      <c r="FT3" s="41" t="s">
        <v>151</v>
      </c>
      <c r="FU3" s="41" t="s">
        <v>12</v>
      </c>
      <c r="FV3" s="41" t="s">
        <v>192</v>
      </c>
      <c r="FW3" s="41" t="s">
        <v>93</v>
      </c>
      <c r="FX3" s="41" t="s">
        <v>152</v>
      </c>
      <c r="FY3" s="41" t="s">
        <v>174</v>
      </c>
      <c r="FZ3" s="41" t="s">
        <v>94</v>
      </c>
      <c r="GA3" s="41" t="s">
        <v>266</v>
      </c>
      <c r="GB3" s="41" t="s">
        <v>35</v>
      </c>
      <c r="GC3" s="41" t="s">
        <v>36</v>
      </c>
      <c r="GD3" s="41" t="s">
        <v>287</v>
      </c>
      <c r="GE3" s="41" t="s">
        <v>118</v>
      </c>
      <c r="GF3" s="41" t="s">
        <v>233</v>
      </c>
      <c r="GG3" s="41" t="s">
        <v>193</v>
      </c>
      <c r="GH3" s="41" t="s">
        <v>194</v>
      </c>
      <c r="GI3" s="41" t="s">
        <v>267</v>
      </c>
      <c r="GJ3" s="41" t="s">
        <v>136</v>
      </c>
      <c r="GK3" s="41" t="s">
        <v>37</v>
      </c>
      <c r="GL3" s="41" t="s">
        <v>74</v>
      </c>
      <c r="GM3" s="41" t="s">
        <v>119</v>
      </c>
      <c r="GN3" s="41" t="s">
        <v>13</v>
      </c>
      <c r="GO3" s="41" t="s">
        <v>308</v>
      </c>
      <c r="GP3" s="41" t="s">
        <v>211</v>
      </c>
      <c r="GQ3" s="41" t="s">
        <v>75</v>
      </c>
      <c r="GR3" s="41" t="s">
        <v>175</v>
      </c>
      <c r="GS3" s="41" t="s">
        <v>153</v>
      </c>
      <c r="GT3" s="41" t="s">
        <v>120</v>
      </c>
      <c r="GU3" s="41" t="s">
        <v>250</v>
      </c>
      <c r="GV3" s="41" t="s">
        <v>51</v>
      </c>
      <c r="GW3" s="41" t="s">
        <v>14</v>
      </c>
      <c r="GX3" s="41" t="s">
        <v>309</v>
      </c>
      <c r="GY3" s="41" t="s">
        <v>95</v>
      </c>
      <c r="GZ3" s="41" t="s">
        <v>268</v>
      </c>
      <c r="HA3" s="41" t="s">
        <v>176</v>
      </c>
      <c r="HB3" s="41" t="s">
        <v>212</v>
      </c>
      <c r="HC3" s="41" t="s">
        <v>251</v>
      </c>
      <c r="HD3" s="41" t="s">
        <v>154</v>
      </c>
      <c r="HE3" s="41" t="s">
        <v>15</v>
      </c>
      <c r="HF3" s="41" t="s">
        <v>96</v>
      </c>
      <c r="HG3" s="41" t="s">
        <v>97</v>
      </c>
      <c r="HH3" s="41" t="s">
        <v>52</v>
      </c>
      <c r="HI3" s="41" t="s">
        <v>121</v>
      </c>
      <c r="HJ3" s="41" t="s">
        <v>269</v>
      </c>
      <c r="HK3" s="41"/>
      <c r="HL3" s="41" t="s">
        <v>2</v>
      </c>
      <c r="HM3" s="65"/>
      <c r="HN3" s="41" t="s">
        <v>277</v>
      </c>
      <c r="HO3" s="41" t="s">
        <v>109</v>
      </c>
      <c r="HP3" t="s">
        <v>61</v>
      </c>
      <c r="JK3" s="41" t="s">
        <v>16</v>
      </c>
      <c r="JL3" s="41" t="s">
        <v>155</v>
      </c>
    </row>
    <row r="10001" spans="271:272" x14ac:dyDescent="0.3">
      <c r="JK10001">
        <v>271</v>
      </c>
      <c r="JL10001">
        <v>10003</v>
      </c>
    </row>
    <row r="10002" spans="271:272" ht="43.2" x14ac:dyDescent="0.3">
      <c r="JK10002" s="41" t="s">
        <v>76</v>
      </c>
      <c r="JL10002" s="41" t="s">
        <v>156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80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21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21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124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124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199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199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55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</sheetPr>
  <dimension ref="A2:Z275"/>
  <sheetViews>
    <sheetView tabSelected="1" zoomScale="80" workbookViewId="0">
      <pane xSplit="3" ySplit="10" topLeftCell="D229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312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1697984.62</v>
      </c>
      <c r="E12" s="4"/>
      <c r="F12" s="12"/>
      <c r="G12" s="4"/>
      <c r="H12" s="4">
        <f>SUM(OSRRefH13x_0)</f>
        <v>483547.2900000001</v>
      </c>
      <c r="I12" s="4"/>
      <c r="J12" s="12"/>
      <c r="K12" s="4"/>
      <c r="L12" s="4">
        <f t="shared" ref="L12:L98" si="0">+D12-H12</f>
        <v>1214437.33</v>
      </c>
      <c r="M12" s="4"/>
      <c r="N12" s="12">
        <f t="shared" ref="N12:N98" si="1">IF(H12=0,0,L12/H12)</f>
        <v>2.5115171879052407</v>
      </c>
      <c r="O12" s="10"/>
      <c r="P12" s="4">
        <f>SUM(OSRRefP13x_0)</f>
        <v>11375593.59</v>
      </c>
      <c r="Q12" s="4"/>
      <c r="R12" s="12"/>
      <c r="S12" s="4"/>
      <c r="T12" s="4">
        <f>SUM(OSRRefT13x_0)</f>
        <v>5142931.5100000026</v>
      </c>
      <c r="U12" s="4"/>
      <c r="V12" s="12"/>
      <c r="W12" s="4"/>
      <c r="X12" s="4">
        <f t="shared" ref="X12:X98" si="2">+P12-T12</f>
        <v>6232662.0799999973</v>
      </c>
      <c r="Y12" s="4"/>
      <c r="Z12" s="12">
        <f t="shared" ref="Z12:Z98" si="3">IF(T12=0,0,X12/T12)</f>
        <v>1.2118889913041044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--617096.02</f>
        <v>617096.02</v>
      </c>
      <c r="E13" s="2"/>
      <c r="F13" s="19"/>
      <c r="G13" s="2"/>
      <c r="H13" s="2">
        <f>-32095.1</f>
        <v>-32095.1</v>
      </c>
      <c r="I13" s="2"/>
      <c r="J13" s="19"/>
      <c r="K13" s="2"/>
      <c r="L13" s="2">
        <f t="shared" si="0"/>
        <v>649191.12</v>
      </c>
      <c r="M13" s="2"/>
      <c r="N13" s="19">
        <f t="shared" si="1"/>
        <v>-20.227110057298468</v>
      </c>
      <c r="O13" s="11"/>
      <c r="P13" s="2">
        <f>--3943933.11</f>
        <v>3943933.11</v>
      </c>
      <c r="Q13" s="2"/>
      <c r="R13" s="19"/>
      <c r="S13" s="2"/>
      <c r="T13" s="2">
        <f>-91137.86</f>
        <v>-91137.86</v>
      </c>
      <c r="U13" s="2"/>
      <c r="V13" s="19"/>
      <c r="W13" s="2"/>
      <c r="X13" s="2">
        <f t="shared" si="2"/>
        <v>4035070.9699999997</v>
      </c>
      <c r="Y13" s="2"/>
      <c r="Z13" s="19">
        <f t="shared" si="3"/>
        <v>-44.274365998938308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2" si="4">0</f>
        <v>0</v>
      </c>
      <c r="E14" s="2"/>
      <c r="F14" s="19"/>
      <c r="G14" s="2"/>
      <c r="H14" s="2">
        <f>--11522</f>
        <v>11522</v>
      </c>
      <c r="I14" s="2"/>
      <c r="J14" s="19"/>
      <c r="K14" s="2"/>
      <c r="L14" s="2">
        <f t="shared" si="0"/>
        <v>-11522</v>
      </c>
      <c r="M14" s="2"/>
      <c r="N14" s="19">
        <f t="shared" si="1"/>
        <v>-1</v>
      </c>
      <c r="O14" s="11"/>
      <c r="P14" s="2">
        <f t="shared" ref="P14:P32" si="5">0</f>
        <v>0</v>
      </c>
      <c r="Q14" s="2"/>
      <c r="R14" s="19"/>
      <c r="S14" s="2"/>
      <c r="T14" s="2">
        <f>--730666.02</f>
        <v>730666.02</v>
      </c>
      <c r="U14" s="2"/>
      <c r="V14" s="19"/>
      <c r="W14" s="2"/>
      <c r="X14" s="2">
        <f t="shared" si="2"/>
        <v>-730666.02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--2822.44</f>
        <v>2822.44</v>
      </c>
      <c r="I15" s="2"/>
      <c r="J15" s="19"/>
      <c r="K15" s="2"/>
      <c r="L15" s="2">
        <f t="shared" si="0"/>
        <v>-2822.44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--323454.06</f>
        <v>323454.06</v>
      </c>
      <c r="U15" s="2"/>
      <c r="V15" s="19"/>
      <c r="W15" s="2"/>
      <c r="X15" s="2">
        <f t="shared" si="2"/>
        <v>-323454.06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--10665.63</f>
        <v>10665.63</v>
      </c>
      <c r="U16" s="2"/>
      <c r="V16" s="19"/>
      <c r="W16" s="2"/>
      <c r="X16" s="2">
        <f t="shared" si="2"/>
        <v>-10665.63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5"/>
        <v>0</v>
      </c>
      <c r="Q17" s="2"/>
      <c r="R17" s="19"/>
      <c r="S17" s="2"/>
      <c r="T17" s="2">
        <f>--2459.56</f>
        <v>2459.56</v>
      </c>
      <c r="U17" s="2"/>
      <c r="V17" s="19"/>
      <c r="W17" s="2"/>
      <c r="X17" s="2">
        <f t="shared" si="2"/>
        <v>-2459.56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--78.85</f>
        <v>78.849999999999994</v>
      </c>
      <c r="I18" s="2"/>
      <c r="J18" s="19"/>
      <c r="K18" s="2"/>
      <c r="L18" s="2">
        <f t="shared" si="0"/>
        <v>-78.849999999999994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--583.97</f>
        <v>583.97</v>
      </c>
      <c r="U18" s="2"/>
      <c r="V18" s="19"/>
      <c r="W18" s="2"/>
      <c r="X18" s="2">
        <f t="shared" si="2"/>
        <v>-583.97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--35.82</f>
        <v>35.82</v>
      </c>
      <c r="I19" s="2"/>
      <c r="J19" s="19"/>
      <c r="K19" s="2"/>
      <c r="L19" s="2">
        <f t="shared" si="0"/>
        <v>-35.82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--376.06</f>
        <v>376.06</v>
      </c>
      <c r="U19" s="2"/>
      <c r="V19" s="19"/>
      <c r="W19" s="2"/>
      <c r="X19" s="2">
        <f t="shared" si="2"/>
        <v>-376.06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--6.95</f>
        <v>6.95</v>
      </c>
      <c r="I20" s="2"/>
      <c r="J20" s="19"/>
      <c r="K20" s="2"/>
      <c r="L20" s="2">
        <f t="shared" si="0"/>
        <v>-6.95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--190.84</f>
        <v>190.84</v>
      </c>
      <c r="U20" s="2"/>
      <c r="V20" s="19"/>
      <c r="W20" s="2"/>
      <c r="X20" s="2">
        <f t="shared" si="2"/>
        <v>-190.84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--75.18</f>
        <v>75.180000000000007</v>
      </c>
      <c r="I21" s="2"/>
      <c r="J21" s="19"/>
      <c r="K21" s="2"/>
      <c r="L21" s="2">
        <f t="shared" si="0"/>
        <v>-75.180000000000007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--372.38</f>
        <v>372.38</v>
      </c>
      <c r="U21" s="2"/>
      <c r="V21" s="19"/>
      <c r="W21" s="2"/>
      <c r="X21" s="2">
        <f t="shared" si="2"/>
        <v>-372.38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--3253.96</f>
        <v>3253.96</v>
      </c>
      <c r="I22" s="2"/>
      <c r="J22" s="19"/>
      <c r="K22" s="2"/>
      <c r="L22" s="2">
        <f t="shared" si="0"/>
        <v>-3253.96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--39974.43</f>
        <v>39974.43</v>
      </c>
      <c r="U22" s="2"/>
      <c r="V22" s="19"/>
      <c r="W22" s="2"/>
      <c r="X22" s="2">
        <f t="shared" si="2"/>
        <v>-39974.43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--1179.23</f>
        <v>1179.23</v>
      </c>
      <c r="I23" s="2"/>
      <c r="J23" s="19"/>
      <c r="K23" s="2"/>
      <c r="L23" s="2">
        <f t="shared" si="0"/>
        <v>-1179.23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--17178.81</f>
        <v>17178.810000000001</v>
      </c>
      <c r="U23" s="2"/>
      <c r="V23" s="19"/>
      <c r="W23" s="2"/>
      <c r="X23" s="2">
        <f t="shared" si="2"/>
        <v>-17178.810000000001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--247.04</f>
        <v>247.04</v>
      </c>
      <c r="I24" s="2"/>
      <c r="J24" s="19"/>
      <c r="K24" s="2"/>
      <c r="L24" s="2">
        <f t="shared" si="0"/>
        <v>-247.04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--2109.65</f>
        <v>2109.65</v>
      </c>
      <c r="U24" s="2"/>
      <c r="V24" s="19"/>
      <c r="W24" s="2"/>
      <c r="X24" s="2">
        <f t="shared" si="2"/>
        <v>-2109.65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"4032", " - ", "TAXABLE SALES-JUICE")</f>
        <v xml:space="preserve">          4032 - TAXABLE SALES-JUICE</v>
      </c>
      <c r="C25" s="11"/>
      <c r="D25" s="2">
        <f t="shared" si="4"/>
        <v>0</v>
      </c>
      <c r="E25" s="2"/>
      <c r="F25" s="19"/>
      <c r="G25" s="2"/>
      <c r="H25" s="2">
        <f t="shared" ref="H25:H26" si="7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5"/>
        <v>0</v>
      </c>
      <c r="Q25" s="2"/>
      <c r="R25" s="19"/>
      <c r="S25" s="2"/>
      <c r="T25" s="2">
        <f>--444.59</f>
        <v>444.59</v>
      </c>
      <c r="U25" s="2"/>
      <c r="V25" s="19"/>
      <c r="W25" s="2"/>
      <c r="X25" s="2">
        <f t="shared" si="2"/>
        <v>-444.59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19"/>
      <c r="G26" s="2"/>
      <c r="H26" s="2">
        <f t="shared" si="7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5"/>
        <v>0</v>
      </c>
      <c r="Q26" s="2"/>
      <c r="R26" s="19"/>
      <c r="S26" s="2"/>
      <c r="T26" s="2">
        <f>--6.78</f>
        <v>6.78</v>
      </c>
      <c r="U26" s="2"/>
      <c r="V26" s="19"/>
      <c r="W26" s="2"/>
      <c r="X26" s="2">
        <f t="shared" si="2"/>
        <v>-6.78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"4040", " - ", "TAXABLE SALES-LOGO CLOTHING")</f>
        <v xml:space="preserve">          4040 - TAXABLE SALES-LOGO CLOTHING</v>
      </c>
      <c r="C27" s="11"/>
      <c r="D27" s="2">
        <f t="shared" si="4"/>
        <v>0</v>
      </c>
      <c r="E27" s="2"/>
      <c r="F27" s="19"/>
      <c r="G27" s="2"/>
      <c r="H27" s="2">
        <f>--84378.29</f>
        <v>84378.29</v>
      </c>
      <c r="I27" s="2"/>
      <c r="J27" s="19"/>
      <c r="K27" s="2"/>
      <c r="L27" s="2">
        <f t="shared" si="0"/>
        <v>-84378.29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--508110.99</f>
        <v>508110.99</v>
      </c>
      <c r="U27" s="2"/>
      <c r="V27" s="19"/>
      <c r="W27" s="2"/>
      <c r="X27" s="2">
        <f t="shared" si="2"/>
        <v>-508110.99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"4041", " - ", "TAXABLE SALES-LOGO GIFTS")</f>
        <v xml:space="preserve">          4041 - TAXABLE SALES-LOGO GIFTS</v>
      </c>
      <c r="C28" s="11"/>
      <c r="D28" s="2">
        <f t="shared" si="4"/>
        <v>0</v>
      </c>
      <c r="E28" s="2"/>
      <c r="F28" s="19"/>
      <c r="G28" s="2"/>
      <c r="H28" s="2">
        <f>--32217.83</f>
        <v>32217.83</v>
      </c>
      <c r="I28" s="2"/>
      <c r="J28" s="19"/>
      <c r="K28" s="2"/>
      <c r="L28" s="2">
        <f t="shared" si="0"/>
        <v>-32217.83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--197618.32</f>
        <v>197618.32</v>
      </c>
      <c r="U28" s="2"/>
      <c r="V28" s="19"/>
      <c r="W28" s="2"/>
      <c r="X28" s="2">
        <f t="shared" si="2"/>
        <v>-197618.32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"4042", " - ", "TAXABLE SALES-EVERYDAY GIFTS")</f>
        <v xml:space="preserve">          4042 - TAXABLE SALES-EVERYDAY GIFTS</v>
      </c>
      <c r="C29" s="11"/>
      <c r="D29" s="2">
        <f t="shared" si="4"/>
        <v>0</v>
      </c>
      <c r="E29" s="2"/>
      <c r="F29" s="19"/>
      <c r="G29" s="2"/>
      <c r="H29" s="2">
        <f>--8018.58</f>
        <v>8018.58</v>
      </c>
      <c r="I29" s="2"/>
      <c r="J29" s="19"/>
      <c r="K29" s="2"/>
      <c r="L29" s="2">
        <f t="shared" si="0"/>
        <v>-8018.58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--64897.7</f>
        <v>64897.7</v>
      </c>
      <c r="U29" s="2"/>
      <c r="V29" s="19"/>
      <c r="W29" s="2"/>
      <c r="X29" s="2">
        <f t="shared" si="2"/>
        <v>-64897.7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"4043", " - ", "TAXABLE SALES-CARDS")</f>
        <v xml:space="preserve">          4043 - TAXABLE SALES-CARDS</v>
      </c>
      <c r="C30" s="11"/>
      <c r="D30" s="2">
        <f t="shared" si="4"/>
        <v>0</v>
      </c>
      <c r="E30" s="2"/>
      <c r="F30" s="19"/>
      <c r="G30" s="2"/>
      <c r="H30" s="2">
        <f>--35930.93</f>
        <v>35930.93</v>
      </c>
      <c r="I30" s="2"/>
      <c r="J30" s="19"/>
      <c r="K30" s="2"/>
      <c r="L30" s="2">
        <f t="shared" si="0"/>
        <v>-35930.93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--93109.15</f>
        <v>93109.15</v>
      </c>
      <c r="U30" s="2"/>
      <c r="V30" s="19"/>
      <c r="W30" s="2"/>
      <c r="X30" s="2">
        <f t="shared" si="2"/>
        <v>-93109.15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"4044", " - ", "TAXABLE SALES-ACCESSORIES")</f>
        <v xml:space="preserve">          4044 - TAXABLE SALES-ACCESSORIES</v>
      </c>
      <c r="C31" s="11"/>
      <c r="D31" s="2">
        <f t="shared" si="4"/>
        <v>0</v>
      </c>
      <c r="E31" s="2"/>
      <c r="F31" s="19"/>
      <c r="G31" s="2"/>
      <c r="H31" s="2">
        <f>--11267.16</f>
        <v>11267.16</v>
      </c>
      <c r="I31" s="2"/>
      <c r="J31" s="19"/>
      <c r="K31" s="2"/>
      <c r="L31" s="2">
        <f t="shared" si="0"/>
        <v>-11267.16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--26273.67</f>
        <v>26273.67</v>
      </c>
      <c r="U31" s="2"/>
      <c r="V31" s="19"/>
      <c r="W31" s="2"/>
      <c r="X31" s="2">
        <f t="shared" si="2"/>
        <v>-26273.67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"4045", " - ", "TAXABLE SALES-SPECIAL ORDERS")</f>
        <v xml:space="preserve">          4045 - TAXABLE SALES-SPECIAL ORDERS</v>
      </c>
      <c r="C32" s="11"/>
      <c r="D32" s="2">
        <f t="shared" si="4"/>
        <v>0</v>
      </c>
      <c r="E32" s="2"/>
      <c r="F32" s="19"/>
      <c r="G32" s="2"/>
      <c r="H32" s="2">
        <f>--13848.98</f>
        <v>13848.98</v>
      </c>
      <c r="I32" s="2"/>
      <c r="J32" s="19"/>
      <c r="K32" s="2"/>
      <c r="L32" s="2">
        <f t="shared" si="0"/>
        <v>-13848.98</v>
      </c>
      <c r="M32" s="2"/>
      <c r="N32" s="19">
        <f t="shared" si="1"/>
        <v>-1</v>
      </c>
      <c r="O32" s="11"/>
      <c r="P32" s="2">
        <f t="shared" si="5"/>
        <v>0</v>
      </c>
      <c r="Q32" s="2"/>
      <c r="R32" s="19"/>
      <c r="S32" s="2"/>
      <c r="T32" s="2">
        <f>--122061.15</f>
        <v>122061.15</v>
      </c>
      <c r="U32" s="2"/>
      <c r="V32" s="19"/>
      <c r="W32" s="2"/>
      <c r="X32" s="2">
        <f t="shared" si="2"/>
        <v>-122061.15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"4051", " - ", "TAXABLE SALES-FOOD")</f>
        <v xml:space="preserve">          4051 - TAXABLE SALES-FOOD</v>
      </c>
      <c r="C33" s="11"/>
      <c r="D33" s="2">
        <f>--19631.62</f>
        <v>19631.62</v>
      </c>
      <c r="E33" s="2"/>
      <c r="F33" s="19"/>
      <c r="G33" s="2"/>
      <c r="H33" s="2">
        <f>--5713.27</f>
        <v>5713.27</v>
      </c>
      <c r="I33" s="2"/>
      <c r="J33" s="19"/>
      <c r="K33" s="2"/>
      <c r="L33" s="2">
        <f t="shared" si="0"/>
        <v>13918.349999999999</v>
      </c>
      <c r="M33" s="2"/>
      <c r="N33" s="19">
        <f t="shared" si="1"/>
        <v>2.4361442746448176</v>
      </c>
      <c r="O33" s="11"/>
      <c r="P33" s="2">
        <f>--146982.79</f>
        <v>146982.79</v>
      </c>
      <c r="Q33" s="2"/>
      <c r="R33" s="19"/>
      <c r="S33" s="2"/>
      <c r="T33" s="2">
        <f>--22964.48</f>
        <v>22964.48</v>
      </c>
      <c r="U33" s="2"/>
      <c r="V33" s="19"/>
      <c r="W33" s="2"/>
      <c r="X33" s="2">
        <f t="shared" si="2"/>
        <v>124018.31000000001</v>
      </c>
      <c r="Y33" s="2"/>
      <c r="Z33" s="19">
        <f t="shared" si="3"/>
        <v>5.4004405934730508</v>
      </c>
    </row>
    <row r="34" spans="1:26" s="24" customFormat="1" hidden="1" outlineLevel="1" x14ac:dyDescent="0.3">
      <c r="A34" s="44"/>
      <c r="B34" s="11" t="str">
        <f>CONCATENATE("          ", "4052", " - ", "TAXABLE SALES-FOOD")</f>
        <v xml:space="preserve">          4052 - TAXABLE SALES-FOOD</v>
      </c>
      <c r="C34" s="11"/>
      <c r="D34" s="2">
        <f>0</f>
        <v>0</v>
      </c>
      <c r="E34" s="2"/>
      <c r="F34" s="19"/>
      <c r="G34" s="2"/>
      <c r="H34" s="2">
        <f>--62378.23</f>
        <v>62378.23</v>
      </c>
      <c r="I34" s="2"/>
      <c r="J34" s="19"/>
      <c r="K34" s="2"/>
      <c r="L34" s="2">
        <f t="shared" si="0"/>
        <v>-62378.23</v>
      </c>
      <c r="M34" s="2"/>
      <c r="N34" s="19">
        <f t="shared" si="1"/>
        <v>-1</v>
      </c>
      <c r="O34" s="11"/>
      <c r="P34" s="2">
        <f>0</f>
        <v>0</v>
      </c>
      <c r="Q34" s="2"/>
      <c r="R34" s="19"/>
      <c r="S34" s="2"/>
      <c r="T34" s="2">
        <f>--148103.39</f>
        <v>148103.39000000001</v>
      </c>
      <c r="U34" s="2"/>
      <c r="V34" s="19"/>
      <c r="W34" s="2"/>
      <c r="X34" s="2">
        <f t="shared" si="2"/>
        <v>-148103.39000000001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"4053", " - ", "TAXABLE SALES-FOOD")</f>
        <v xml:space="preserve">          4053 - TAXABLE SALES-FOOD</v>
      </c>
      <c r="C35" s="11"/>
      <c r="D35" s="2">
        <f>--2035.19</f>
        <v>2035.19</v>
      </c>
      <c r="E35" s="2"/>
      <c r="F35" s="19"/>
      <c r="G35" s="2"/>
      <c r="H35" s="2">
        <f>--38.05</f>
        <v>38.049999999999997</v>
      </c>
      <c r="I35" s="2"/>
      <c r="J35" s="19"/>
      <c r="K35" s="2"/>
      <c r="L35" s="2">
        <f t="shared" si="0"/>
        <v>1997.14</v>
      </c>
      <c r="M35" s="2"/>
      <c r="N35" s="19">
        <f t="shared" si="1"/>
        <v>52.487253613666233</v>
      </c>
      <c r="O35" s="11"/>
      <c r="P35" s="2">
        <f>--10662.17</f>
        <v>10662.17</v>
      </c>
      <c r="Q35" s="2"/>
      <c r="R35" s="19"/>
      <c r="S35" s="2"/>
      <c r="T35" s="2">
        <f>--533.08</f>
        <v>533.08000000000004</v>
      </c>
      <c r="U35" s="2"/>
      <c r="V35" s="19"/>
      <c r="W35" s="2"/>
      <c r="X35" s="2">
        <f t="shared" si="2"/>
        <v>10129.09</v>
      </c>
      <c r="Y35" s="2"/>
      <c r="Z35" s="19">
        <f t="shared" si="3"/>
        <v>19.001069257897502</v>
      </c>
    </row>
    <row r="36" spans="1:26" s="24" customFormat="1" hidden="1" outlineLevel="1" x14ac:dyDescent="0.3">
      <c r="A36" s="44"/>
      <c r="B36" s="11" t="str">
        <f>CONCATENATE("          ", "4058", " - ", "TAXABLE SALES-FOOD")</f>
        <v xml:space="preserve">          4058 - TAXABLE SALES-FOOD</v>
      </c>
      <c r="C36" s="11"/>
      <c r="D36" s="2">
        <f t="shared" ref="D36:D41" si="8">0</f>
        <v>0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 t="shared" ref="P36:P41" si="9">0</f>
        <v>0</v>
      </c>
      <c r="Q36" s="2"/>
      <c r="R36" s="19"/>
      <c r="S36" s="2"/>
      <c r="T36" s="2">
        <f>--974.91</f>
        <v>974.91</v>
      </c>
      <c r="U36" s="2"/>
      <c r="V36" s="19"/>
      <c r="W36" s="2"/>
      <c r="X36" s="2">
        <f t="shared" si="2"/>
        <v>-974.91</v>
      </c>
      <c r="Y36" s="2"/>
      <c r="Z36" s="19">
        <f t="shared" si="3"/>
        <v>-1</v>
      </c>
    </row>
    <row r="37" spans="1:26" s="24" customFormat="1" hidden="1" outlineLevel="1" x14ac:dyDescent="0.3">
      <c r="A37" s="44"/>
      <c r="B37" s="11" t="str">
        <f>CONCATENATE("          ", "4081", " - ", "TAXABLE SALES-ELECTRONICS")</f>
        <v xml:space="preserve">          4081 - TAXABLE SALES-ELECTRONICS</v>
      </c>
      <c r="C37" s="11"/>
      <c r="D37" s="2">
        <f t="shared" si="8"/>
        <v>0</v>
      </c>
      <c r="E37" s="2"/>
      <c r="F37" s="19"/>
      <c r="G37" s="2"/>
      <c r="H37" s="2">
        <f>--860.25</f>
        <v>860.25</v>
      </c>
      <c r="I37" s="2"/>
      <c r="J37" s="19"/>
      <c r="K37" s="2"/>
      <c r="L37" s="2">
        <f t="shared" si="0"/>
        <v>-860.25</v>
      </c>
      <c r="M37" s="2"/>
      <c r="N37" s="19">
        <f t="shared" si="1"/>
        <v>-1</v>
      </c>
      <c r="O37" s="11"/>
      <c r="P37" s="2">
        <f t="shared" si="9"/>
        <v>0</v>
      </c>
      <c r="Q37" s="2"/>
      <c r="R37" s="19"/>
      <c r="S37" s="2"/>
      <c r="T37" s="2">
        <f>--56951.47</f>
        <v>56951.47</v>
      </c>
      <c r="U37" s="2"/>
      <c r="V37" s="19"/>
      <c r="W37" s="2"/>
      <c r="X37" s="2">
        <f t="shared" si="2"/>
        <v>-56951.47</v>
      </c>
      <c r="Y37" s="2"/>
      <c r="Z37" s="19">
        <f t="shared" si="3"/>
        <v>-1</v>
      </c>
    </row>
    <row r="38" spans="1:26" s="24" customFormat="1" hidden="1" outlineLevel="1" x14ac:dyDescent="0.3">
      <c r="A38" s="44"/>
      <c r="B38" s="11" t="str">
        <f>CONCATENATE("          ", "4082", " - ", "TAXABLE SALES-COMPUTER HARDWAR")</f>
        <v xml:space="preserve">          4082 - TAXABLE SALES-COMPUTER HARDWAR</v>
      </c>
      <c r="C38" s="11"/>
      <c r="D38" s="2">
        <f t="shared" si="8"/>
        <v>0</v>
      </c>
      <c r="E38" s="2"/>
      <c r="F38" s="19"/>
      <c r="G38" s="2"/>
      <c r="H38" s="2">
        <f>--43662</f>
        <v>43662</v>
      </c>
      <c r="I38" s="2"/>
      <c r="J38" s="19"/>
      <c r="K38" s="2"/>
      <c r="L38" s="2">
        <f t="shared" si="0"/>
        <v>-43662</v>
      </c>
      <c r="M38" s="2"/>
      <c r="N38" s="19">
        <f t="shared" si="1"/>
        <v>-1</v>
      </c>
      <c r="O38" s="11"/>
      <c r="P38" s="2">
        <f t="shared" si="9"/>
        <v>0</v>
      </c>
      <c r="Q38" s="2"/>
      <c r="R38" s="19"/>
      <c r="S38" s="2"/>
      <c r="T38" s="2">
        <f>--993256.89</f>
        <v>993256.89</v>
      </c>
      <c r="U38" s="2"/>
      <c r="V38" s="19"/>
      <c r="W38" s="2"/>
      <c r="X38" s="2">
        <f t="shared" si="2"/>
        <v>-993256.89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"4083", " - ", "TAXABLE SALES-COMPUTER EQUIPME")</f>
        <v xml:space="preserve">          4083 - TAXABLE SALES-COMPUTER EQUIPME</v>
      </c>
      <c r="C39" s="11"/>
      <c r="D39" s="2">
        <f t="shared" si="8"/>
        <v>0</v>
      </c>
      <c r="E39" s="2"/>
      <c r="F39" s="19"/>
      <c r="G39" s="2"/>
      <c r="H39" s="2">
        <f>--7787.03</f>
        <v>7787.03</v>
      </c>
      <c r="I39" s="2"/>
      <c r="J39" s="19"/>
      <c r="K39" s="2"/>
      <c r="L39" s="2">
        <f t="shared" si="0"/>
        <v>-7787.03</v>
      </c>
      <c r="M39" s="2"/>
      <c r="N39" s="19">
        <f t="shared" si="1"/>
        <v>-1</v>
      </c>
      <c r="O39" s="11"/>
      <c r="P39" s="2">
        <f t="shared" si="9"/>
        <v>0</v>
      </c>
      <c r="Q39" s="2"/>
      <c r="R39" s="19"/>
      <c r="S39" s="2"/>
      <c r="T39" s="2">
        <f>--84647.97</f>
        <v>84647.97</v>
      </c>
      <c r="U39" s="2"/>
      <c r="V39" s="19"/>
      <c r="W39" s="2"/>
      <c r="X39" s="2">
        <f t="shared" si="2"/>
        <v>-84647.97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"4085", " - ", "TAXABLE SALES-SOFTWARE")</f>
        <v xml:space="preserve">          4085 - TAXABLE SALES-SOFTWARE</v>
      </c>
      <c r="C40" s="11"/>
      <c r="D40" s="2">
        <f t="shared" si="8"/>
        <v>0</v>
      </c>
      <c r="E40" s="2"/>
      <c r="F40" s="19"/>
      <c r="G40" s="2"/>
      <c r="H40" s="2">
        <f>--1228.99</f>
        <v>1228.99</v>
      </c>
      <c r="I40" s="2"/>
      <c r="J40" s="19"/>
      <c r="K40" s="2"/>
      <c r="L40" s="2">
        <f t="shared" si="0"/>
        <v>-1228.99</v>
      </c>
      <c r="M40" s="2"/>
      <c r="N40" s="19">
        <f t="shared" si="1"/>
        <v>-1</v>
      </c>
      <c r="O40" s="11"/>
      <c r="P40" s="2">
        <f t="shared" si="9"/>
        <v>0</v>
      </c>
      <c r="Q40" s="2"/>
      <c r="R40" s="19"/>
      <c r="S40" s="2"/>
      <c r="T40" s="2">
        <f>--2728.94</f>
        <v>2728.94</v>
      </c>
      <c r="U40" s="2"/>
      <c r="V40" s="19"/>
      <c r="W40" s="2"/>
      <c r="X40" s="2">
        <f t="shared" si="2"/>
        <v>-2728.94</v>
      </c>
      <c r="Y40" s="2"/>
      <c r="Z40" s="19">
        <f t="shared" si="3"/>
        <v>-1</v>
      </c>
    </row>
    <row r="41" spans="1:26" s="24" customFormat="1" hidden="1" outlineLevel="1" x14ac:dyDescent="0.3">
      <c r="A41" s="44"/>
      <c r="B41" s="11" t="str">
        <f>CONCATENATE("          ", "4086", " - ", "TAXABLE SALES-COMPUTER SUPPLIE")</f>
        <v xml:space="preserve">          4086 - TAXABLE SALES-COMPUTER SUPPLIE</v>
      </c>
      <c r="C41" s="11"/>
      <c r="D41" s="2">
        <f t="shared" si="8"/>
        <v>0</v>
      </c>
      <c r="E41" s="2"/>
      <c r="F41" s="19"/>
      <c r="G41" s="2"/>
      <c r="H41" s="2">
        <f>--27507.98</f>
        <v>27507.98</v>
      </c>
      <c r="I41" s="2"/>
      <c r="J41" s="19"/>
      <c r="K41" s="2"/>
      <c r="L41" s="2">
        <f t="shared" si="0"/>
        <v>-27507.98</v>
      </c>
      <c r="M41" s="2"/>
      <c r="N41" s="19">
        <f t="shared" si="1"/>
        <v>-1</v>
      </c>
      <c r="O41" s="11"/>
      <c r="P41" s="2">
        <f t="shared" si="9"/>
        <v>0</v>
      </c>
      <c r="Q41" s="2"/>
      <c r="R41" s="19"/>
      <c r="S41" s="2"/>
      <c r="T41" s="2">
        <f>--57135.58</f>
        <v>57135.58</v>
      </c>
      <c r="U41" s="2"/>
      <c r="V41" s="19"/>
      <c r="W41" s="2"/>
      <c r="X41" s="2">
        <f t="shared" si="2"/>
        <v>-57135.58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"4100", " - ", "NON-TAXABLE SALES")</f>
        <v xml:space="preserve">          4100 - NON-TAXABLE SALES</v>
      </c>
      <c r="C42" s="11"/>
      <c r="D42" s="2">
        <f>--116954.97</f>
        <v>116954.97</v>
      </c>
      <c r="E42" s="2"/>
      <c r="F42" s="19"/>
      <c r="G42" s="2"/>
      <c r="H42" s="2">
        <f>--12999.25</f>
        <v>12999.25</v>
      </c>
      <c r="I42" s="2"/>
      <c r="J42" s="19"/>
      <c r="K42" s="2"/>
      <c r="L42" s="2">
        <f t="shared" si="0"/>
        <v>103955.72</v>
      </c>
      <c r="M42" s="2"/>
      <c r="N42" s="19">
        <f t="shared" si="1"/>
        <v>7.9970552147239262</v>
      </c>
      <c r="O42" s="11"/>
      <c r="P42" s="2">
        <f>--1419872.65</f>
        <v>1419872.65</v>
      </c>
      <c r="Q42" s="2"/>
      <c r="R42" s="19"/>
      <c r="S42" s="2"/>
      <c r="T42" s="2">
        <f>--501259.67</f>
        <v>501259.67</v>
      </c>
      <c r="U42" s="2"/>
      <c r="V42" s="19"/>
      <c r="W42" s="2"/>
      <c r="X42" s="2">
        <f t="shared" si="2"/>
        <v>918612.98</v>
      </c>
      <c r="Y42" s="2"/>
      <c r="Z42" s="19">
        <f t="shared" si="3"/>
        <v>1.8326089948549023</v>
      </c>
    </row>
    <row r="43" spans="1:26" s="24" customFormat="1" hidden="1" outlineLevel="1" x14ac:dyDescent="0.3">
      <c r="A43" s="44"/>
      <c r="B43" s="11" t="str">
        <f>CONCATENATE("          ", "4101", " - ", "NON-TAXABLE SALES-NEW TEXT")</f>
        <v xml:space="preserve">          4101 - NON-TAXABLE SALES-NEW TEXT</v>
      </c>
      <c r="C43" s="11"/>
      <c r="D43" s="2">
        <f t="shared" ref="D43:D64" si="10">0</f>
        <v>0</v>
      </c>
      <c r="E43" s="2"/>
      <c r="F43" s="19"/>
      <c r="G43" s="2"/>
      <c r="H43" s="2">
        <f>--3205.21</f>
        <v>3205.21</v>
      </c>
      <c r="I43" s="2"/>
      <c r="J43" s="19"/>
      <c r="K43" s="2"/>
      <c r="L43" s="2">
        <f t="shared" si="0"/>
        <v>-3205.21</v>
      </c>
      <c r="M43" s="2"/>
      <c r="N43" s="19">
        <f t="shared" si="1"/>
        <v>-1</v>
      </c>
      <c r="O43" s="11"/>
      <c r="P43" s="2">
        <f t="shared" ref="P43:P64" si="11">0</f>
        <v>0</v>
      </c>
      <c r="Q43" s="2"/>
      <c r="R43" s="19"/>
      <c r="S43" s="2"/>
      <c r="T43" s="2">
        <f>--82140.93</f>
        <v>82140.929999999993</v>
      </c>
      <c r="U43" s="2"/>
      <c r="V43" s="19"/>
      <c r="W43" s="2"/>
      <c r="X43" s="2">
        <f t="shared" si="2"/>
        <v>-82140.929999999993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"4102", " - ", "NON-TAXABLE SALES-USED TEXT")</f>
        <v xml:space="preserve">          4102 - NON-TAXABLE SALES-USED TEXT</v>
      </c>
      <c r="C44" s="11"/>
      <c r="D44" s="2">
        <f t="shared" si="10"/>
        <v>0</v>
      </c>
      <c r="E44" s="2"/>
      <c r="F44" s="19"/>
      <c r="G44" s="2"/>
      <c r="H44" s="2">
        <f>--598.12</f>
        <v>598.12</v>
      </c>
      <c r="I44" s="2"/>
      <c r="J44" s="19"/>
      <c r="K44" s="2"/>
      <c r="L44" s="2">
        <f t="shared" si="0"/>
        <v>-598.12</v>
      </c>
      <c r="M44" s="2"/>
      <c r="N44" s="19">
        <f t="shared" si="1"/>
        <v>-1</v>
      </c>
      <c r="O44" s="11"/>
      <c r="P44" s="2">
        <f t="shared" si="11"/>
        <v>0</v>
      </c>
      <c r="Q44" s="2"/>
      <c r="R44" s="19"/>
      <c r="S44" s="2"/>
      <c r="T44" s="2">
        <f>--33631.31</f>
        <v>33631.31</v>
      </c>
      <c r="U44" s="2"/>
      <c r="V44" s="19"/>
      <c r="W44" s="2"/>
      <c r="X44" s="2">
        <f t="shared" si="2"/>
        <v>-33631.31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"4103", " - ", "NON-TAXABLE SALES-RENTAL TEXT")</f>
        <v xml:space="preserve">          4103 - NON-TAXABLE SALES-RENTAL TEXT</v>
      </c>
      <c r="C45" s="11"/>
      <c r="D45" s="2">
        <f t="shared" si="10"/>
        <v>0</v>
      </c>
      <c r="E45" s="2"/>
      <c r="F45" s="19"/>
      <c r="G45" s="2"/>
      <c r="H45" s="2">
        <f>0</f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 t="shared" si="11"/>
        <v>0</v>
      </c>
      <c r="Q45" s="2"/>
      <c r="R45" s="19"/>
      <c r="S45" s="2"/>
      <c r="T45" s="2">
        <f>--284.97</f>
        <v>284.97000000000003</v>
      </c>
      <c r="U45" s="2"/>
      <c r="V45" s="19"/>
      <c r="W45" s="2"/>
      <c r="X45" s="2">
        <f t="shared" si="2"/>
        <v>-284.97000000000003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"4104", " - ", "NON-TAXABLE SALES-DIGITAL TEXT")</f>
        <v xml:space="preserve">          4104 - NON-TAXABLE SALES-DIGITAL TEXT</v>
      </c>
      <c r="C46" s="11"/>
      <c r="D46" s="2">
        <f t="shared" si="10"/>
        <v>0</v>
      </c>
      <c r="E46" s="2"/>
      <c r="F46" s="19"/>
      <c r="G46" s="2"/>
      <c r="H46" s="2">
        <f>--1301.3</f>
        <v>1301.3</v>
      </c>
      <c r="I46" s="2"/>
      <c r="J46" s="19"/>
      <c r="K46" s="2"/>
      <c r="L46" s="2">
        <f t="shared" si="0"/>
        <v>-1301.3</v>
      </c>
      <c r="M46" s="2"/>
      <c r="N46" s="19">
        <f t="shared" si="1"/>
        <v>-1</v>
      </c>
      <c r="O46" s="11"/>
      <c r="P46" s="2">
        <f t="shared" si="11"/>
        <v>0</v>
      </c>
      <c r="Q46" s="2"/>
      <c r="R46" s="19"/>
      <c r="S46" s="2"/>
      <c r="T46" s="2">
        <f>--296191.01</f>
        <v>296191.01</v>
      </c>
      <c r="U46" s="2"/>
      <c r="V46" s="19"/>
      <c r="W46" s="2"/>
      <c r="X46" s="2">
        <f t="shared" si="2"/>
        <v>-296191.01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"4113", " - ", "NON-TAXABLE SALES-TRADE BOOKS")</f>
        <v xml:space="preserve">          4113 - NON-TAXABLE SALES-TRADE BOOKS</v>
      </c>
      <c r="C47" s="11"/>
      <c r="D47" s="2">
        <f t="shared" si="10"/>
        <v>0</v>
      </c>
      <c r="E47" s="2"/>
      <c r="F47" s="19"/>
      <c r="G47" s="2"/>
      <c r="H47" s="2">
        <f>--41.55</f>
        <v>41.55</v>
      </c>
      <c r="I47" s="2"/>
      <c r="J47" s="19"/>
      <c r="K47" s="2"/>
      <c r="L47" s="2">
        <f t="shared" si="0"/>
        <v>-41.55</v>
      </c>
      <c r="M47" s="2"/>
      <c r="N47" s="19">
        <f t="shared" si="1"/>
        <v>-1</v>
      </c>
      <c r="O47" s="11"/>
      <c r="P47" s="2">
        <f t="shared" si="11"/>
        <v>0</v>
      </c>
      <c r="Q47" s="2"/>
      <c r="R47" s="19"/>
      <c r="S47" s="2"/>
      <c r="T47" s="2">
        <f>--2327.5</f>
        <v>2327.5</v>
      </c>
      <c r="U47" s="2"/>
      <c r="V47" s="19"/>
      <c r="W47" s="2"/>
      <c r="X47" s="2">
        <f t="shared" si="2"/>
        <v>-2327.5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"4118", " - ", "NON-TAXABLE SALES-STUDY GUIDES")</f>
        <v xml:space="preserve">          4118 - NON-TAXABLE SALES-STUDY GUIDES</v>
      </c>
      <c r="C48" s="11"/>
      <c r="D48" s="2">
        <f t="shared" si="10"/>
        <v>0</v>
      </c>
      <c r="E48" s="2"/>
      <c r="F48" s="19"/>
      <c r="G48" s="2"/>
      <c r="H48" s="2">
        <f t="shared" ref="H48:H49" si="12">0</f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 t="shared" si="11"/>
        <v>0</v>
      </c>
      <c r="Q48" s="2"/>
      <c r="R48" s="19"/>
      <c r="S48" s="2"/>
      <c r="T48" s="2">
        <f>--233.43</f>
        <v>233.43</v>
      </c>
      <c r="U48" s="2"/>
      <c r="V48" s="19"/>
      <c r="W48" s="2"/>
      <c r="X48" s="2">
        <f t="shared" si="2"/>
        <v>-233.43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"4126", " - ", "NON-TAXABLE SALES-WRITING INST")</f>
        <v xml:space="preserve">          4126 - NON-TAXABLE SALES-WRITING INST</v>
      </c>
      <c r="C49" s="11"/>
      <c r="D49" s="2">
        <f t="shared" si="10"/>
        <v>0</v>
      </c>
      <c r="E49" s="2"/>
      <c r="F49" s="19"/>
      <c r="G49" s="2"/>
      <c r="H49" s="2">
        <f t="shared" si="12"/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 t="shared" si="11"/>
        <v>0</v>
      </c>
      <c r="Q49" s="2"/>
      <c r="R49" s="19"/>
      <c r="S49" s="2"/>
      <c r="T49" s="2">
        <f>--52.68</f>
        <v>52.68</v>
      </c>
      <c r="U49" s="2"/>
      <c r="V49" s="19"/>
      <c r="W49" s="2"/>
      <c r="X49" s="2">
        <f t="shared" si="2"/>
        <v>-52.68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"4127", " - ", "NON-TAXABLE SALES-SCHOOL SUPPL")</f>
        <v xml:space="preserve">          4127 - NON-TAXABLE SALES-SCHOOL SUPPL</v>
      </c>
      <c r="C50" s="11"/>
      <c r="D50" s="2">
        <f t="shared" si="10"/>
        <v>0</v>
      </c>
      <c r="E50" s="2"/>
      <c r="F50" s="19"/>
      <c r="G50" s="2"/>
      <c r="H50" s="2">
        <f>--259.53</f>
        <v>259.52999999999997</v>
      </c>
      <c r="I50" s="2"/>
      <c r="J50" s="19"/>
      <c r="K50" s="2"/>
      <c r="L50" s="2">
        <f t="shared" si="0"/>
        <v>-259.52999999999997</v>
      </c>
      <c r="M50" s="2"/>
      <c r="N50" s="19">
        <f t="shared" si="1"/>
        <v>-1</v>
      </c>
      <c r="O50" s="11"/>
      <c r="P50" s="2">
        <f t="shared" si="11"/>
        <v>0</v>
      </c>
      <c r="Q50" s="2"/>
      <c r="R50" s="19"/>
      <c r="S50" s="2"/>
      <c r="T50" s="2">
        <f>--3206.11</f>
        <v>3206.11</v>
      </c>
      <c r="U50" s="2"/>
      <c r="V50" s="19"/>
      <c r="W50" s="2"/>
      <c r="X50" s="2">
        <f t="shared" si="2"/>
        <v>-3206.11</v>
      </c>
      <c r="Y50" s="2"/>
      <c r="Z50" s="19">
        <f t="shared" si="3"/>
        <v>-1</v>
      </c>
    </row>
    <row r="51" spans="1:26" s="24" customFormat="1" hidden="1" outlineLevel="1" x14ac:dyDescent="0.3">
      <c r="A51" s="44"/>
      <c r="B51" s="11" t="str">
        <f>CONCATENATE("          ", "4128", " - ", "NON-TAXABLE SALES-ART/TECH")</f>
        <v xml:space="preserve">          4128 - NON-TAXABLE SALES-ART/TECH</v>
      </c>
      <c r="C51" s="11"/>
      <c r="D51" s="2">
        <f t="shared" si="10"/>
        <v>0</v>
      </c>
      <c r="E51" s="2"/>
      <c r="F51" s="19"/>
      <c r="G51" s="2"/>
      <c r="H51" s="2">
        <f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 t="shared" si="11"/>
        <v>0</v>
      </c>
      <c r="Q51" s="2"/>
      <c r="R51" s="19"/>
      <c r="S51" s="2"/>
      <c r="T51" s="2">
        <f>--24.78</f>
        <v>24.78</v>
      </c>
      <c r="U51" s="2"/>
      <c r="V51" s="19"/>
      <c r="W51" s="2"/>
      <c r="X51" s="2">
        <f t="shared" si="2"/>
        <v>-24.78</v>
      </c>
      <c r="Y51" s="2"/>
      <c r="Z51" s="19">
        <f t="shared" si="3"/>
        <v>-1</v>
      </c>
    </row>
    <row r="52" spans="1:26" s="24" customFormat="1" hidden="1" outlineLevel="1" x14ac:dyDescent="0.3">
      <c r="A52" s="44"/>
      <c r="B52" s="11" t="str">
        <f>CONCATENATE("          ", "4131", " - ", "NON-TAXABLE SALES-FOOD")</f>
        <v xml:space="preserve">          4131 - NON-TAXABLE SALES-FOOD</v>
      </c>
      <c r="C52" s="11"/>
      <c r="D52" s="2">
        <f t="shared" si="10"/>
        <v>0</v>
      </c>
      <c r="E52" s="2"/>
      <c r="F52" s="19"/>
      <c r="G52" s="2"/>
      <c r="H52" s="2">
        <f>--1032.82</f>
        <v>1032.82</v>
      </c>
      <c r="I52" s="2"/>
      <c r="J52" s="19"/>
      <c r="K52" s="2"/>
      <c r="L52" s="2">
        <f t="shared" si="0"/>
        <v>-1032.82</v>
      </c>
      <c r="M52" s="2"/>
      <c r="N52" s="19">
        <f t="shared" si="1"/>
        <v>-1</v>
      </c>
      <c r="O52" s="11"/>
      <c r="P52" s="2">
        <f t="shared" si="11"/>
        <v>0</v>
      </c>
      <c r="Q52" s="2"/>
      <c r="R52" s="19"/>
      <c r="S52" s="2"/>
      <c r="T52" s="2">
        <f>--7542.15</f>
        <v>7542.15</v>
      </c>
      <c r="U52" s="2"/>
      <c r="V52" s="19"/>
      <c r="W52" s="2"/>
      <c r="X52" s="2">
        <f t="shared" si="2"/>
        <v>-7542.15</v>
      </c>
      <c r="Y52" s="2"/>
      <c r="Z52" s="19">
        <f t="shared" si="3"/>
        <v>-1</v>
      </c>
    </row>
    <row r="53" spans="1:26" s="24" customFormat="1" hidden="1" outlineLevel="1" x14ac:dyDescent="0.3">
      <c r="A53" s="44"/>
      <c r="B53" s="11" t="str">
        <f>CONCATENATE("          ", "4132", " - ", "NON-TAXABLE SALES-JUICE")</f>
        <v xml:space="preserve">          4132 - NON-TAXABLE SALES-JUICE</v>
      </c>
      <c r="C53" s="11"/>
      <c r="D53" s="2">
        <f t="shared" si="10"/>
        <v>0</v>
      </c>
      <c r="E53" s="2"/>
      <c r="F53" s="19"/>
      <c r="G53" s="2"/>
      <c r="H53" s="2">
        <f t="shared" ref="H53:H56" si="13"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 t="shared" si="11"/>
        <v>0</v>
      </c>
      <c r="Q53" s="2"/>
      <c r="R53" s="19"/>
      <c r="S53" s="2"/>
      <c r="T53" s="2">
        <f>--2054.37</f>
        <v>2054.37</v>
      </c>
      <c r="U53" s="2"/>
      <c r="V53" s="19"/>
      <c r="W53" s="2"/>
      <c r="X53" s="2">
        <f t="shared" si="2"/>
        <v>-2054.37</v>
      </c>
      <c r="Y53" s="2"/>
      <c r="Z53" s="19">
        <f t="shared" si="3"/>
        <v>-1</v>
      </c>
    </row>
    <row r="54" spans="1:26" s="24" customFormat="1" hidden="1" outlineLevel="1" x14ac:dyDescent="0.3">
      <c r="A54" s="44"/>
      <c r="B54" s="11" t="str">
        <f>CONCATENATE("          ", "4133", " - ", "NON-TAXABLE SALES-CANDY")</f>
        <v xml:space="preserve">          4133 - NON-TAXABLE SALES-CANDY</v>
      </c>
      <c r="C54" s="11"/>
      <c r="D54" s="2">
        <f t="shared" si="10"/>
        <v>0</v>
      </c>
      <c r="E54" s="2"/>
      <c r="F54" s="19"/>
      <c r="G54" s="2"/>
      <c r="H54" s="2">
        <f t="shared" si="13"/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 t="shared" si="11"/>
        <v>0</v>
      </c>
      <c r="Q54" s="2"/>
      <c r="R54" s="19"/>
      <c r="S54" s="2"/>
      <c r="T54" s="2">
        <f>--80.71</f>
        <v>80.709999999999994</v>
      </c>
      <c r="U54" s="2"/>
      <c r="V54" s="19"/>
      <c r="W54" s="2"/>
      <c r="X54" s="2">
        <f t="shared" si="2"/>
        <v>-80.709999999999994</v>
      </c>
      <c r="Y54" s="2"/>
      <c r="Z54" s="19">
        <f t="shared" si="3"/>
        <v>-1</v>
      </c>
    </row>
    <row r="55" spans="1:26" s="24" customFormat="1" hidden="1" outlineLevel="1" x14ac:dyDescent="0.3">
      <c r="A55" s="44"/>
      <c r="B55" s="11" t="str">
        <f>CONCATENATE("          ", "4134", " - ", "NON-TAXABLE SALES-SODA")</f>
        <v xml:space="preserve">          4134 - NON-TAXABLE SALES-SODA</v>
      </c>
      <c r="C55" s="11"/>
      <c r="D55" s="2">
        <f t="shared" si="10"/>
        <v>0</v>
      </c>
      <c r="E55" s="2"/>
      <c r="F55" s="19"/>
      <c r="G55" s="2"/>
      <c r="H55" s="2">
        <f t="shared" si="13"/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 t="shared" si="11"/>
        <v>0</v>
      </c>
      <c r="Q55" s="2"/>
      <c r="R55" s="19"/>
      <c r="S55" s="2"/>
      <c r="T55" s="2">
        <f>--45.53</f>
        <v>45.53</v>
      </c>
      <c r="U55" s="2"/>
      <c r="V55" s="19"/>
      <c r="W55" s="2"/>
      <c r="X55" s="2">
        <f t="shared" si="2"/>
        <v>-45.53</v>
      </c>
      <c r="Y55" s="2"/>
      <c r="Z55" s="19">
        <f t="shared" si="3"/>
        <v>-1</v>
      </c>
    </row>
    <row r="56" spans="1:26" s="24" customFormat="1" hidden="1" outlineLevel="1" x14ac:dyDescent="0.3">
      <c r="A56" s="44"/>
      <c r="B56" s="11" t="str">
        <f>CONCATENATE("          ", "4137", " - ", "NON-TAXABLE SALES-WATER")</f>
        <v xml:space="preserve">          4137 - NON-TAXABLE SALES-WATER</v>
      </c>
      <c r="C56" s="11"/>
      <c r="D56" s="2">
        <f t="shared" si="10"/>
        <v>0</v>
      </c>
      <c r="E56" s="2"/>
      <c r="F56" s="19"/>
      <c r="G56" s="2"/>
      <c r="H56" s="2">
        <f t="shared" si="13"/>
        <v>0</v>
      </c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 t="shared" si="11"/>
        <v>0</v>
      </c>
      <c r="Q56" s="2"/>
      <c r="R56" s="19"/>
      <c r="S56" s="2"/>
      <c r="T56" s="2">
        <f>--68.25</f>
        <v>68.25</v>
      </c>
      <c r="U56" s="2"/>
      <c r="V56" s="19"/>
      <c r="W56" s="2"/>
      <c r="X56" s="2">
        <f t="shared" si="2"/>
        <v>-68.25</v>
      </c>
      <c r="Y56" s="2"/>
      <c r="Z56" s="19">
        <f t="shared" si="3"/>
        <v>-1</v>
      </c>
    </row>
    <row r="57" spans="1:26" s="24" customFormat="1" hidden="1" outlineLevel="1" x14ac:dyDescent="0.3">
      <c r="A57" s="44"/>
      <c r="B57" s="11" t="str">
        <f>CONCATENATE("          ", "4140", " - ", "NON-TAXABLE SALES-LOGO CLOTHIN")</f>
        <v xml:space="preserve">          4140 - NON-TAXABLE SALES-LOGO CLOTHIN</v>
      </c>
      <c r="C57" s="11"/>
      <c r="D57" s="2">
        <f t="shared" si="10"/>
        <v>0</v>
      </c>
      <c r="E57" s="2"/>
      <c r="F57" s="19"/>
      <c r="G57" s="2"/>
      <c r="H57" s="2">
        <f>--53650.7</f>
        <v>53650.7</v>
      </c>
      <c r="I57" s="2"/>
      <c r="J57" s="19"/>
      <c r="K57" s="2"/>
      <c r="L57" s="2">
        <f t="shared" si="0"/>
        <v>-53650.7</v>
      </c>
      <c r="M57" s="2"/>
      <c r="N57" s="19">
        <f t="shared" si="1"/>
        <v>-1</v>
      </c>
      <c r="O57" s="11"/>
      <c r="P57" s="2">
        <f t="shared" si="11"/>
        <v>0</v>
      </c>
      <c r="Q57" s="2"/>
      <c r="R57" s="19"/>
      <c r="S57" s="2"/>
      <c r="T57" s="2">
        <f>--103970.97</f>
        <v>103970.97</v>
      </c>
      <c r="U57" s="2"/>
      <c r="V57" s="19"/>
      <c r="W57" s="2"/>
      <c r="X57" s="2">
        <f t="shared" si="2"/>
        <v>-103970.97</v>
      </c>
      <c r="Y57" s="2"/>
      <c r="Z57" s="19">
        <f t="shared" si="3"/>
        <v>-1</v>
      </c>
    </row>
    <row r="58" spans="1:26" s="24" customFormat="1" hidden="1" outlineLevel="1" x14ac:dyDescent="0.3">
      <c r="A58" s="44"/>
      <c r="B58" s="11" t="str">
        <f>CONCATENATE("          ", "4141", " - ", "NON-TAXABLE SALES-LOGO GIFTS")</f>
        <v xml:space="preserve">          4141 - NON-TAXABLE SALES-LOGO GIFTS</v>
      </c>
      <c r="C58" s="11"/>
      <c r="D58" s="2">
        <f t="shared" si="10"/>
        <v>0</v>
      </c>
      <c r="E58" s="2"/>
      <c r="F58" s="19"/>
      <c r="G58" s="2"/>
      <c r="H58" s="2">
        <f>--1780.23</f>
        <v>1780.23</v>
      </c>
      <c r="I58" s="2"/>
      <c r="J58" s="19"/>
      <c r="K58" s="2"/>
      <c r="L58" s="2">
        <f t="shared" si="0"/>
        <v>-1780.23</v>
      </c>
      <c r="M58" s="2"/>
      <c r="N58" s="19">
        <f t="shared" si="1"/>
        <v>-1</v>
      </c>
      <c r="O58" s="11"/>
      <c r="P58" s="2">
        <f t="shared" si="11"/>
        <v>0</v>
      </c>
      <c r="Q58" s="2"/>
      <c r="R58" s="19"/>
      <c r="S58" s="2"/>
      <c r="T58" s="2">
        <f>--5969.25</f>
        <v>5969.25</v>
      </c>
      <c r="U58" s="2"/>
      <c r="V58" s="19"/>
      <c r="W58" s="2"/>
      <c r="X58" s="2">
        <f t="shared" si="2"/>
        <v>-5969.25</v>
      </c>
      <c r="Y58" s="2"/>
      <c r="Z58" s="19">
        <f t="shared" si="3"/>
        <v>-1</v>
      </c>
    </row>
    <row r="59" spans="1:26" s="24" customFormat="1" hidden="1" outlineLevel="1" x14ac:dyDescent="0.3">
      <c r="A59" s="44"/>
      <c r="B59" s="11" t="str">
        <f>CONCATENATE("          ", "4142", " - ", "NON-TAXABLE SALES-EVERYDAY GIF")</f>
        <v xml:space="preserve">          4142 - NON-TAXABLE SALES-EVERYDAY GIF</v>
      </c>
      <c r="C59" s="11"/>
      <c r="D59" s="2">
        <f t="shared" si="10"/>
        <v>0</v>
      </c>
      <c r="E59" s="2"/>
      <c r="F59" s="19"/>
      <c r="G59" s="2"/>
      <c r="H59" s="2">
        <f>0</f>
        <v>0</v>
      </c>
      <c r="I59" s="2"/>
      <c r="J59" s="19"/>
      <c r="K59" s="2"/>
      <c r="L59" s="2">
        <f t="shared" si="0"/>
        <v>0</v>
      </c>
      <c r="M59" s="2"/>
      <c r="N59" s="19">
        <f t="shared" si="1"/>
        <v>0</v>
      </c>
      <c r="O59" s="11"/>
      <c r="P59" s="2">
        <f t="shared" si="11"/>
        <v>0</v>
      </c>
      <c r="Q59" s="2"/>
      <c r="R59" s="19"/>
      <c r="S59" s="2"/>
      <c r="T59" s="2">
        <f>--2208.19</f>
        <v>2208.19</v>
      </c>
      <c r="U59" s="2"/>
      <c r="V59" s="19"/>
      <c r="W59" s="2"/>
      <c r="X59" s="2">
        <f t="shared" si="2"/>
        <v>-2208.19</v>
      </c>
      <c r="Y59" s="2"/>
      <c r="Z59" s="19">
        <f t="shared" si="3"/>
        <v>-1</v>
      </c>
    </row>
    <row r="60" spans="1:26" s="24" customFormat="1" hidden="1" outlineLevel="1" x14ac:dyDescent="0.3">
      <c r="A60" s="44"/>
      <c r="B60" s="11" t="str">
        <f>CONCATENATE("          ", "4143", " - ", "NON-TAXABLE SALES-CARDS")</f>
        <v xml:space="preserve">          4143 - NON-TAXABLE SALES-CARDS</v>
      </c>
      <c r="C60" s="11"/>
      <c r="D60" s="2">
        <f t="shared" si="10"/>
        <v>0</v>
      </c>
      <c r="E60" s="2"/>
      <c r="F60" s="19"/>
      <c r="G60" s="2"/>
      <c r="H60" s="2">
        <f>--1697.07</f>
        <v>1697.07</v>
      </c>
      <c r="I60" s="2"/>
      <c r="J60" s="19"/>
      <c r="K60" s="2"/>
      <c r="L60" s="2">
        <f t="shared" si="0"/>
        <v>-1697.07</v>
      </c>
      <c r="M60" s="2"/>
      <c r="N60" s="19">
        <f t="shared" si="1"/>
        <v>-1</v>
      </c>
      <c r="O60" s="11"/>
      <c r="P60" s="2">
        <f t="shared" si="11"/>
        <v>0</v>
      </c>
      <c r="Q60" s="2"/>
      <c r="R60" s="19"/>
      <c r="S60" s="2"/>
      <c r="T60" s="2">
        <f>--1737.03</f>
        <v>1737.03</v>
      </c>
      <c r="U60" s="2"/>
      <c r="V60" s="19"/>
      <c r="W60" s="2"/>
      <c r="X60" s="2">
        <f t="shared" si="2"/>
        <v>-1737.03</v>
      </c>
      <c r="Y60" s="2"/>
      <c r="Z60" s="19">
        <f t="shared" si="3"/>
        <v>-1</v>
      </c>
    </row>
    <row r="61" spans="1:26" s="24" customFormat="1" hidden="1" outlineLevel="1" x14ac:dyDescent="0.3">
      <c r="A61" s="44"/>
      <c r="B61" s="11" t="str">
        <f>CONCATENATE("          ", "4144", " - ", "NON-TAXABLE SALES-ACCESSORIES")</f>
        <v xml:space="preserve">          4144 - NON-TAXABLE SALES-ACCESSORIES</v>
      </c>
      <c r="C61" s="11"/>
      <c r="D61" s="2">
        <f t="shared" si="10"/>
        <v>0</v>
      </c>
      <c r="E61" s="2"/>
      <c r="F61" s="19"/>
      <c r="G61" s="2"/>
      <c r="H61" s="2">
        <f>--99.8</f>
        <v>99.8</v>
      </c>
      <c r="I61" s="2"/>
      <c r="J61" s="19"/>
      <c r="K61" s="2"/>
      <c r="L61" s="2">
        <f t="shared" si="0"/>
        <v>-99.8</v>
      </c>
      <c r="M61" s="2"/>
      <c r="N61" s="19">
        <f t="shared" si="1"/>
        <v>-1</v>
      </c>
      <c r="O61" s="11"/>
      <c r="P61" s="2">
        <f t="shared" si="11"/>
        <v>0</v>
      </c>
      <c r="Q61" s="2"/>
      <c r="R61" s="19"/>
      <c r="S61" s="2"/>
      <c r="T61" s="2">
        <f>--489.5</f>
        <v>489.5</v>
      </c>
      <c r="U61" s="2"/>
      <c r="V61" s="19"/>
      <c r="W61" s="2"/>
      <c r="X61" s="2">
        <f t="shared" si="2"/>
        <v>-489.5</v>
      </c>
      <c r="Y61" s="2"/>
      <c r="Z61" s="19">
        <f t="shared" si="3"/>
        <v>-1</v>
      </c>
    </row>
    <row r="62" spans="1:26" s="24" customFormat="1" hidden="1" outlineLevel="1" x14ac:dyDescent="0.3">
      <c r="A62" s="44"/>
      <c r="B62" s="11" t="str">
        <f>CONCATENATE("          ", "4145", " - ", "NON-TAXABLE SALES-SPECIAL ORDE")</f>
        <v xml:space="preserve">          4145 - NON-TAXABLE SALES-SPECIAL ORDE</v>
      </c>
      <c r="C62" s="11"/>
      <c r="D62" s="2">
        <f t="shared" si="10"/>
        <v>0</v>
      </c>
      <c r="E62" s="2"/>
      <c r="F62" s="19"/>
      <c r="G62" s="2"/>
      <c r="H62" s="2">
        <f>--16747.77</f>
        <v>16747.77</v>
      </c>
      <c r="I62" s="2"/>
      <c r="J62" s="19"/>
      <c r="K62" s="2"/>
      <c r="L62" s="2">
        <f t="shared" si="0"/>
        <v>-16747.77</v>
      </c>
      <c r="M62" s="2"/>
      <c r="N62" s="19">
        <f t="shared" si="1"/>
        <v>-1</v>
      </c>
      <c r="O62" s="11"/>
      <c r="P62" s="2">
        <f t="shared" si="11"/>
        <v>0</v>
      </c>
      <c r="Q62" s="2"/>
      <c r="R62" s="19"/>
      <c r="S62" s="2"/>
      <c r="T62" s="2">
        <f>--55393.77</f>
        <v>55393.77</v>
      </c>
      <c r="U62" s="2"/>
      <c r="V62" s="19"/>
      <c r="W62" s="2"/>
      <c r="X62" s="2">
        <f t="shared" si="2"/>
        <v>-55393.77</v>
      </c>
      <c r="Y62" s="2"/>
      <c r="Z62" s="19">
        <f t="shared" si="3"/>
        <v>-1</v>
      </c>
    </row>
    <row r="63" spans="1:26" s="24" customFormat="1" hidden="1" outlineLevel="1" x14ac:dyDescent="0.3">
      <c r="A63" s="44"/>
      <c r="B63" s="11" t="str">
        <f>CONCATENATE("          ", "4146", " - ", "NON-TAXABLE SALES-COIN OP MACH")</f>
        <v xml:space="preserve">          4146 - NON-TAXABLE SALES-COIN OP MACH</v>
      </c>
      <c r="C63" s="11"/>
      <c r="D63" s="2">
        <f t="shared" si="10"/>
        <v>0</v>
      </c>
      <c r="E63" s="2"/>
      <c r="F63" s="19"/>
      <c r="G63" s="2"/>
      <c r="H63" s="2">
        <f>--19.9</f>
        <v>19.899999999999999</v>
      </c>
      <c r="I63" s="2"/>
      <c r="J63" s="19"/>
      <c r="K63" s="2"/>
      <c r="L63" s="2">
        <f t="shared" si="0"/>
        <v>-19.899999999999999</v>
      </c>
      <c r="M63" s="2"/>
      <c r="N63" s="19">
        <f t="shared" si="1"/>
        <v>-1</v>
      </c>
      <c r="O63" s="11"/>
      <c r="P63" s="2">
        <f t="shared" si="11"/>
        <v>0</v>
      </c>
      <c r="Q63" s="2"/>
      <c r="R63" s="19"/>
      <c r="S63" s="2"/>
      <c r="T63" s="2">
        <f>--127.9</f>
        <v>127.9</v>
      </c>
      <c r="U63" s="2"/>
      <c r="V63" s="19"/>
      <c r="W63" s="2"/>
      <c r="X63" s="2">
        <f t="shared" si="2"/>
        <v>-127.9</v>
      </c>
      <c r="Y63" s="2"/>
      <c r="Z63" s="19">
        <f t="shared" si="3"/>
        <v>-1</v>
      </c>
    </row>
    <row r="64" spans="1:26" s="24" customFormat="1" hidden="1" outlineLevel="1" x14ac:dyDescent="0.3">
      <c r="A64" s="44"/>
      <c r="B64" s="11" t="str">
        <f>CONCATENATE("          ", "4147", " - ", "NON-TAXABLE SALES-MISC")</f>
        <v xml:space="preserve">          4147 - NON-TAXABLE SALES-MISC</v>
      </c>
      <c r="C64" s="11"/>
      <c r="D64" s="2">
        <f t="shared" si="10"/>
        <v>0</v>
      </c>
      <c r="E64" s="2"/>
      <c r="F64" s="19"/>
      <c r="G64" s="2"/>
      <c r="H64" s="2">
        <f>--13</f>
        <v>13</v>
      </c>
      <c r="I64" s="2"/>
      <c r="J64" s="19"/>
      <c r="K64" s="2"/>
      <c r="L64" s="2">
        <f t="shared" si="0"/>
        <v>-13</v>
      </c>
      <c r="M64" s="2"/>
      <c r="N64" s="19">
        <f t="shared" si="1"/>
        <v>-1</v>
      </c>
      <c r="O64" s="11"/>
      <c r="P64" s="2">
        <f t="shared" si="11"/>
        <v>0</v>
      </c>
      <c r="Q64" s="2"/>
      <c r="R64" s="19"/>
      <c r="S64" s="2"/>
      <c r="T64" s="2">
        <f>--104.5</f>
        <v>104.5</v>
      </c>
      <c r="U64" s="2"/>
      <c r="V64" s="19"/>
      <c r="W64" s="2"/>
      <c r="X64" s="2">
        <f t="shared" si="2"/>
        <v>-104.5</v>
      </c>
      <c r="Y64" s="2"/>
      <c r="Z64" s="19">
        <f t="shared" si="3"/>
        <v>-1</v>
      </c>
    </row>
    <row r="65" spans="1:26" s="24" customFormat="1" hidden="1" outlineLevel="1" x14ac:dyDescent="0.3">
      <c r="A65" s="44"/>
      <c r="B65" s="11" t="str">
        <f>CONCATENATE("          ", "4151", " - ", "NON-TAXABLE SALES-FOOD")</f>
        <v xml:space="preserve">          4151 - NON-TAXABLE SALES-FOOD</v>
      </c>
      <c r="C65" s="11"/>
      <c r="D65" s="2">
        <f>--1041445.01</f>
        <v>1041445.01</v>
      </c>
      <c r="E65" s="2"/>
      <c r="F65" s="19"/>
      <c r="G65" s="2"/>
      <c r="H65" s="2">
        <f>--85481.84</f>
        <v>85481.84</v>
      </c>
      <c r="I65" s="2"/>
      <c r="J65" s="19"/>
      <c r="K65" s="2"/>
      <c r="L65" s="2">
        <f t="shared" si="0"/>
        <v>955963.17</v>
      </c>
      <c r="M65" s="2"/>
      <c r="N65" s="19">
        <f t="shared" si="1"/>
        <v>11.183231081595812</v>
      </c>
      <c r="O65" s="11"/>
      <c r="P65" s="2">
        <f>--6168445.67</f>
        <v>6168445.6699999999</v>
      </c>
      <c r="Q65" s="2"/>
      <c r="R65" s="19"/>
      <c r="S65" s="2"/>
      <c r="T65" s="2">
        <f>--628376.6</f>
        <v>628376.6</v>
      </c>
      <c r="U65" s="2"/>
      <c r="V65" s="19"/>
      <c r="W65" s="2"/>
      <c r="X65" s="2">
        <f t="shared" si="2"/>
        <v>5540069.0700000003</v>
      </c>
      <c r="Y65" s="2"/>
      <c r="Z65" s="19">
        <f t="shared" si="3"/>
        <v>8.8164789554544214</v>
      </c>
    </row>
    <row r="66" spans="1:26" s="24" customFormat="1" hidden="1" outlineLevel="1" x14ac:dyDescent="0.3">
      <c r="A66" s="44"/>
      <c r="B66" s="11" t="str">
        <f>CONCATENATE("          ", "4153", " - ", "NON-TAXABLE SALES-FOOD")</f>
        <v xml:space="preserve">          4153 - NON-TAXABLE SALES-FOOD</v>
      </c>
      <c r="C66" s="11"/>
      <c r="D66" s="2">
        <f>--5696.16</f>
        <v>5696.16</v>
      </c>
      <c r="E66" s="2"/>
      <c r="F66" s="19"/>
      <c r="G66" s="2"/>
      <c r="H66" s="2">
        <f>--3637.54</f>
        <v>3637.54</v>
      </c>
      <c r="I66" s="2"/>
      <c r="J66" s="19"/>
      <c r="K66" s="2"/>
      <c r="L66" s="2">
        <f t="shared" si="0"/>
        <v>2058.62</v>
      </c>
      <c r="M66" s="2"/>
      <c r="N66" s="19">
        <f t="shared" si="1"/>
        <v>0.56593741924487428</v>
      </c>
      <c r="O66" s="11"/>
      <c r="P66" s="2">
        <f>--56465.99</f>
        <v>56465.99</v>
      </c>
      <c r="Q66" s="2"/>
      <c r="R66" s="19"/>
      <c r="S66" s="2"/>
      <c r="T66" s="2">
        <f>--29871.4</f>
        <v>29871.4</v>
      </c>
      <c r="U66" s="2"/>
      <c r="V66" s="19"/>
      <c r="W66" s="2"/>
      <c r="X66" s="2">
        <f t="shared" si="2"/>
        <v>26594.589999999997</v>
      </c>
      <c r="Y66" s="2"/>
      <c r="Z66" s="19">
        <f t="shared" si="3"/>
        <v>0.89030276451723034</v>
      </c>
    </row>
    <row r="67" spans="1:26" s="24" customFormat="1" hidden="1" outlineLevel="1" x14ac:dyDescent="0.3">
      <c r="A67" s="44"/>
      <c r="B67" s="11" t="str">
        <f>CONCATENATE("          ", "4181", " - ", "NON-TAXABLE SALES-ELECTRONICS")</f>
        <v xml:space="preserve">          4181 - NON-TAXABLE SALES-ELECTRONICS</v>
      </c>
      <c r="C67" s="11"/>
      <c r="D67" s="2">
        <f t="shared" ref="D67:D71" si="14">0</f>
        <v>0</v>
      </c>
      <c r="E67" s="2"/>
      <c r="F67" s="19"/>
      <c r="G67" s="2"/>
      <c r="H67" s="2">
        <f>0</f>
        <v>0</v>
      </c>
      <c r="I67" s="2"/>
      <c r="J67" s="19"/>
      <c r="K67" s="2"/>
      <c r="L67" s="2">
        <f t="shared" si="0"/>
        <v>0</v>
      </c>
      <c r="M67" s="2"/>
      <c r="N67" s="19">
        <f t="shared" si="1"/>
        <v>0</v>
      </c>
      <c r="O67" s="11"/>
      <c r="P67" s="2">
        <f t="shared" ref="P67:P71" si="15">0</f>
        <v>0</v>
      </c>
      <c r="Q67" s="2"/>
      <c r="R67" s="19"/>
      <c r="S67" s="2"/>
      <c r="T67" s="2">
        <f>--3534.12</f>
        <v>3534.12</v>
      </c>
      <c r="U67" s="2"/>
      <c r="V67" s="19"/>
      <c r="W67" s="2"/>
      <c r="X67" s="2">
        <f t="shared" si="2"/>
        <v>-3534.12</v>
      </c>
      <c r="Y67" s="2"/>
      <c r="Z67" s="19">
        <f t="shared" si="3"/>
        <v>-1</v>
      </c>
    </row>
    <row r="68" spans="1:26" s="24" customFormat="1" hidden="1" outlineLevel="1" x14ac:dyDescent="0.3">
      <c r="A68" s="44"/>
      <c r="B68" s="11" t="str">
        <f>CONCATENATE("          ", "4182", " - ", "NON-TAXABLE SALES-COMPUTER HAR")</f>
        <v xml:space="preserve">          4182 - NON-TAXABLE SALES-COMPUTER HAR</v>
      </c>
      <c r="C68" s="11"/>
      <c r="D68" s="2">
        <f t="shared" si="14"/>
        <v>0</v>
      </c>
      <c r="E68" s="2"/>
      <c r="F68" s="19"/>
      <c r="G68" s="2"/>
      <c r="H68" s="2">
        <f>--9513.96</f>
        <v>9513.9599999999991</v>
      </c>
      <c r="I68" s="2"/>
      <c r="J68" s="19"/>
      <c r="K68" s="2"/>
      <c r="L68" s="2">
        <f t="shared" si="0"/>
        <v>-9513.9599999999991</v>
      </c>
      <c r="M68" s="2"/>
      <c r="N68" s="19">
        <f t="shared" si="1"/>
        <v>-1</v>
      </c>
      <c r="O68" s="11"/>
      <c r="P68" s="2">
        <f t="shared" si="15"/>
        <v>0</v>
      </c>
      <c r="Q68" s="2"/>
      <c r="R68" s="19"/>
      <c r="S68" s="2"/>
      <c r="T68" s="2">
        <f>--164308.31</f>
        <v>164308.31</v>
      </c>
      <c r="U68" s="2"/>
      <c r="V68" s="19"/>
      <c r="W68" s="2"/>
      <c r="X68" s="2">
        <f t="shared" si="2"/>
        <v>-164308.31</v>
      </c>
      <c r="Y68" s="2"/>
      <c r="Z68" s="19">
        <f t="shared" si="3"/>
        <v>-1</v>
      </c>
    </row>
    <row r="69" spans="1:26" s="24" customFormat="1" hidden="1" outlineLevel="1" x14ac:dyDescent="0.3">
      <c r="A69" s="44"/>
      <c r="B69" s="11" t="str">
        <f>CONCATENATE("          ", "4183", " - ", "NON-TAXABLE SALES-COMPUTER EQU")</f>
        <v xml:space="preserve">          4183 - NON-TAXABLE SALES-COMPUTER EQU</v>
      </c>
      <c r="C69" s="11"/>
      <c r="D69" s="2">
        <f t="shared" si="14"/>
        <v>0</v>
      </c>
      <c r="E69" s="2"/>
      <c r="F69" s="19"/>
      <c r="G69" s="2"/>
      <c r="H69" s="2">
        <f>--258.91</f>
        <v>258.91000000000003</v>
      </c>
      <c r="I69" s="2"/>
      <c r="J69" s="19"/>
      <c r="K69" s="2"/>
      <c r="L69" s="2">
        <f t="shared" si="0"/>
        <v>-258.91000000000003</v>
      </c>
      <c r="M69" s="2"/>
      <c r="N69" s="19">
        <f t="shared" si="1"/>
        <v>-1</v>
      </c>
      <c r="O69" s="11"/>
      <c r="P69" s="2">
        <f t="shared" si="15"/>
        <v>0</v>
      </c>
      <c r="Q69" s="2"/>
      <c r="R69" s="19"/>
      <c r="S69" s="2"/>
      <c r="T69" s="2">
        <f>--7629.19</f>
        <v>7629.19</v>
      </c>
      <c r="U69" s="2"/>
      <c r="V69" s="19"/>
      <c r="W69" s="2"/>
      <c r="X69" s="2">
        <f t="shared" si="2"/>
        <v>-7629.19</v>
      </c>
      <c r="Y69" s="2"/>
      <c r="Z69" s="19">
        <f t="shared" si="3"/>
        <v>-1</v>
      </c>
    </row>
    <row r="70" spans="1:26" s="24" customFormat="1" hidden="1" outlineLevel="1" x14ac:dyDescent="0.3">
      <c r="A70" s="44"/>
      <c r="B70" s="11" t="str">
        <f>CONCATENATE("          ", "4185", " - ", "NON-TAXABLE SALES-SOFTWARE")</f>
        <v xml:space="preserve">          4185 - NON-TAXABLE SALES-SOFTWARE</v>
      </c>
      <c r="C70" s="11"/>
      <c r="D70" s="2">
        <f t="shared" si="14"/>
        <v>0</v>
      </c>
      <c r="E70" s="2"/>
      <c r="F70" s="19"/>
      <c r="G70" s="2"/>
      <c r="H70" s="2">
        <f>--873.93</f>
        <v>873.93</v>
      </c>
      <c r="I70" s="2"/>
      <c r="J70" s="19"/>
      <c r="K70" s="2"/>
      <c r="L70" s="2">
        <f t="shared" si="0"/>
        <v>-873.93</v>
      </c>
      <c r="M70" s="2"/>
      <c r="N70" s="19">
        <f t="shared" si="1"/>
        <v>-1</v>
      </c>
      <c r="O70" s="11"/>
      <c r="P70" s="2">
        <f t="shared" si="15"/>
        <v>0</v>
      </c>
      <c r="Q70" s="2"/>
      <c r="R70" s="19"/>
      <c r="S70" s="2"/>
      <c r="T70" s="2">
        <f>--26680.67</f>
        <v>26680.67</v>
      </c>
      <c r="U70" s="2"/>
      <c r="V70" s="19"/>
      <c r="W70" s="2"/>
      <c r="X70" s="2">
        <f t="shared" si="2"/>
        <v>-26680.67</v>
      </c>
      <c r="Y70" s="2"/>
      <c r="Z70" s="19">
        <f t="shared" si="3"/>
        <v>-1</v>
      </c>
    </row>
    <row r="71" spans="1:26" s="24" customFormat="1" hidden="1" outlineLevel="1" x14ac:dyDescent="0.3">
      <c r="A71" s="44"/>
      <c r="B71" s="11" t="str">
        <f>CONCATENATE("          ", "4186", " - ", "NON-TAXABLE SALES-COMPUTER SUP")</f>
        <v xml:space="preserve">          4186 - NON-TAXABLE SALES-COMPUTER SUP</v>
      </c>
      <c r="C71" s="11"/>
      <c r="D71" s="2">
        <f t="shared" si="14"/>
        <v>0</v>
      </c>
      <c r="E71" s="2"/>
      <c r="F71" s="19"/>
      <c r="G71" s="2"/>
      <c r="H71" s="2">
        <f>--176.22</f>
        <v>176.22</v>
      </c>
      <c r="I71" s="2"/>
      <c r="J71" s="19"/>
      <c r="K71" s="2"/>
      <c r="L71" s="2">
        <f t="shared" si="0"/>
        <v>-176.22</v>
      </c>
      <c r="M71" s="2"/>
      <c r="N71" s="19">
        <f t="shared" si="1"/>
        <v>-1</v>
      </c>
      <c r="O71" s="11"/>
      <c r="P71" s="2">
        <f t="shared" si="15"/>
        <v>0</v>
      </c>
      <c r="Q71" s="2"/>
      <c r="R71" s="19"/>
      <c r="S71" s="2"/>
      <c r="T71" s="2">
        <f>--1949.99</f>
        <v>1949.99</v>
      </c>
      <c r="U71" s="2"/>
      <c r="V71" s="19"/>
      <c r="W71" s="2"/>
      <c r="X71" s="2">
        <f t="shared" si="2"/>
        <v>-1949.99</v>
      </c>
      <c r="Y71" s="2"/>
      <c r="Z71" s="19">
        <f t="shared" si="3"/>
        <v>-1</v>
      </c>
    </row>
    <row r="72" spans="1:26" s="24" customFormat="1" hidden="1" outlineLevel="1" x14ac:dyDescent="0.3">
      <c r="A72" s="44"/>
      <c r="B72" s="11" t="str">
        <f>CONCATENATE("          ", "4200", " - ", "TAXABLE RETURNS")</f>
        <v xml:space="preserve">          4200 - TAXABLE RETURNS</v>
      </c>
      <c r="C72" s="11"/>
      <c r="D72" s="2">
        <f>-53893.38</f>
        <v>-53893.38</v>
      </c>
      <c r="E72" s="2"/>
      <c r="F72" s="19"/>
      <c r="G72" s="2"/>
      <c r="H72" s="2">
        <f>0</f>
        <v>0</v>
      </c>
      <c r="I72" s="2"/>
      <c r="J72" s="19"/>
      <c r="K72" s="2"/>
      <c r="L72" s="2">
        <f t="shared" si="0"/>
        <v>-53893.38</v>
      </c>
      <c r="M72" s="2"/>
      <c r="N72" s="19">
        <f t="shared" si="1"/>
        <v>0</v>
      </c>
      <c r="O72" s="11"/>
      <c r="P72" s="2">
        <f>-278401.22</f>
        <v>-278401.21999999997</v>
      </c>
      <c r="Q72" s="2"/>
      <c r="R72" s="19"/>
      <c r="S72" s="2"/>
      <c r="T72" s="2">
        <f>0</f>
        <v>0</v>
      </c>
      <c r="U72" s="2"/>
      <c r="V72" s="19"/>
      <c r="W72" s="2"/>
      <c r="X72" s="2">
        <f t="shared" si="2"/>
        <v>-278401.21999999997</v>
      </c>
      <c r="Y72" s="2"/>
      <c r="Z72" s="19">
        <f t="shared" si="3"/>
        <v>0</v>
      </c>
    </row>
    <row r="73" spans="1:26" s="24" customFormat="1" hidden="1" outlineLevel="1" x14ac:dyDescent="0.3">
      <c r="A73" s="44"/>
      <c r="B73" s="11" t="str">
        <f>CONCATENATE("          ", "4201", " - ", "SALES RETURN TAXABLE-NEW TEXT")</f>
        <v xml:space="preserve">          4201 - SALES RETURN TAXABLE-NEW TEXT</v>
      </c>
      <c r="C73" s="11"/>
      <c r="D73" s="2">
        <f t="shared" ref="D73:D89" si="16">0</f>
        <v>0</v>
      </c>
      <c r="E73" s="2"/>
      <c r="F73" s="19"/>
      <c r="G73" s="2"/>
      <c r="H73" s="2">
        <f>-681.18</f>
        <v>-681.18</v>
      </c>
      <c r="I73" s="2"/>
      <c r="J73" s="19"/>
      <c r="K73" s="2"/>
      <c r="L73" s="2">
        <f t="shared" si="0"/>
        <v>681.18</v>
      </c>
      <c r="M73" s="2"/>
      <c r="N73" s="19">
        <f t="shared" si="1"/>
        <v>-1</v>
      </c>
      <c r="O73" s="11"/>
      <c r="P73" s="2">
        <f t="shared" ref="P73:P89" si="17">0</f>
        <v>0</v>
      </c>
      <c r="Q73" s="2"/>
      <c r="R73" s="19"/>
      <c r="S73" s="2"/>
      <c r="T73" s="2">
        <f>-35775.84</f>
        <v>-35775.839999999997</v>
      </c>
      <c r="U73" s="2"/>
      <c r="V73" s="19"/>
      <c r="W73" s="2"/>
      <c r="X73" s="2">
        <f t="shared" si="2"/>
        <v>35775.839999999997</v>
      </c>
      <c r="Y73" s="2"/>
      <c r="Z73" s="19">
        <f t="shared" si="3"/>
        <v>-1</v>
      </c>
    </row>
    <row r="74" spans="1:26" s="24" customFormat="1" hidden="1" outlineLevel="1" x14ac:dyDescent="0.3">
      <c r="A74" s="44"/>
      <c r="B74" s="11" t="str">
        <f>CONCATENATE("          ", "4202", " - ", "SALES RETURN TAXABLE-USED TEXT")</f>
        <v xml:space="preserve">          4202 - SALES RETURN TAXABLE-USED TEXT</v>
      </c>
      <c r="C74" s="11"/>
      <c r="D74" s="2">
        <f t="shared" si="16"/>
        <v>0</v>
      </c>
      <c r="E74" s="2"/>
      <c r="F74" s="19"/>
      <c r="G74" s="2"/>
      <c r="H74" s="2">
        <f>-62.65</f>
        <v>-62.65</v>
      </c>
      <c r="I74" s="2"/>
      <c r="J74" s="19"/>
      <c r="K74" s="2"/>
      <c r="L74" s="2">
        <f t="shared" si="0"/>
        <v>62.65</v>
      </c>
      <c r="M74" s="2"/>
      <c r="N74" s="19">
        <f t="shared" si="1"/>
        <v>-1</v>
      </c>
      <c r="O74" s="11"/>
      <c r="P74" s="2">
        <f t="shared" si="17"/>
        <v>0</v>
      </c>
      <c r="Q74" s="2"/>
      <c r="R74" s="19"/>
      <c r="S74" s="2"/>
      <c r="T74" s="2">
        <f>-13866</f>
        <v>-13866</v>
      </c>
      <c r="U74" s="2"/>
      <c r="V74" s="19"/>
      <c r="W74" s="2"/>
      <c r="X74" s="2">
        <f t="shared" si="2"/>
        <v>13866</v>
      </c>
      <c r="Y74" s="2"/>
      <c r="Z74" s="19">
        <f t="shared" si="3"/>
        <v>-1</v>
      </c>
    </row>
    <row r="75" spans="1:26" s="24" customFormat="1" hidden="1" outlineLevel="1" x14ac:dyDescent="0.3">
      <c r="A75" s="44"/>
      <c r="B75" s="11" t="str">
        <f>CONCATENATE("          ", "4204", " - ", "SALES RETURN TAXABLE-DIGITAL T")</f>
        <v xml:space="preserve">          4204 - SALES RETURN TAXABLE-DIGITAL T</v>
      </c>
      <c r="C75" s="11"/>
      <c r="D75" s="2">
        <f t="shared" si="16"/>
        <v>0</v>
      </c>
      <c r="E75" s="2"/>
      <c r="F75" s="19"/>
      <c r="G75" s="2"/>
      <c r="H75" s="2">
        <f t="shared" ref="H75:H76" si="18">0</f>
        <v>0</v>
      </c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 t="shared" si="17"/>
        <v>0</v>
      </c>
      <c r="Q75" s="2"/>
      <c r="R75" s="19"/>
      <c r="S75" s="2"/>
      <c r="T75" s="2">
        <f>-1630.85</f>
        <v>-1630.85</v>
      </c>
      <c r="U75" s="2"/>
      <c r="V75" s="19"/>
      <c r="W75" s="2"/>
      <c r="X75" s="2">
        <f t="shared" si="2"/>
        <v>1630.85</v>
      </c>
      <c r="Y75" s="2"/>
      <c r="Z75" s="19">
        <f t="shared" si="3"/>
        <v>-1</v>
      </c>
    </row>
    <row r="76" spans="1:26" s="24" customFormat="1" hidden="1" outlineLevel="1" x14ac:dyDescent="0.3">
      <c r="A76" s="44"/>
      <c r="B76" s="11" t="str">
        <f>CONCATENATE("          ", "4226", " - ", "SALES RETURN TAXABLE-WRITING I")</f>
        <v xml:space="preserve">          4226 - SALES RETURN TAXABLE-WRITING I</v>
      </c>
      <c r="C76" s="11"/>
      <c r="D76" s="2">
        <f t="shared" si="16"/>
        <v>0</v>
      </c>
      <c r="E76" s="2"/>
      <c r="F76" s="19"/>
      <c r="G76" s="2"/>
      <c r="H76" s="2">
        <f t="shared" si="18"/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 t="shared" si="17"/>
        <v>0</v>
      </c>
      <c r="Q76" s="2"/>
      <c r="R76" s="19"/>
      <c r="S76" s="2"/>
      <c r="T76" s="2">
        <f>-34.23</f>
        <v>-34.229999999999997</v>
      </c>
      <c r="U76" s="2"/>
      <c r="V76" s="19"/>
      <c r="W76" s="2"/>
      <c r="X76" s="2">
        <f t="shared" si="2"/>
        <v>34.229999999999997</v>
      </c>
      <c r="Y76" s="2"/>
      <c r="Z76" s="19">
        <f t="shared" si="3"/>
        <v>-1</v>
      </c>
    </row>
    <row r="77" spans="1:26" s="24" customFormat="1" hidden="1" outlineLevel="1" x14ac:dyDescent="0.3">
      <c r="A77" s="44"/>
      <c r="B77" s="11" t="str">
        <f>CONCATENATE("          ", "4227", " - ", "SALES RETURN TAXABLE-SCHOOL SU")</f>
        <v xml:space="preserve">          4227 - SALES RETURN TAXABLE-SCHOOL SU</v>
      </c>
      <c r="C77" s="11"/>
      <c r="D77" s="2">
        <f t="shared" si="16"/>
        <v>0</v>
      </c>
      <c r="E77" s="2"/>
      <c r="F77" s="19"/>
      <c r="G77" s="2"/>
      <c r="H77" s="2">
        <f>-25.82</f>
        <v>-25.82</v>
      </c>
      <c r="I77" s="2"/>
      <c r="J77" s="19"/>
      <c r="K77" s="2"/>
      <c r="L77" s="2">
        <f t="shared" si="0"/>
        <v>25.82</v>
      </c>
      <c r="M77" s="2"/>
      <c r="N77" s="19">
        <f t="shared" si="1"/>
        <v>-1</v>
      </c>
      <c r="O77" s="11"/>
      <c r="P77" s="2">
        <f t="shared" si="17"/>
        <v>0</v>
      </c>
      <c r="Q77" s="2"/>
      <c r="R77" s="19"/>
      <c r="S77" s="2"/>
      <c r="T77" s="2">
        <f>-636.46</f>
        <v>-636.46</v>
      </c>
      <c r="U77" s="2"/>
      <c r="V77" s="19"/>
      <c r="W77" s="2"/>
      <c r="X77" s="2">
        <f t="shared" si="2"/>
        <v>636.46</v>
      </c>
      <c r="Y77" s="2"/>
      <c r="Z77" s="19">
        <f t="shared" si="3"/>
        <v>-1</v>
      </c>
    </row>
    <row r="78" spans="1:26" s="24" customFormat="1" hidden="1" outlineLevel="1" x14ac:dyDescent="0.3">
      <c r="A78" s="44"/>
      <c r="B78" s="11" t="str">
        <f>CONCATENATE("          ", "4228", " - ", "SALES RETURN TAXABLE-ART/TECH")</f>
        <v xml:space="preserve">          4228 - SALES RETURN TAXABLE-ART/TECH</v>
      </c>
      <c r="C78" s="11"/>
      <c r="D78" s="2">
        <f t="shared" si="16"/>
        <v>0</v>
      </c>
      <c r="E78" s="2"/>
      <c r="F78" s="19"/>
      <c r="G78" s="2"/>
      <c r="H78" s="2">
        <f>0</f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 t="shared" si="17"/>
        <v>0</v>
      </c>
      <c r="Q78" s="2"/>
      <c r="R78" s="19"/>
      <c r="S78" s="2"/>
      <c r="T78" s="2">
        <f>-254.69</f>
        <v>-254.69</v>
      </c>
      <c r="U78" s="2"/>
      <c r="V78" s="19"/>
      <c r="W78" s="2"/>
      <c r="X78" s="2">
        <f t="shared" si="2"/>
        <v>254.69</v>
      </c>
      <c r="Y78" s="2"/>
      <c r="Z78" s="19">
        <f t="shared" si="3"/>
        <v>-1</v>
      </c>
    </row>
    <row r="79" spans="1:26" s="24" customFormat="1" hidden="1" outlineLevel="1" x14ac:dyDescent="0.3">
      <c r="A79" s="44"/>
      <c r="B79" s="11" t="str">
        <f>CONCATENATE("          ", "4240", " - ", "SALES RETURN TAXABLE-LOGO CLOT")</f>
        <v xml:space="preserve">          4240 - SALES RETURN TAXABLE-LOGO CLOT</v>
      </c>
      <c r="C79" s="11"/>
      <c r="D79" s="2">
        <f t="shared" si="16"/>
        <v>0</v>
      </c>
      <c r="E79" s="2"/>
      <c r="F79" s="19"/>
      <c r="G79" s="2"/>
      <c r="H79" s="2">
        <f>-4840.17</f>
        <v>-4840.17</v>
      </c>
      <c r="I79" s="2"/>
      <c r="J79" s="19"/>
      <c r="K79" s="2"/>
      <c r="L79" s="2">
        <f t="shared" si="0"/>
        <v>4840.17</v>
      </c>
      <c r="M79" s="2"/>
      <c r="N79" s="19">
        <f t="shared" si="1"/>
        <v>-1</v>
      </c>
      <c r="O79" s="11"/>
      <c r="P79" s="2">
        <f t="shared" si="17"/>
        <v>0</v>
      </c>
      <c r="Q79" s="2"/>
      <c r="R79" s="19"/>
      <c r="S79" s="2"/>
      <c r="T79" s="2">
        <f>-20418.84</f>
        <v>-20418.84</v>
      </c>
      <c r="U79" s="2"/>
      <c r="V79" s="19"/>
      <c r="W79" s="2"/>
      <c r="X79" s="2">
        <f t="shared" si="2"/>
        <v>20418.84</v>
      </c>
      <c r="Y79" s="2"/>
      <c r="Z79" s="19">
        <f t="shared" si="3"/>
        <v>-1</v>
      </c>
    </row>
    <row r="80" spans="1:26" s="24" customFormat="1" hidden="1" outlineLevel="1" x14ac:dyDescent="0.3">
      <c r="A80" s="44"/>
      <c r="B80" s="11" t="str">
        <f>CONCATENATE("          ", "4241", " - ", "SALES RETURN TAXABLE-LOGO GIFT")</f>
        <v xml:space="preserve">          4241 - SALES RETURN TAXABLE-LOGO GIFT</v>
      </c>
      <c r="C80" s="11"/>
      <c r="D80" s="2">
        <f t="shared" si="16"/>
        <v>0</v>
      </c>
      <c r="E80" s="2"/>
      <c r="F80" s="19"/>
      <c r="G80" s="2"/>
      <c r="H80" s="2">
        <f>-755.16</f>
        <v>-755.16</v>
      </c>
      <c r="I80" s="2"/>
      <c r="J80" s="19"/>
      <c r="K80" s="2"/>
      <c r="L80" s="2">
        <f t="shared" si="0"/>
        <v>755.16</v>
      </c>
      <c r="M80" s="2"/>
      <c r="N80" s="19">
        <f t="shared" si="1"/>
        <v>-1</v>
      </c>
      <c r="O80" s="11"/>
      <c r="P80" s="2">
        <f t="shared" si="17"/>
        <v>0</v>
      </c>
      <c r="Q80" s="2"/>
      <c r="R80" s="19"/>
      <c r="S80" s="2"/>
      <c r="T80" s="2">
        <f>-3560.01</f>
        <v>-3560.01</v>
      </c>
      <c r="U80" s="2"/>
      <c r="V80" s="19"/>
      <c r="W80" s="2"/>
      <c r="X80" s="2">
        <f t="shared" si="2"/>
        <v>3560.01</v>
      </c>
      <c r="Y80" s="2"/>
      <c r="Z80" s="19">
        <f t="shared" si="3"/>
        <v>-1</v>
      </c>
    </row>
    <row r="81" spans="1:26" s="24" customFormat="1" hidden="1" outlineLevel="1" x14ac:dyDescent="0.3">
      <c r="A81" s="44"/>
      <c r="B81" s="11" t="str">
        <f>CONCATENATE("          ", "4242", " - ", "SALES RETURN TAXABLE-EVERYDAY")</f>
        <v xml:space="preserve">          4242 - SALES RETURN TAXABLE-EVERYDAY</v>
      </c>
      <c r="C81" s="11"/>
      <c r="D81" s="2">
        <f t="shared" si="16"/>
        <v>0</v>
      </c>
      <c r="E81" s="2"/>
      <c r="F81" s="19"/>
      <c r="G81" s="2"/>
      <c r="H81" s="2">
        <f>-287.93</f>
        <v>-287.93</v>
      </c>
      <c r="I81" s="2"/>
      <c r="J81" s="19"/>
      <c r="K81" s="2"/>
      <c r="L81" s="2">
        <f t="shared" si="0"/>
        <v>287.93</v>
      </c>
      <c r="M81" s="2"/>
      <c r="N81" s="19">
        <f t="shared" si="1"/>
        <v>-1</v>
      </c>
      <c r="O81" s="11"/>
      <c r="P81" s="2">
        <f t="shared" si="17"/>
        <v>0</v>
      </c>
      <c r="Q81" s="2"/>
      <c r="R81" s="19"/>
      <c r="S81" s="2"/>
      <c r="T81" s="2">
        <f>-1616.92</f>
        <v>-1616.92</v>
      </c>
      <c r="U81" s="2"/>
      <c r="V81" s="19"/>
      <c r="W81" s="2"/>
      <c r="X81" s="2">
        <f t="shared" si="2"/>
        <v>1616.92</v>
      </c>
      <c r="Y81" s="2"/>
      <c r="Z81" s="19">
        <f t="shared" si="3"/>
        <v>-1</v>
      </c>
    </row>
    <row r="82" spans="1:26" s="24" customFormat="1" hidden="1" outlineLevel="1" x14ac:dyDescent="0.3">
      <c r="A82" s="44"/>
      <c r="B82" s="11" t="str">
        <f>CONCATENATE("          ", "4243", " - ", "SALES RETURN TAXABLE-CARDS")</f>
        <v xml:space="preserve">          4243 - SALES RETURN TAXABLE-CARDS</v>
      </c>
      <c r="C82" s="11"/>
      <c r="D82" s="2">
        <f t="shared" si="16"/>
        <v>0</v>
      </c>
      <c r="E82" s="2"/>
      <c r="F82" s="19"/>
      <c r="G82" s="2"/>
      <c r="H82" s="2">
        <f>-1765.08</f>
        <v>-1765.08</v>
      </c>
      <c r="I82" s="2"/>
      <c r="J82" s="19"/>
      <c r="K82" s="2"/>
      <c r="L82" s="2">
        <f t="shared" si="0"/>
        <v>1765.08</v>
      </c>
      <c r="M82" s="2"/>
      <c r="N82" s="19">
        <f t="shared" si="1"/>
        <v>-1</v>
      </c>
      <c r="O82" s="11"/>
      <c r="P82" s="2">
        <f t="shared" si="17"/>
        <v>0</v>
      </c>
      <c r="Q82" s="2"/>
      <c r="R82" s="19"/>
      <c r="S82" s="2"/>
      <c r="T82" s="2">
        <f>-3577.54</f>
        <v>-3577.54</v>
      </c>
      <c r="U82" s="2"/>
      <c r="V82" s="19"/>
      <c r="W82" s="2"/>
      <c r="X82" s="2">
        <f t="shared" si="2"/>
        <v>3577.54</v>
      </c>
      <c r="Y82" s="2"/>
      <c r="Z82" s="19">
        <f t="shared" si="3"/>
        <v>-1</v>
      </c>
    </row>
    <row r="83" spans="1:26" s="24" customFormat="1" hidden="1" outlineLevel="1" x14ac:dyDescent="0.3">
      <c r="A83" s="44"/>
      <c r="B83" s="11" t="str">
        <f>CONCATENATE("          ", "4244", " - ", "SALES RETURN TAXABLE-ACCESSORI")</f>
        <v xml:space="preserve">          4244 - SALES RETURN TAXABLE-ACCESSORI</v>
      </c>
      <c r="C83" s="11"/>
      <c r="D83" s="2">
        <f t="shared" si="16"/>
        <v>0</v>
      </c>
      <c r="E83" s="2"/>
      <c r="F83" s="19"/>
      <c r="G83" s="2"/>
      <c r="H83" s="2">
        <f>-299.93</f>
        <v>-299.93</v>
      </c>
      <c r="I83" s="2"/>
      <c r="J83" s="19"/>
      <c r="K83" s="2"/>
      <c r="L83" s="2">
        <f t="shared" si="0"/>
        <v>299.93</v>
      </c>
      <c r="M83" s="2"/>
      <c r="N83" s="19">
        <f t="shared" si="1"/>
        <v>-1</v>
      </c>
      <c r="O83" s="11"/>
      <c r="P83" s="2">
        <f t="shared" si="17"/>
        <v>0</v>
      </c>
      <c r="Q83" s="2"/>
      <c r="R83" s="19"/>
      <c r="S83" s="2"/>
      <c r="T83" s="2">
        <f>-890.87</f>
        <v>-890.87</v>
      </c>
      <c r="U83" s="2"/>
      <c r="V83" s="19"/>
      <c r="W83" s="2"/>
      <c r="X83" s="2">
        <f t="shared" si="2"/>
        <v>890.87</v>
      </c>
      <c r="Y83" s="2"/>
      <c r="Z83" s="19">
        <f t="shared" si="3"/>
        <v>-1</v>
      </c>
    </row>
    <row r="84" spans="1:26" s="24" customFormat="1" hidden="1" outlineLevel="1" x14ac:dyDescent="0.3">
      <c r="A84" s="44"/>
      <c r="B84" s="11" t="str">
        <f>CONCATENATE("          ", "4245", " - ", "SALES RETURN TAXABLE-SPECIAL O")</f>
        <v xml:space="preserve">          4245 - SALES RETURN TAXABLE-SPECIAL O</v>
      </c>
      <c r="C84" s="11"/>
      <c r="D84" s="2">
        <f t="shared" si="16"/>
        <v>0</v>
      </c>
      <c r="E84" s="2"/>
      <c r="F84" s="19"/>
      <c r="G84" s="2"/>
      <c r="H84" s="2">
        <f>-9752.79</f>
        <v>-9752.7900000000009</v>
      </c>
      <c r="I84" s="2"/>
      <c r="J84" s="19"/>
      <c r="K84" s="2"/>
      <c r="L84" s="2">
        <f t="shared" si="0"/>
        <v>9752.7900000000009</v>
      </c>
      <c r="M84" s="2"/>
      <c r="N84" s="19">
        <f t="shared" si="1"/>
        <v>-1</v>
      </c>
      <c r="O84" s="11"/>
      <c r="P84" s="2">
        <f t="shared" si="17"/>
        <v>0</v>
      </c>
      <c r="Q84" s="2"/>
      <c r="R84" s="19"/>
      <c r="S84" s="2"/>
      <c r="T84" s="2">
        <f>-11345.61</f>
        <v>-11345.61</v>
      </c>
      <c r="U84" s="2"/>
      <c r="V84" s="19"/>
      <c r="W84" s="2"/>
      <c r="X84" s="2">
        <f t="shared" si="2"/>
        <v>11345.61</v>
      </c>
      <c r="Y84" s="2"/>
      <c r="Z84" s="19">
        <f t="shared" si="3"/>
        <v>-1</v>
      </c>
    </row>
    <row r="85" spans="1:26" s="24" customFormat="1" hidden="1" outlineLevel="1" x14ac:dyDescent="0.3">
      <c r="A85" s="44"/>
      <c r="B85" s="11" t="str">
        <f>CONCATENATE("          ", "4281", " - ", "SALES RETURN TAXABLE-ELECTRONI")</f>
        <v xml:space="preserve">          4281 - SALES RETURN TAXABLE-ELECTRONI</v>
      </c>
      <c r="C85" s="11"/>
      <c r="D85" s="2">
        <f t="shared" si="16"/>
        <v>0</v>
      </c>
      <c r="E85" s="2"/>
      <c r="F85" s="19"/>
      <c r="G85" s="2"/>
      <c r="H85" s="2">
        <f>0</f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 t="shared" si="17"/>
        <v>0</v>
      </c>
      <c r="Q85" s="2"/>
      <c r="R85" s="19"/>
      <c r="S85" s="2"/>
      <c r="T85" s="2">
        <f>-14632.15</f>
        <v>-14632.15</v>
      </c>
      <c r="U85" s="2"/>
      <c r="V85" s="19"/>
      <c r="W85" s="2"/>
      <c r="X85" s="2">
        <f t="shared" si="2"/>
        <v>14632.15</v>
      </c>
      <c r="Y85" s="2"/>
      <c r="Z85" s="19">
        <f t="shared" si="3"/>
        <v>-1</v>
      </c>
    </row>
    <row r="86" spans="1:26" s="24" customFormat="1" hidden="1" outlineLevel="1" x14ac:dyDescent="0.3">
      <c r="A86" s="44"/>
      <c r="B86" s="11" t="str">
        <f>CONCATENATE("          ", "4282", " - ", "SALES RETURN TAXABLE-COMPUTER")</f>
        <v xml:space="preserve">          4282 - SALES RETURN TAXABLE-COMPUTER</v>
      </c>
      <c r="C86" s="11"/>
      <c r="D86" s="2">
        <f t="shared" si="16"/>
        <v>0</v>
      </c>
      <c r="E86" s="2"/>
      <c r="F86" s="19"/>
      <c r="G86" s="2"/>
      <c r="H86" s="2">
        <f>-7936</f>
        <v>-7936</v>
      </c>
      <c r="I86" s="2"/>
      <c r="J86" s="19"/>
      <c r="K86" s="2"/>
      <c r="L86" s="2">
        <f t="shared" si="0"/>
        <v>7936</v>
      </c>
      <c r="M86" s="2"/>
      <c r="N86" s="19">
        <f t="shared" si="1"/>
        <v>-1</v>
      </c>
      <c r="O86" s="11"/>
      <c r="P86" s="2">
        <f t="shared" si="17"/>
        <v>0</v>
      </c>
      <c r="Q86" s="2"/>
      <c r="R86" s="19"/>
      <c r="S86" s="2"/>
      <c r="T86" s="2">
        <f>-92020.01</f>
        <v>-92020.01</v>
      </c>
      <c r="U86" s="2"/>
      <c r="V86" s="19"/>
      <c r="W86" s="2"/>
      <c r="X86" s="2">
        <f t="shared" si="2"/>
        <v>92020.01</v>
      </c>
      <c r="Y86" s="2"/>
      <c r="Z86" s="19">
        <f t="shared" si="3"/>
        <v>-1</v>
      </c>
    </row>
    <row r="87" spans="1:26" s="24" customFormat="1" hidden="1" outlineLevel="1" x14ac:dyDescent="0.3">
      <c r="A87" s="44"/>
      <c r="B87" s="11" t="str">
        <f>CONCATENATE("          ", "4283", " - ", "SALES RETURN TAXABLE-COMPUTER")</f>
        <v xml:space="preserve">          4283 - SALES RETURN TAXABLE-COMPUTER</v>
      </c>
      <c r="C87" s="11"/>
      <c r="D87" s="2">
        <f t="shared" si="16"/>
        <v>0</v>
      </c>
      <c r="E87" s="2"/>
      <c r="F87" s="19"/>
      <c r="G87" s="2"/>
      <c r="H87" s="2">
        <f>-99.99</f>
        <v>-99.99</v>
      </c>
      <c r="I87" s="2"/>
      <c r="J87" s="19"/>
      <c r="K87" s="2"/>
      <c r="L87" s="2">
        <f t="shared" si="0"/>
        <v>99.99</v>
      </c>
      <c r="M87" s="2"/>
      <c r="N87" s="19">
        <f t="shared" si="1"/>
        <v>-1</v>
      </c>
      <c r="O87" s="11"/>
      <c r="P87" s="2">
        <f t="shared" si="17"/>
        <v>0</v>
      </c>
      <c r="Q87" s="2"/>
      <c r="R87" s="19"/>
      <c r="S87" s="2"/>
      <c r="T87" s="2">
        <f>-3411.26</f>
        <v>-3411.26</v>
      </c>
      <c r="U87" s="2"/>
      <c r="V87" s="19"/>
      <c r="W87" s="2"/>
      <c r="X87" s="2">
        <f t="shared" si="2"/>
        <v>3411.26</v>
      </c>
      <c r="Y87" s="2"/>
      <c r="Z87" s="19">
        <f t="shared" si="3"/>
        <v>-1</v>
      </c>
    </row>
    <row r="88" spans="1:26" s="24" customFormat="1" hidden="1" outlineLevel="1" x14ac:dyDescent="0.3">
      <c r="A88" s="44"/>
      <c r="B88" s="11" t="str">
        <f>CONCATENATE("          ", "4285", " - ", "SALES RETURN TAXABLE-SOFTWARE")</f>
        <v xml:space="preserve">          4285 - SALES RETURN TAXABLE-SOFTWARE</v>
      </c>
      <c r="C88" s="11"/>
      <c r="D88" s="2">
        <f t="shared" si="16"/>
        <v>0</v>
      </c>
      <c r="E88" s="2"/>
      <c r="F88" s="19"/>
      <c r="G88" s="2"/>
      <c r="H88" s="2">
        <f>0</f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 t="shared" si="17"/>
        <v>0</v>
      </c>
      <c r="Q88" s="2"/>
      <c r="R88" s="19"/>
      <c r="S88" s="2"/>
      <c r="T88" s="2">
        <f>-691.98</f>
        <v>-691.98</v>
      </c>
      <c r="U88" s="2"/>
      <c r="V88" s="19"/>
      <c r="W88" s="2"/>
      <c r="X88" s="2">
        <f t="shared" si="2"/>
        <v>691.98</v>
      </c>
      <c r="Y88" s="2"/>
      <c r="Z88" s="19">
        <f t="shared" si="3"/>
        <v>-1</v>
      </c>
    </row>
    <row r="89" spans="1:26" s="24" customFormat="1" hidden="1" outlineLevel="1" x14ac:dyDescent="0.3">
      <c r="A89" s="44"/>
      <c r="B89" s="11" t="str">
        <f>CONCATENATE("          ", "4286", " - ", "SALES RETURN TAXABLE-COMPUTER")</f>
        <v xml:space="preserve">          4286 - SALES RETURN TAXABLE-COMPUTER</v>
      </c>
      <c r="C89" s="11"/>
      <c r="D89" s="2">
        <f t="shared" si="16"/>
        <v>0</v>
      </c>
      <c r="E89" s="2"/>
      <c r="F89" s="19"/>
      <c r="G89" s="2"/>
      <c r="H89" s="2">
        <f>-4127</f>
        <v>-4127</v>
      </c>
      <c r="I89" s="2"/>
      <c r="J89" s="19"/>
      <c r="K89" s="2"/>
      <c r="L89" s="2">
        <f t="shared" si="0"/>
        <v>4127</v>
      </c>
      <c r="M89" s="2"/>
      <c r="N89" s="19">
        <f t="shared" si="1"/>
        <v>-1</v>
      </c>
      <c r="O89" s="11"/>
      <c r="P89" s="2">
        <f t="shared" si="17"/>
        <v>0</v>
      </c>
      <c r="Q89" s="2"/>
      <c r="R89" s="19"/>
      <c r="S89" s="2"/>
      <c r="T89" s="2">
        <f>-4708.35</f>
        <v>-4708.3500000000004</v>
      </c>
      <c r="U89" s="2"/>
      <c r="V89" s="19"/>
      <c r="W89" s="2"/>
      <c r="X89" s="2">
        <f t="shared" si="2"/>
        <v>4708.3500000000004</v>
      </c>
      <c r="Y89" s="2"/>
      <c r="Z89" s="19">
        <f t="shared" si="3"/>
        <v>-1</v>
      </c>
    </row>
    <row r="90" spans="1:26" s="24" customFormat="1" hidden="1" outlineLevel="1" x14ac:dyDescent="0.3">
      <c r="A90" s="44"/>
      <c r="B90" s="11" t="str">
        <f>CONCATENATE("          ", "4300", " - ", "NON-TAX RETURNS")</f>
        <v xml:space="preserve">          4300 - NON-TAX RETURNS</v>
      </c>
      <c r="C90" s="11"/>
      <c r="D90" s="2">
        <f>-678.95</f>
        <v>-678.95</v>
      </c>
      <c r="E90" s="2"/>
      <c r="F90" s="19"/>
      <c r="G90" s="2"/>
      <c r="H90" s="2">
        <f>0</f>
        <v>0</v>
      </c>
      <c r="I90" s="2"/>
      <c r="J90" s="19"/>
      <c r="K90" s="2"/>
      <c r="L90" s="2">
        <f t="shared" si="0"/>
        <v>-678.95</v>
      </c>
      <c r="M90" s="2"/>
      <c r="N90" s="19">
        <f t="shared" si="1"/>
        <v>0</v>
      </c>
      <c r="O90" s="11"/>
      <c r="P90" s="2">
        <f>-27884.13</f>
        <v>-27884.13</v>
      </c>
      <c r="Q90" s="2"/>
      <c r="R90" s="19"/>
      <c r="S90" s="2"/>
      <c r="T90" s="2">
        <f>0</f>
        <v>0</v>
      </c>
      <c r="U90" s="2"/>
      <c r="V90" s="19"/>
      <c r="W90" s="2"/>
      <c r="X90" s="2">
        <f t="shared" si="2"/>
        <v>-27884.13</v>
      </c>
      <c r="Y90" s="2"/>
      <c r="Z90" s="19">
        <f t="shared" si="3"/>
        <v>0</v>
      </c>
    </row>
    <row r="91" spans="1:26" s="24" customFormat="1" hidden="1" outlineLevel="1" x14ac:dyDescent="0.3">
      <c r="A91" s="44"/>
      <c r="B91" s="11" t="str">
        <f>CONCATENATE("          ", "4301", " - ", "SALES RETURN NON TAXABLE-NEW T")</f>
        <v xml:space="preserve">          4301 - SALES RETURN NON TAXABLE-NEW T</v>
      </c>
      <c r="C91" s="11"/>
      <c r="D91" s="2">
        <f t="shared" ref="D91:D97" si="19">0</f>
        <v>0</v>
      </c>
      <c r="E91" s="2"/>
      <c r="F91" s="19"/>
      <c r="G91" s="2"/>
      <c r="H91" s="2">
        <f>-372.93</f>
        <v>-372.93</v>
      </c>
      <c r="I91" s="2"/>
      <c r="J91" s="19"/>
      <c r="K91" s="2"/>
      <c r="L91" s="2">
        <f t="shared" si="0"/>
        <v>372.93</v>
      </c>
      <c r="M91" s="2"/>
      <c r="N91" s="19">
        <f t="shared" si="1"/>
        <v>-1</v>
      </c>
      <c r="O91" s="11"/>
      <c r="P91" s="2">
        <f t="shared" ref="P91:P97" si="20">0</f>
        <v>0</v>
      </c>
      <c r="Q91" s="2"/>
      <c r="R91" s="19"/>
      <c r="S91" s="2"/>
      <c r="T91" s="2">
        <f>-2749.1</f>
        <v>-2749.1</v>
      </c>
      <c r="U91" s="2"/>
      <c r="V91" s="19"/>
      <c r="W91" s="2"/>
      <c r="X91" s="2">
        <f t="shared" si="2"/>
        <v>2749.1</v>
      </c>
      <c r="Y91" s="2"/>
      <c r="Z91" s="19">
        <f t="shared" si="3"/>
        <v>-1</v>
      </c>
    </row>
    <row r="92" spans="1:26" s="24" customFormat="1" hidden="1" outlineLevel="1" x14ac:dyDescent="0.3">
      <c r="A92" s="44"/>
      <c r="B92" s="11" t="str">
        <f>CONCATENATE("          ", "4302", " - ", "SALES RETURN NON TAXABLE-TEXT")</f>
        <v xml:space="preserve">          4302 - SALES RETURN NON TAXABLE-TEXT</v>
      </c>
      <c r="C92" s="11"/>
      <c r="D92" s="2">
        <f t="shared" si="19"/>
        <v>0</v>
      </c>
      <c r="E92" s="2"/>
      <c r="F92" s="19"/>
      <c r="G92" s="2"/>
      <c r="H92" s="2">
        <f>-77.35</f>
        <v>-77.349999999999994</v>
      </c>
      <c r="I92" s="2"/>
      <c r="J92" s="19"/>
      <c r="K92" s="2"/>
      <c r="L92" s="2">
        <f t="shared" si="0"/>
        <v>77.349999999999994</v>
      </c>
      <c r="M92" s="2"/>
      <c r="N92" s="19">
        <f t="shared" si="1"/>
        <v>-1</v>
      </c>
      <c r="O92" s="11"/>
      <c r="P92" s="2">
        <f t="shared" si="20"/>
        <v>0</v>
      </c>
      <c r="Q92" s="2"/>
      <c r="R92" s="19"/>
      <c r="S92" s="2"/>
      <c r="T92" s="2">
        <f>-1470.2</f>
        <v>-1470.2</v>
      </c>
      <c r="U92" s="2"/>
      <c r="V92" s="19"/>
      <c r="W92" s="2"/>
      <c r="X92" s="2">
        <f t="shared" si="2"/>
        <v>1470.2</v>
      </c>
      <c r="Y92" s="2"/>
      <c r="Z92" s="19">
        <f t="shared" si="3"/>
        <v>-1</v>
      </c>
    </row>
    <row r="93" spans="1:26" s="24" customFormat="1" hidden="1" outlineLevel="1" x14ac:dyDescent="0.3">
      <c r="A93" s="44"/>
      <c r="B93" s="11" t="str">
        <f>CONCATENATE("          ", "4304", " - ", "SALES RETURN NON TAXABLE-DIGIT")</f>
        <v xml:space="preserve">          4304 - SALES RETURN NON TAXABLE-DIGIT</v>
      </c>
      <c r="C93" s="11"/>
      <c r="D93" s="2">
        <f t="shared" si="19"/>
        <v>0</v>
      </c>
      <c r="E93" s="2"/>
      <c r="F93" s="19"/>
      <c r="G93" s="2"/>
      <c r="H93" s="2">
        <f>-144.23</f>
        <v>-144.22999999999999</v>
      </c>
      <c r="I93" s="2"/>
      <c r="J93" s="19"/>
      <c r="K93" s="2"/>
      <c r="L93" s="2">
        <f t="shared" si="0"/>
        <v>144.22999999999999</v>
      </c>
      <c r="M93" s="2"/>
      <c r="N93" s="19">
        <f t="shared" si="1"/>
        <v>-1</v>
      </c>
      <c r="O93" s="11"/>
      <c r="P93" s="2">
        <f t="shared" si="20"/>
        <v>0</v>
      </c>
      <c r="Q93" s="2"/>
      <c r="R93" s="19"/>
      <c r="S93" s="2"/>
      <c r="T93" s="2">
        <f>-14422.77</f>
        <v>-14422.77</v>
      </c>
      <c r="U93" s="2"/>
      <c r="V93" s="19"/>
      <c r="W93" s="2"/>
      <c r="X93" s="2">
        <f t="shared" si="2"/>
        <v>14422.77</v>
      </c>
      <c r="Y93" s="2"/>
      <c r="Z93" s="19">
        <f t="shared" si="3"/>
        <v>-1</v>
      </c>
    </row>
    <row r="94" spans="1:26" s="24" customFormat="1" hidden="1" outlineLevel="1" x14ac:dyDescent="0.3">
      <c r="A94" s="44"/>
      <c r="B94" s="11" t="str">
        <f>CONCATENATE("          ", "4340", " - ", "SALES RETURN NON TAXABLE-LOGO")</f>
        <v xml:space="preserve">          4340 - SALES RETURN NON TAXABLE-LOGO</v>
      </c>
      <c r="C94" s="11"/>
      <c r="D94" s="2">
        <f t="shared" si="19"/>
        <v>0</v>
      </c>
      <c r="E94" s="2"/>
      <c r="F94" s="19"/>
      <c r="G94" s="2"/>
      <c r="H94" s="2">
        <f>-543.24</f>
        <v>-543.24</v>
      </c>
      <c r="I94" s="2"/>
      <c r="J94" s="19"/>
      <c r="K94" s="2"/>
      <c r="L94" s="2">
        <f t="shared" si="0"/>
        <v>543.24</v>
      </c>
      <c r="M94" s="2"/>
      <c r="N94" s="19">
        <f t="shared" si="1"/>
        <v>-1</v>
      </c>
      <c r="O94" s="11"/>
      <c r="P94" s="2">
        <f t="shared" si="20"/>
        <v>0</v>
      </c>
      <c r="Q94" s="2"/>
      <c r="R94" s="19"/>
      <c r="S94" s="2"/>
      <c r="T94" s="2">
        <f>-1483.72</f>
        <v>-1483.72</v>
      </c>
      <c r="U94" s="2"/>
      <c r="V94" s="19"/>
      <c r="W94" s="2"/>
      <c r="X94" s="2">
        <f t="shared" si="2"/>
        <v>1483.72</v>
      </c>
      <c r="Y94" s="2"/>
      <c r="Z94" s="19">
        <f t="shared" si="3"/>
        <v>-1</v>
      </c>
    </row>
    <row r="95" spans="1:26" s="24" customFormat="1" hidden="1" outlineLevel="1" x14ac:dyDescent="0.3">
      <c r="A95" s="44"/>
      <c r="B95" s="11" t="str">
        <f>CONCATENATE("          ", "4341", " - ", "SALES RETURN NON TAXABLE-LOGO")</f>
        <v xml:space="preserve">          4341 - SALES RETURN NON TAXABLE-LOGO</v>
      </c>
      <c r="C95" s="11"/>
      <c r="D95" s="2">
        <f t="shared" si="19"/>
        <v>0</v>
      </c>
      <c r="E95" s="2"/>
      <c r="F95" s="19"/>
      <c r="G95" s="2"/>
      <c r="H95" s="2">
        <f>-33.85</f>
        <v>-33.85</v>
      </c>
      <c r="I95" s="2"/>
      <c r="J95" s="19"/>
      <c r="K95" s="2"/>
      <c r="L95" s="2">
        <f t="shared" si="0"/>
        <v>33.85</v>
      </c>
      <c r="M95" s="2"/>
      <c r="N95" s="19">
        <f t="shared" si="1"/>
        <v>-1</v>
      </c>
      <c r="O95" s="11"/>
      <c r="P95" s="2">
        <f t="shared" si="20"/>
        <v>0</v>
      </c>
      <c r="Q95" s="2"/>
      <c r="R95" s="19"/>
      <c r="S95" s="2"/>
      <c r="T95" s="2">
        <f>-335.64</f>
        <v>-335.64</v>
      </c>
      <c r="U95" s="2"/>
      <c r="V95" s="19"/>
      <c r="W95" s="2"/>
      <c r="X95" s="2">
        <f t="shared" si="2"/>
        <v>335.64</v>
      </c>
      <c r="Y95" s="2"/>
      <c r="Z95" s="19">
        <f t="shared" si="3"/>
        <v>-1</v>
      </c>
    </row>
    <row r="96" spans="1:26" s="24" customFormat="1" hidden="1" outlineLevel="1" x14ac:dyDescent="0.3">
      <c r="A96" s="44"/>
      <c r="B96" s="11" t="str">
        <f>CONCATENATE("          ", "4342", " - ", "SALES RETURN NON TAXABLE-EVERY")</f>
        <v xml:space="preserve">          4342 - SALES RETURN NON TAXABLE-EVERY</v>
      </c>
      <c r="C96" s="11"/>
      <c r="D96" s="2">
        <f t="shared" si="19"/>
        <v>0</v>
      </c>
      <c r="E96" s="2"/>
      <c r="F96" s="19"/>
      <c r="G96" s="2"/>
      <c r="H96" s="2">
        <f t="shared" ref="H96:H98" si="21">0</f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 t="shared" si="20"/>
        <v>0</v>
      </c>
      <c r="Q96" s="2"/>
      <c r="R96" s="19"/>
      <c r="S96" s="2"/>
      <c r="T96" s="2">
        <f>-118.7</f>
        <v>-118.7</v>
      </c>
      <c r="U96" s="2"/>
      <c r="V96" s="19"/>
      <c r="W96" s="2"/>
      <c r="X96" s="2">
        <f t="shared" si="2"/>
        <v>118.7</v>
      </c>
      <c r="Y96" s="2"/>
      <c r="Z96" s="19">
        <f t="shared" si="3"/>
        <v>-1</v>
      </c>
    </row>
    <row r="97" spans="1:26" s="24" customFormat="1" hidden="1" outlineLevel="1" x14ac:dyDescent="0.3">
      <c r="A97" s="44"/>
      <c r="B97" s="11" t="str">
        <f>CONCATENATE("          ", "4381", " - ", "SALES RETURN NON TAXABLE-ELECT")</f>
        <v xml:space="preserve">          4381 - SALES RETURN NON TAXABLE-ELECT</v>
      </c>
      <c r="C97" s="11"/>
      <c r="D97" s="2">
        <f t="shared" si="19"/>
        <v>0</v>
      </c>
      <c r="E97" s="2"/>
      <c r="F97" s="19"/>
      <c r="G97" s="2"/>
      <c r="H97" s="2">
        <f t="shared" si="21"/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 t="shared" si="20"/>
        <v>0</v>
      </c>
      <c r="Q97" s="2"/>
      <c r="R97" s="19"/>
      <c r="S97" s="2"/>
      <c r="T97" s="2">
        <f>-5624.15</f>
        <v>-5624.15</v>
      </c>
      <c r="U97" s="2"/>
      <c r="V97" s="19"/>
      <c r="W97" s="2"/>
      <c r="X97" s="2">
        <f t="shared" si="2"/>
        <v>5624.15</v>
      </c>
      <c r="Y97" s="2"/>
      <c r="Z97" s="19">
        <f t="shared" si="3"/>
        <v>-1</v>
      </c>
    </row>
    <row r="98" spans="1:26" s="24" customFormat="1" hidden="1" outlineLevel="1" x14ac:dyDescent="0.3">
      <c r="A98" s="44"/>
      <c r="B98" s="11" t="str">
        <f>CONCATENATE("          ", "4500", " - ", "SALES DISCOUNT")</f>
        <v xml:space="preserve">          4500 - SALES DISCOUNT</v>
      </c>
      <c r="C98" s="11"/>
      <c r="D98" s="2">
        <f>-50302.02</f>
        <v>-50302.02</v>
      </c>
      <c r="E98" s="2"/>
      <c r="F98" s="19"/>
      <c r="G98" s="2"/>
      <c r="H98" s="2">
        <f t="shared" si="21"/>
        <v>0</v>
      </c>
      <c r="I98" s="2"/>
      <c r="J98" s="19"/>
      <c r="K98" s="2"/>
      <c r="L98" s="2">
        <f t="shared" si="0"/>
        <v>-50302.02</v>
      </c>
      <c r="M98" s="2"/>
      <c r="N98" s="19">
        <f t="shared" si="1"/>
        <v>0</v>
      </c>
      <c r="O98" s="11"/>
      <c r="P98" s="2">
        <f>-64483.44</f>
        <v>-64483.44</v>
      </c>
      <c r="Q98" s="2"/>
      <c r="R98" s="19"/>
      <c r="S98" s="2"/>
      <c r="T98" s="2">
        <f>0</f>
        <v>0</v>
      </c>
      <c r="U98" s="2"/>
      <c r="V98" s="19"/>
      <c r="W98" s="2"/>
      <c r="X98" s="2">
        <f t="shared" si="2"/>
        <v>-64483.44</v>
      </c>
      <c r="Y98" s="2"/>
      <c r="Z98" s="19">
        <f t="shared" si="3"/>
        <v>0</v>
      </c>
    </row>
    <row r="99" spans="1:26" x14ac:dyDescent="0.3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collapsed="1" x14ac:dyDescent="0.3">
      <c r="A100" s="10"/>
      <c r="B100" s="25" t="s">
        <v>256</v>
      </c>
      <c r="C100" s="10"/>
      <c r="D100" s="4">
        <f>SUM(OSRRefD16x_0)</f>
        <v>653925.90999999992</v>
      </c>
      <c r="E100" s="4"/>
      <c r="F100" s="12">
        <f t="shared" ref="F100:F151" si="22">IF(D$12=0,0,D100/D$12)</f>
        <v>0.38511886521092276</v>
      </c>
      <c r="G100" s="4"/>
      <c r="H100" s="4">
        <f>SUM(OSRRefH16x_0)</f>
        <v>246276.64</v>
      </c>
      <c r="I100" s="4"/>
      <c r="J100" s="12">
        <f t="shared" ref="J100:J151" si="23">IF(H$12=0,0,H100/H$12)</f>
        <v>0.50931241906039837</v>
      </c>
      <c r="K100" s="4"/>
      <c r="L100" s="4">
        <f t="shared" ref="L100:L151" si="24">+D100-H100</f>
        <v>407649.2699999999</v>
      </c>
      <c r="M100" s="4"/>
      <c r="N100" s="12">
        <f t="shared" ref="N100:N151" si="25">IF(H100=0,0,L100/H100)</f>
        <v>1.6552494381927572</v>
      </c>
      <c r="O100" s="10"/>
      <c r="P100" s="4">
        <f>SUM(OSRRefP16x_0)</f>
        <v>4818659.2299999995</v>
      </c>
      <c r="Q100" s="4"/>
      <c r="R100" s="12">
        <f t="shared" ref="R100:R151" si="26">IF(P$12=0,0,P100/P$12)</f>
        <v>0.42359628900912588</v>
      </c>
      <c r="S100" s="4"/>
      <c r="T100" s="4">
        <f>SUM(OSRRefT16x_0)</f>
        <v>3229441.2699999991</v>
      </c>
      <c r="U100" s="4"/>
      <c r="V100" s="12">
        <f t="shared" ref="V100:V151" si="27">IF(T$12=0,0,T100/T$12)</f>
        <v>0.62793783345561172</v>
      </c>
      <c r="W100" s="4"/>
      <c r="X100" s="4">
        <f t="shared" ref="X100:X151" si="28">+P100-T100</f>
        <v>1589217.9600000004</v>
      </c>
      <c r="Y100" s="4"/>
      <c r="Z100" s="12">
        <f t="shared" ref="Z100:Z151" si="29">IF(T100=0,0,X100/T100)</f>
        <v>0.49210306896214306</v>
      </c>
    </row>
    <row r="101" spans="1:26" s="24" customFormat="1" hidden="1" outlineLevel="1" x14ac:dyDescent="0.3">
      <c r="A101" s="44"/>
      <c r="B101" s="11" t="str">
        <f>CONCATENATE("          ", "5000", " - ", "PURCHASES @ COST")</f>
        <v xml:space="preserve">          5000 - PURCHASES @ COST</v>
      </c>
      <c r="C101" s="11"/>
      <c r="D101" s="2">
        <v>467393.3</v>
      </c>
      <c r="E101" s="2"/>
      <c r="F101" s="19">
        <f t="shared" si="22"/>
        <v>0.27526356510814565</v>
      </c>
      <c r="G101" s="2"/>
      <c r="H101" s="2"/>
      <c r="I101" s="2"/>
      <c r="J101" s="19">
        <f t="shared" si="23"/>
        <v>0</v>
      </c>
      <c r="K101" s="2"/>
      <c r="L101" s="2">
        <f t="shared" si="24"/>
        <v>467393.3</v>
      </c>
      <c r="M101" s="2"/>
      <c r="N101" s="19">
        <f t="shared" si="25"/>
        <v>0</v>
      </c>
      <c r="O101" s="11"/>
      <c r="P101" s="2">
        <v>3459162.59</v>
      </c>
      <c r="Q101" s="2"/>
      <c r="R101" s="19">
        <f t="shared" si="26"/>
        <v>0.30408633735305585</v>
      </c>
      <c r="S101" s="2"/>
      <c r="T101" s="2">
        <v>0</v>
      </c>
      <c r="U101" s="2"/>
      <c r="V101" s="19">
        <f t="shared" si="27"/>
        <v>0</v>
      </c>
      <c r="W101" s="2"/>
      <c r="X101" s="2">
        <f t="shared" si="28"/>
        <v>3459162.59</v>
      </c>
      <c r="Y101" s="2"/>
      <c r="Z101" s="19">
        <f t="shared" si="29"/>
        <v>0</v>
      </c>
    </row>
    <row r="102" spans="1:26" s="24" customFormat="1" hidden="1" outlineLevel="1" x14ac:dyDescent="0.3">
      <c r="A102" s="44"/>
      <c r="B102" s="11" t="str">
        <f>CONCATENATE("          ", "5001", " - ", "PURCHASES @ COST-NEW TEXT")</f>
        <v xml:space="preserve">          5001 - PURCHASES @ COST-NEW TEXT</v>
      </c>
      <c r="C102" s="11"/>
      <c r="D102" s="2"/>
      <c r="E102" s="2"/>
      <c r="F102" s="19">
        <f t="shared" si="22"/>
        <v>0</v>
      </c>
      <c r="G102" s="2"/>
      <c r="H102" s="2">
        <v>37317.56</v>
      </c>
      <c r="I102" s="2"/>
      <c r="J102" s="19">
        <f t="shared" si="23"/>
        <v>7.7174582035192438E-2</v>
      </c>
      <c r="K102" s="2"/>
      <c r="L102" s="2">
        <f t="shared" si="24"/>
        <v>-37317.56</v>
      </c>
      <c r="M102" s="2"/>
      <c r="N102" s="19">
        <f t="shared" si="25"/>
        <v>-1</v>
      </c>
      <c r="O102" s="11"/>
      <c r="P102" s="2">
        <v>0</v>
      </c>
      <c r="Q102" s="2"/>
      <c r="R102" s="19">
        <f t="shared" si="26"/>
        <v>0</v>
      </c>
      <c r="S102" s="2"/>
      <c r="T102" s="2">
        <v>1277913.04</v>
      </c>
      <c r="U102" s="2"/>
      <c r="V102" s="19">
        <f t="shared" si="27"/>
        <v>0.24847949802854741</v>
      </c>
      <c r="W102" s="2"/>
      <c r="X102" s="2">
        <f t="shared" si="28"/>
        <v>-1277913.04</v>
      </c>
      <c r="Y102" s="2"/>
      <c r="Z102" s="19">
        <f t="shared" si="29"/>
        <v>-1</v>
      </c>
    </row>
    <row r="103" spans="1:26" s="24" customFormat="1" hidden="1" outlineLevel="1" x14ac:dyDescent="0.3">
      <c r="A103" s="44"/>
      <c r="B103" s="11" t="str">
        <f>CONCATENATE("          ", "5002", " - ", "PURCHASES @ COST-USED TEXT")</f>
        <v xml:space="preserve">          5002 - PURCHASES @ COST-USED TEXT</v>
      </c>
      <c r="C103" s="11"/>
      <c r="D103" s="2"/>
      <c r="E103" s="2"/>
      <c r="F103" s="19">
        <f t="shared" si="22"/>
        <v>0</v>
      </c>
      <c r="G103" s="2"/>
      <c r="H103" s="2">
        <v>70238.87</v>
      </c>
      <c r="I103" s="2"/>
      <c r="J103" s="19">
        <f t="shared" si="23"/>
        <v>0.14525749901317817</v>
      </c>
      <c r="K103" s="2"/>
      <c r="L103" s="2">
        <f t="shared" si="24"/>
        <v>-70238.87</v>
      </c>
      <c r="M103" s="2"/>
      <c r="N103" s="19">
        <f t="shared" si="25"/>
        <v>-1</v>
      </c>
      <c r="O103" s="11"/>
      <c r="P103" s="2">
        <v>0</v>
      </c>
      <c r="Q103" s="2"/>
      <c r="R103" s="19">
        <f t="shared" si="26"/>
        <v>0</v>
      </c>
      <c r="S103" s="2"/>
      <c r="T103" s="2">
        <v>164472.92000000001</v>
      </c>
      <c r="U103" s="2"/>
      <c r="V103" s="19">
        <f t="shared" si="27"/>
        <v>3.1980383110332328E-2</v>
      </c>
      <c r="W103" s="2"/>
      <c r="X103" s="2">
        <f t="shared" si="28"/>
        <v>-164472.92000000001</v>
      </c>
      <c r="Y103" s="2"/>
      <c r="Z103" s="19">
        <f t="shared" si="29"/>
        <v>-1</v>
      </c>
    </row>
    <row r="104" spans="1:26" s="24" customFormat="1" hidden="1" outlineLevel="1" x14ac:dyDescent="0.3">
      <c r="A104" s="44"/>
      <c r="B104" s="11" t="str">
        <f>CONCATENATE("          ", "5003", " - ", "PURCHASES @ COST-RENTAL TEXT")</f>
        <v xml:space="preserve">          5003 - PURCHASES @ COST-RENTAL TEXT</v>
      </c>
      <c r="C104" s="11"/>
      <c r="D104" s="2"/>
      <c r="E104" s="2"/>
      <c r="F104" s="19">
        <f t="shared" si="22"/>
        <v>0</v>
      </c>
      <c r="G104" s="2"/>
      <c r="H104" s="2"/>
      <c r="I104" s="2"/>
      <c r="J104" s="19">
        <f t="shared" si="23"/>
        <v>0</v>
      </c>
      <c r="K104" s="2"/>
      <c r="L104" s="2">
        <f t="shared" si="24"/>
        <v>0</v>
      </c>
      <c r="M104" s="2"/>
      <c r="N104" s="19">
        <f t="shared" si="25"/>
        <v>0</v>
      </c>
      <c r="O104" s="11"/>
      <c r="P104" s="2"/>
      <c r="Q104" s="2"/>
      <c r="R104" s="19">
        <f t="shared" si="26"/>
        <v>0</v>
      </c>
      <c r="S104" s="2"/>
      <c r="T104" s="2">
        <v>32.520000000000003</v>
      </c>
      <c r="U104" s="2"/>
      <c r="V104" s="19">
        <f t="shared" si="27"/>
        <v>6.3232418974990368E-6</v>
      </c>
      <c r="W104" s="2"/>
      <c r="X104" s="2">
        <f t="shared" si="28"/>
        <v>-32.520000000000003</v>
      </c>
      <c r="Y104" s="2"/>
      <c r="Z104" s="19">
        <f t="shared" si="29"/>
        <v>-1</v>
      </c>
    </row>
    <row r="105" spans="1:26" s="24" customFormat="1" hidden="1" outlineLevel="1" x14ac:dyDescent="0.3">
      <c r="A105" s="44"/>
      <c r="B105" s="11" t="str">
        <f>CONCATENATE("          ", "5004", " - ", "PURCHASES @ COST-DIGITAL TEXT")</f>
        <v xml:space="preserve">          5004 - PURCHASES @ COST-DIGITAL TEXT</v>
      </c>
      <c r="C105" s="11"/>
      <c r="D105" s="2"/>
      <c r="E105" s="2"/>
      <c r="F105" s="19">
        <f t="shared" si="22"/>
        <v>0</v>
      </c>
      <c r="G105" s="2"/>
      <c r="H105" s="2">
        <v>900</v>
      </c>
      <c r="I105" s="2"/>
      <c r="J105" s="19">
        <f t="shared" si="23"/>
        <v>1.8612450500963408E-3</v>
      </c>
      <c r="K105" s="2"/>
      <c r="L105" s="2">
        <f t="shared" si="24"/>
        <v>-900</v>
      </c>
      <c r="M105" s="2"/>
      <c r="N105" s="19">
        <f t="shared" si="25"/>
        <v>-1</v>
      </c>
      <c r="O105" s="11"/>
      <c r="P105" s="2">
        <v>0</v>
      </c>
      <c r="Q105" s="2"/>
      <c r="R105" s="19">
        <f t="shared" si="26"/>
        <v>0</v>
      </c>
      <c r="S105" s="2"/>
      <c r="T105" s="2">
        <v>197838.11</v>
      </c>
      <c r="U105" s="2"/>
      <c r="V105" s="19">
        <f t="shared" si="27"/>
        <v>3.8467965131427521E-2</v>
      </c>
      <c r="W105" s="2"/>
      <c r="X105" s="2">
        <f t="shared" si="28"/>
        <v>-197838.11</v>
      </c>
      <c r="Y105" s="2"/>
      <c r="Z105" s="19">
        <f t="shared" si="29"/>
        <v>-1</v>
      </c>
    </row>
    <row r="106" spans="1:26" s="24" customFormat="1" hidden="1" outlineLevel="1" x14ac:dyDescent="0.3">
      <c r="A106" s="44"/>
      <c r="B106" s="11" t="str">
        <f>CONCATENATE("          ", "5011", " - ", "PURCHASES @ COST-NO VALUE TEXT")</f>
        <v xml:space="preserve">          5011 - PURCHASES @ COST-NO VALUE TEXT</v>
      </c>
      <c r="C106" s="11"/>
      <c r="D106" s="2"/>
      <c r="E106" s="2"/>
      <c r="F106" s="19">
        <f t="shared" si="22"/>
        <v>0</v>
      </c>
      <c r="G106" s="2"/>
      <c r="H106" s="2"/>
      <c r="I106" s="2"/>
      <c r="J106" s="19">
        <f t="shared" si="23"/>
        <v>0</v>
      </c>
      <c r="K106" s="2"/>
      <c r="L106" s="2">
        <f t="shared" si="24"/>
        <v>0</v>
      </c>
      <c r="M106" s="2"/>
      <c r="N106" s="19">
        <f t="shared" si="25"/>
        <v>0</v>
      </c>
      <c r="O106" s="11"/>
      <c r="P106" s="2"/>
      <c r="Q106" s="2"/>
      <c r="R106" s="19">
        <f t="shared" si="26"/>
        <v>0</v>
      </c>
      <c r="S106" s="2"/>
      <c r="T106" s="2">
        <v>67.17</v>
      </c>
      <c r="U106" s="2"/>
      <c r="V106" s="19">
        <f t="shared" si="27"/>
        <v>1.3060644472786293E-5</v>
      </c>
      <c r="W106" s="2"/>
      <c r="X106" s="2">
        <f t="shared" si="28"/>
        <v>-67.17</v>
      </c>
      <c r="Y106" s="2"/>
      <c r="Z106" s="19">
        <f t="shared" si="29"/>
        <v>-1</v>
      </c>
    </row>
    <row r="107" spans="1:26" s="24" customFormat="1" hidden="1" outlineLevel="1" x14ac:dyDescent="0.3">
      <c r="A107" s="44"/>
      <c r="B107" s="11" t="str">
        <f>CONCATENATE("          ", "5013", " - ", "PURCHASES @ COST-TRADE BOOKS")</f>
        <v xml:space="preserve">          5013 - PURCHASES @ COST-TRADE BOOKS</v>
      </c>
      <c r="C107" s="11"/>
      <c r="D107" s="2"/>
      <c r="E107" s="2"/>
      <c r="F107" s="19">
        <f t="shared" si="22"/>
        <v>0</v>
      </c>
      <c r="G107" s="2"/>
      <c r="H107" s="2">
        <v>31.11</v>
      </c>
      <c r="I107" s="2"/>
      <c r="J107" s="19">
        <f t="shared" si="23"/>
        <v>6.4337037231663517E-5</v>
      </c>
      <c r="K107" s="2"/>
      <c r="L107" s="2">
        <f t="shared" si="24"/>
        <v>-31.11</v>
      </c>
      <c r="M107" s="2"/>
      <c r="N107" s="19">
        <f t="shared" si="25"/>
        <v>-1</v>
      </c>
      <c r="O107" s="11"/>
      <c r="P107" s="2"/>
      <c r="Q107" s="2"/>
      <c r="R107" s="19">
        <f t="shared" si="26"/>
        <v>0</v>
      </c>
      <c r="S107" s="2"/>
      <c r="T107" s="2">
        <v>2125.85</v>
      </c>
      <c r="U107" s="2"/>
      <c r="V107" s="19">
        <f t="shared" si="27"/>
        <v>4.1335374501224865E-4</v>
      </c>
      <c r="W107" s="2"/>
      <c r="X107" s="2">
        <f t="shared" si="28"/>
        <v>-2125.85</v>
      </c>
      <c r="Y107" s="2"/>
      <c r="Z107" s="19">
        <f t="shared" si="29"/>
        <v>-1</v>
      </c>
    </row>
    <row r="108" spans="1:26" s="24" customFormat="1" hidden="1" outlineLevel="1" x14ac:dyDescent="0.3">
      <c r="A108" s="44"/>
      <c r="B108" s="11" t="str">
        <f>CONCATENATE("          ", "5014", " - ", "PURCHASES @ COST-REMAINDERS")</f>
        <v xml:space="preserve">          5014 - PURCHASES @ COST-REMAINDERS</v>
      </c>
      <c r="C108" s="11"/>
      <c r="D108" s="2"/>
      <c r="E108" s="2"/>
      <c r="F108" s="19">
        <f t="shared" si="22"/>
        <v>0</v>
      </c>
      <c r="G108" s="2"/>
      <c r="H108" s="2"/>
      <c r="I108" s="2"/>
      <c r="J108" s="19">
        <f t="shared" si="23"/>
        <v>0</v>
      </c>
      <c r="K108" s="2"/>
      <c r="L108" s="2">
        <f t="shared" si="24"/>
        <v>0</v>
      </c>
      <c r="M108" s="2"/>
      <c r="N108" s="19">
        <f t="shared" si="25"/>
        <v>0</v>
      </c>
      <c r="O108" s="11"/>
      <c r="P108" s="2"/>
      <c r="Q108" s="2"/>
      <c r="R108" s="19">
        <f t="shared" si="26"/>
        <v>0</v>
      </c>
      <c r="S108" s="2"/>
      <c r="T108" s="2">
        <v>90.41</v>
      </c>
      <c r="U108" s="2"/>
      <c r="V108" s="19">
        <f t="shared" si="27"/>
        <v>1.7579468018231482E-5</v>
      </c>
      <c r="W108" s="2"/>
      <c r="X108" s="2">
        <f t="shared" si="28"/>
        <v>-90.41</v>
      </c>
      <c r="Y108" s="2"/>
      <c r="Z108" s="19">
        <f t="shared" si="29"/>
        <v>-1</v>
      </c>
    </row>
    <row r="109" spans="1:26" s="24" customFormat="1" hidden="1" outlineLevel="1" x14ac:dyDescent="0.3">
      <c r="A109" s="44"/>
      <c r="B109" s="11" t="str">
        <f>CONCATENATE("          ", "5018", " - ", "PURCHASES @ COST-STUDY GUIDES")</f>
        <v xml:space="preserve">          5018 - PURCHASES @ COST-STUDY GUIDES</v>
      </c>
      <c r="C109" s="11"/>
      <c r="D109" s="2"/>
      <c r="E109" s="2"/>
      <c r="F109" s="19">
        <f t="shared" si="22"/>
        <v>0</v>
      </c>
      <c r="G109" s="2"/>
      <c r="H109" s="2"/>
      <c r="I109" s="2"/>
      <c r="J109" s="19">
        <f t="shared" si="23"/>
        <v>0</v>
      </c>
      <c r="K109" s="2"/>
      <c r="L109" s="2">
        <f t="shared" si="24"/>
        <v>0</v>
      </c>
      <c r="M109" s="2"/>
      <c r="N109" s="19">
        <f t="shared" si="25"/>
        <v>0</v>
      </c>
      <c r="O109" s="11"/>
      <c r="P109" s="2"/>
      <c r="Q109" s="2"/>
      <c r="R109" s="19">
        <f t="shared" si="26"/>
        <v>0</v>
      </c>
      <c r="S109" s="2"/>
      <c r="T109" s="2">
        <v>106.34</v>
      </c>
      <c r="U109" s="2"/>
      <c r="V109" s="19">
        <f t="shared" si="27"/>
        <v>2.0676923228168743E-5</v>
      </c>
      <c r="W109" s="2"/>
      <c r="X109" s="2">
        <f t="shared" si="28"/>
        <v>-106.34</v>
      </c>
      <c r="Y109" s="2"/>
      <c r="Z109" s="19">
        <f t="shared" si="29"/>
        <v>-1</v>
      </c>
    </row>
    <row r="110" spans="1:26" s="24" customFormat="1" hidden="1" outlineLevel="1" x14ac:dyDescent="0.3">
      <c r="A110" s="44"/>
      <c r="B110" s="11" t="str">
        <f>CONCATENATE("          ", "5025", " - ", "PURCHASES @ COST-TEST FORMS")</f>
        <v xml:space="preserve">          5025 - PURCHASES @ COST-TEST FORMS</v>
      </c>
      <c r="C110" s="11"/>
      <c r="D110" s="2"/>
      <c r="E110" s="2"/>
      <c r="F110" s="19">
        <f t="shared" si="22"/>
        <v>0</v>
      </c>
      <c r="G110" s="2"/>
      <c r="H110" s="2"/>
      <c r="I110" s="2"/>
      <c r="J110" s="19">
        <f t="shared" si="23"/>
        <v>0</v>
      </c>
      <c r="K110" s="2"/>
      <c r="L110" s="2">
        <f t="shared" si="24"/>
        <v>0</v>
      </c>
      <c r="M110" s="2"/>
      <c r="N110" s="19">
        <f t="shared" si="25"/>
        <v>0</v>
      </c>
      <c r="O110" s="11"/>
      <c r="P110" s="2"/>
      <c r="Q110" s="2"/>
      <c r="R110" s="19">
        <f t="shared" si="26"/>
        <v>0</v>
      </c>
      <c r="S110" s="2"/>
      <c r="T110" s="2">
        <v>599.29</v>
      </c>
      <c r="U110" s="2"/>
      <c r="V110" s="19">
        <f t="shared" si="27"/>
        <v>1.1652692609939106E-4</v>
      </c>
      <c r="W110" s="2"/>
      <c r="X110" s="2">
        <f t="shared" si="28"/>
        <v>-599.29</v>
      </c>
      <c r="Y110" s="2"/>
      <c r="Z110" s="19">
        <f t="shared" si="29"/>
        <v>-1</v>
      </c>
    </row>
    <row r="111" spans="1:26" s="24" customFormat="1" hidden="1" outlineLevel="1" x14ac:dyDescent="0.3">
      <c r="A111" s="44"/>
      <c r="B111" s="11" t="str">
        <f>CONCATENATE("          ", "5026", " - ", "PURCHASES @ COST-WRITING INSTR")</f>
        <v xml:space="preserve">          5026 - PURCHASES @ COST-WRITING INSTR</v>
      </c>
      <c r="C111" s="11"/>
      <c r="D111" s="2"/>
      <c r="E111" s="2"/>
      <c r="F111" s="19">
        <f t="shared" si="22"/>
        <v>0</v>
      </c>
      <c r="G111" s="2"/>
      <c r="H111" s="2">
        <v>-5.1100000000000003</v>
      </c>
      <c r="I111" s="2"/>
      <c r="J111" s="19">
        <f t="shared" si="23"/>
        <v>-1.0567735784435891E-5</v>
      </c>
      <c r="K111" s="2"/>
      <c r="L111" s="2">
        <f t="shared" si="24"/>
        <v>5.1100000000000003</v>
      </c>
      <c r="M111" s="2"/>
      <c r="N111" s="19">
        <f t="shared" si="25"/>
        <v>-1</v>
      </c>
      <c r="O111" s="11"/>
      <c r="P111" s="2">
        <v>0</v>
      </c>
      <c r="Q111" s="2"/>
      <c r="R111" s="19">
        <f t="shared" si="26"/>
        <v>0</v>
      </c>
      <c r="S111" s="2"/>
      <c r="T111" s="2">
        <v>374.91</v>
      </c>
      <c r="U111" s="2"/>
      <c r="V111" s="19">
        <f t="shared" si="27"/>
        <v>7.289811253970983E-5</v>
      </c>
      <c r="W111" s="2"/>
      <c r="X111" s="2">
        <f t="shared" si="28"/>
        <v>-374.91</v>
      </c>
      <c r="Y111" s="2"/>
      <c r="Z111" s="19">
        <f t="shared" si="29"/>
        <v>-1</v>
      </c>
    </row>
    <row r="112" spans="1:26" s="24" customFormat="1" hidden="1" outlineLevel="1" x14ac:dyDescent="0.3">
      <c r="A112" s="44"/>
      <c r="B112" s="11" t="str">
        <f>CONCATENATE("          ", "5027", " - ", "PURCHASES @ COST-SCHOOL SUPPLI")</f>
        <v xml:space="preserve">          5027 - PURCHASES @ COST-SCHOOL SUPPLI</v>
      </c>
      <c r="C112" s="11"/>
      <c r="D112" s="2"/>
      <c r="E112" s="2"/>
      <c r="F112" s="19">
        <f t="shared" si="22"/>
        <v>0</v>
      </c>
      <c r="G112" s="2"/>
      <c r="H112" s="2"/>
      <c r="I112" s="2"/>
      <c r="J112" s="19">
        <f t="shared" si="23"/>
        <v>0</v>
      </c>
      <c r="K112" s="2"/>
      <c r="L112" s="2">
        <f t="shared" si="24"/>
        <v>0</v>
      </c>
      <c r="M112" s="2"/>
      <c r="N112" s="19">
        <f t="shared" si="25"/>
        <v>0</v>
      </c>
      <c r="O112" s="11"/>
      <c r="P112" s="2">
        <v>0</v>
      </c>
      <c r="Q112" s="2"/>
      <c r="R112" s="19">
        <f t="shared" si="26"/>
        <v>0</v>
      </c>
      <c r="S112" s="2"/>
      <c r="T112" s="2">
        <v>19071.349999999999</v>
      </c>
      <c r="U112" s="2"/>
      <c r="V112" s="19">
        <f t="shared" si="27"/>
        <v>3.7082644330217783E-3</v>
      </c>
      <c r="W112" s="2"/>
      <c r="X112" s="2">
        <f t="shared" si="28"/>
        <v>-19071.349999999999</v>
      </c>
      <c r="Y112" s="2"/>
      <c r="Z112" s="19">
        <f t="shared" si="29"/>
        <v>-1</v>
      </c>
    </row>
    <row r="113" spans="1:26" s="24" customFormat="1" hidden="1" outlineLevel="1" x14ac:dyDescent="0.3">
      <c r="A113" s="44"/>
      <c r="B113" s="11" t="str">
        <f>CONCATENATE("          ", "5028", " - ", "PURCHASES @ COST-ART/TECH")</f>
        <v xml:space="preserve">          5028 - PURCHASES @ COST-ART/TECH</v>
      </c>
      <c r="C113" s="11"/>
      <c r="D113" s="2"/>
      <c r="E113" s="2"/>
      <c r="F113" s="19">
        <f t="shared" si="22"/>
        <v>0</v>
      </c>
      <c r="G113" s="2"/>
      <c r="H113" s="2"/>
      <c r="I113" s="2"/>
      <c r="J113" s="19">
        <f t="shared" si="23"/>
        <v>0</v>
      </c>
      <c r="K113" s="2"/>
      <c r="L113" s="2">
        <f t="shared" si="24"/>
        <v>0</v>
      </c>
      <c r="M113" s="2"/>
      <c r="N113" s="19">
        <f t="shared" si="25"/>
        <v>0</v>
      </c>
      <c r="O113" s="11"/>
      <c r="P113" s="2">
        <v>0</v>
      </c>
      <c r="Q113" s="2"/>
      <c r="R113" s="19">
        <f t="shared" si="26"/>
        <v>0</v>
      </c>
      <c r="S113" s="2"/>
      <c r="T113" s="2">
        <v>41358.449999999997</v>
      </c>
      <c r="U113" s="2"/>
      <c r="V113" s="19">
        <f t="shared" si="27"/>
        <v>8.0418045466057499E-3</v>
      </c>
      <c r="W113" s="2"/>
      <c r="X113" s="2">
        <f t="shared" si="28"/>
        <v>-41358.449999999997</v>
      </c>
      <c r="Y113" s="2"/>
      <c r="Z113" s="19">
        <f t="shared" si="29"/>
        <v>-1</v>
      </c>
    </row>
    <row r="114" spans="1:26" s="24" customFormat="1" hidden="1" outlineLevel="1" x14ac:dyDescent="0.3">
      <c r="A114" s="44"/>
      <c r="B114" s="11" t="str">
        <f>CONCATENATE("          ", "5031", " - ", "PURCHASES @ COST-FOOD")</f>
        <v xml:space="preserve">          5031 - PURCHASES @ COST-FOOD</v>
      </c>
      <c r="C114" s="11"/>
      <c r="D114" s="2"/>
      <c r="E114" s="2"/>
      <c r="F114" s="19">
        <f t="shared" si="22"/>
        <v>0</v>
      </c>
      <c r="G114" s="2"/>
      <c r="H114" s="2">
        <v>-1260</v>
      </c>
      <c r="I114" s="2"/>
      <c r="J114" s="19">
        <f t="shared" si="23"/>
        <v>-2.6057430701348773E-3</v>
      </c>
      <c r="K114" s="2"/>
      <c r="L114" s="2">
        <f t="shared" si="24"/>
        <v>1260</v>
      </c>
      <c r="M114" s="2"/>
      <c r="N114" s="19">
        <f t="shared" si="25"/>
        <v>-1</v>
      </c>
      <c r="O114" s="11"/>
      <c r="P114" s="2">
        <v>0</v>
      </c>
      <c r="Q114" s="2"/>
      <c r="R114" s="19">
        <f t="shared" si="26"/>
        <v>0</v>
      </c>
      <c r="S114" s="2"/>
      <c r="T114" s="2">
        <v>7275.1</v>
      </c>
      <c r="U114" s="2"/>
      <c r="V114" s="19">
        <f t="shared" si="27"/>
        <v>1.4145823225244539E-3</v>
      </c>
      <c r="W114" s="2"/>
      <c r="X114" s="2">
        <f t="shared" si="28"/>
        <v>-7275.1</v>
      </c>
      <c r="Y114" s="2"/>
      <c r="Z114" s="19">
        <f t="shared" si="29"/>
        <v>-1</v>
      </c>
    </row>
    <row r="115" spans="1:26" s="24" customFormat="1" hidden="1" outlineLevel="1" x14ac:dyDescent="0.3">
      <c r="A115" s="44"/>
      <c r="B115" s="11" t="str">
        <f>CONCATENATE("          ", "5040", " - ", "PURCHASES @ COST-LOGO CLOTHING")</f>
        <v xml:space="preserve">          5040 - PURCHASES @ COST-LOGO CLOTHING</v>
      </c>
      <c r="C115" s="11"/>
      <c r="D115" s="2"/>
      <c r="E115" s="2"/>
      <c r="F115" s="19">
        <f t="shared" si="22"/>
        <v>0</v>
      </c>
      <c r="G115" s="2"/>
      <c r="H115" s="2">
        <v>38175.120000000003</v>
      </c>
      <c r="I115" s="2"/>
      <c r="J115" s="19">
        <f t="shared" si="23"/>
        <v>7.8948059040926472E-2</v>
      </c>
      <c r="K115" s="2"/>
      <c r="L115" s="2">
        <f t="shared" si="24"/>
        <v>-38175.120000000003</v>
      </c>
      <c r="M115" s="2"/>
      <c r="N115" s="19">
        <f t="shared" si="25"/>
        <v>-1</v>
      </c>
      <c r="O115" s="11"/>
      <c r="P115" s="2">
        <v>0</v>
      </c>
      <c r="Q115" s="2"/>
      <c r="R115" s="19">
        <f t="shared" si="26"/>
        <v>0</v>
      </c>
      <c r="S115" s="2"/>
      <c r="T115" s="2">
        <v>132470.39999999999</v>
      </c>
      <c r="U115" s="2"/>
      <c r="V115" s="19">
        <f t="shared" si="27"/>
        <v>2.5757760868956221E-2</v>
      </c>
      <c r="W115" s="2"/>
      <c r="X115" s="2">
        <f t="shared" si="28"/>
        <v>-132470.39999999999</v>
      </c>
      <c r="Y115" s="2"/>
      <c r="Z115" s="19">
        <f t="shared" si="29"/>
        <v>-1</v>
      </c>
    </row>
    <row r="116" spans="1:26" s="24" customFormat="1" hidden="1" outlineLevel="1" x14ac:dyDescent="0.3">
      <c r="A116" s="44"/>
      <c r="B116" s="11" t="str">
        <f>CONCATENATE("          ", "5041", " - ", "PURCHASES @ COST-LOGO GIFTS")</f>
        <v xml:space="preserve">          5041 - PURCHASES @ COST-LOGO GIFTS</v>
      </c>
      <c r="C116" s="11"/>
      <c r="D116" s="2"/>
      <c r="E116" s="2"/>
      <c r="F116" s="19">
        <f t="shared" si="22"/>
        <v>0</v>
      </c>
      <c r="G116" s="2"/>
      <c r="H116" s="2">
        <v>5559.99</v>
      </c>
      <c r="I116" s="2"/>
      <c r="J116" s="19">
        <f t="shared" si="23"/>
        <v>1.1498337628983503E-2</v>
      </c>
      <c r="K116" s="2"/>
      <c r="L116" s="2">
        <f t="shared" si="24"/>
        <v>-5559.99</v>
      </c>
      <c r="M116" s="2"/>
      <c r="N116" s="19">
        <f t="shared" si="25"/>
        <v>-1</v>
      </c>
      <c r="O116" s="11"/>
      <c r="P116" s="2">
        <v>0</v>
      </c>
      <c r="Q116" s="2"/>
      <c r="R116" s="19">
        <f t="shared" si="26"/>
        <v>0</v>
      </c>
      <c r="S116" s="2"/>
      <c r="T116" s="2">
        <v>32201.759999999998</v>
      </c>
      <c r="U116" s="2"/>
      <c r="V116" s="19">
        <f t="shared" si="27"/>
        <v>6.2613627922880862E-3</v>
      </c>
      <c r="W116" s="2"/>
      <c r="X116" s="2">
        <f t="shared" si="28"/>
        <v>-32201.759999999998</v>
      </c>
      <c r="Y116" s="2"/>
      <c r="Z116" s="19">
        <f t="shared" si="29"/>
        <v>-1</v>
      </c>
    </row>
    <row r="117" spans="1:26" s="24" customFormat="1" hidden="1" outlineLevel="1" x14ac:dyDescent="0.3">
      <c r="A117" s="44"/>
      <c r="B117" s="11" t="str">
        <f>CONCATENATE("          ", "5042", " - ", "PURCHASES @ COST-EVERYDAY GIFT")</f>
        <v xml:space="preserve">          5042 - PURCHASES @ COST-EVERYDAY GIFT</v>
      </c>
      <c r="C117" s="11"/>
      <c r="D117" s="2"/>
      <c r="E117" s="2"/>
      <c r="F117" s="19">
        <f t="shared" si="22"/>
        <v>0</v>
      </c>
      <c r="G117" s="2"/>
      <c r="H117" s="2">
        <v>148.6</v>
      </c>
      <c r="I117" s="2"/>
      <c r="J117" s="19">
        <f t="shared" si="23"/>
        <v>3.0731223827146247E-4</v>
      </c>
      <c r="K117" s="2"/>
      <c r="L117" s="2">
        <f t="shared" si="24"/>
        <v>-148.6</v>
      </c>
      <c r="M117" s="2"/>
      <c r="N117" s="19">
        <f t="shared" si="25"/>
        <v>-1</v>
      </c>
      <c r="O117" s="11"/>
      <c r="P117" s="2">
        <v>0</v>
      </c>
      <c r="Q117" s="2"/>
      <c r="R117" s="19">
        <f t="shared" si="26"/>
        <v>0</v>
      </c>
      <c r="S117" s="2"/>
      <c r="T117" s="2">
        <v>11061.28</v>
      </c>
      <c r="U117" s="2"/>
      <c r="V117" s="19">
        <f t="shared" si="27"/>
        <v>2.1507733436644571E-3</v>
      </c>
      <c r="W117" s="2"/>
      <c r="X117" s="2">
        <f t="shared" si="28"/>
        <v>-11061.28</v>
      </c>
      <c r="Y117" s="2"/>
      <c r="Z117" s="19">
        <f t="shared" si="29"/>
        <v>-1</v>
      </c>
    </row>
    <row r="118" spans="1:26" s="24" customFormat="1" hidden="1" outlineLevel="1" x14ac:dyDescent="0.3">
      <c r="A118" s="44"/>
      <c r="B118" s="11" t="str">
        <f>CONCATENATE("          ", "5043", " - ", "PURCHASES @ COST-CARDS")</f>
        <v xml:space="preserve">          5043 - PURCHASES @ COST-CARDS</v>
      </c>
      <c r="C118" s="11"/>
      <c r="D118" s="2"/>
      <c r="E118" s="2"/>
      <c r="F118" s="19">
        <f t="shared" si="22"/>
        <v>0</v>
      </c>
      <c r="G118" s="2"/>
      <c r="H118" s="2">
        <v>2448</v>
      </c>
      <c r="I118" s="2"/>
      <c r="J118" s="19">
        <f t="shared" si="23"/>
        <v>5.0625865362620469E-3</v>
      </c>
      <c r="K118" s="2"/>
      <c r="L118" s="2">
        <f t="shared" si="24"/>
        <v>-2448</v>
      </c>
      <c r="M118" s="2"/>
      <c r="N118" s="19">
        <f t="shared" si="25"/>
        <v>-1</v>
      </c>
      <c r="O118" s="11"/>
      <c r="P118" s="2">
        <v>0</v>
      </c>
      <c r="Q118" s="2"/>
      <c r="R118" s="19">
        <f t="shared" si="26"/>
        <v>0</v>
      </c>
      <c r="S118" s="2"/>
      <c r="T118" s="2">
        <v>46621.23</v>
      </c>
      <c r="U118" s="2"/>
      <c r="V118" s="19">
        <f t="shared" si="27"/>
        <v>9.0651080826857008E-3</v>
      </c>
      <c r="W118" s="2"/>
      <c r="X118" s="2">
        <f t="shared" si="28"/>
        <v>-46621.23</v>
      </c>
      <c r="Y118" s="2"/>
      <c r="Z118" s="19">
        <f t="shared" si="29"/>
        <v>-1</v>
      </c>
    </row>
    <row r="119" spans="1:26" s="24" customFormat="1" hidden="1" outlineLevel="1" x14ac:dyDescent="0.3">
      <c r="A119" s="44"/>
      <c r="B119" s="11" t="str">
        <f>CONCATENATE("          ", "5044", " - ", "PURCHASES @ COST-ACCESSORIES")</f>
        <v xml:space="preserve">          5044 - PURCHASES @ COST-ACCESSORIES</v>
      </c>
      <c r="C119" s="11"/>
      <c r="D119" s="2"/>
      <c r="E119" s="2"/>
      <c r="F119" s="19">
        <f t="shared" si="22"/>
        <v>0</v>
      </c>
      <c r="G119" s="2"/>
      <c r="H119" s="2"/>
      <c r="I119" s="2"/>
      <c r="J119" s="19">
        <f t="shared" si="23"/>
        <v>0</v>
      </c>
      <c r="K119" s="2"/>
      <c r="L119" s="2">
        <f t="shared" si="24"/>
        <v>0</v>
      </c>
      <c r="M119" s="2"/>
      <c r="N119" s="19">
        <f t="shared" si="25"/>
        <v>0</v>
      </c>
      <c r="O119" s="11"/>
      <c r="P119" s="2">
        <v>0</v>
      </c>
      <c r="Q119" s="2"/>
      <c r="R119" s="19">
        <f t="shared" si="26"/>
        <v>0</v>
      </c>
      <c r="S119" s="2"/>
      <c r="T119" s="2">
        <v>282.33</v>
      </c>
      <c r="U119" s="2"/>
      <c r="V119" s="19">
        <f t="shared" si="27"/>
        <v>5.4896706178379544E-5</v>
      </c>
      <c r="W119" s="2"/>
      <c r="X119" s="2">
        <f t="shared" si="28"/>
        <v>-282.33</v>
      </c>
      <c r="Y119" s="2"/>
      <c r="Z119" s="19">
        <f t="shared" si="29"/>
        <v>-1</v>
      </c>
    </row>
    <row r="120" spans="1:26" s="24" customFormat="1" hidden="1" outlineLevel="1" x14ac:dyDescent="0.3">
      <c r="A120" s="44"/>
      <c r="B120" s="11" t="str">
        <f>CONCATENATE("          ", "5045", " - ", "PURCHASES @ COST-SPECIAL ORDER")</f>
        <v xml:space="preserve">          5045 - PURCHASES @ COST-SPECIAL ORDER</v>
      </c>
      <c r="C120" s="11"/>
      <c r="D120" s="2"/>
      <c r="E120" s="2"/>
      <c r="F120" s="19">
        <f t="shared" si="22"/>
        <v>0</v>
      </c>
      <c r="G120" s="2"/>
      <c r="H120" s="2">
        <v>10676.48</v>
      </c>
      <c r="I120" s="2"/>
      <c r="J120" s="19">
        <f t="shared" si="23"/>
        <v>2.2079495058280645E-2</v>
      </c>
      <c r="K120" s="2"/>
      <c r="L120" s="2">
        <f t="shared" si="24"/>
        <v>-10676.48</v>
      </c>
      <c r="M120" s="2"/>
      <c r="N120" s="19">
        <f t="shared" si="25"/>
        <v>-1</v>
      </c>
      <c r="O120" s="11"/>
      <c r="P120" s="2">
        <v>0</v>
      </c>
      <c r="Q120" s="2"/>
      <c r="R120" s="19">
        <f t="shared" si="26"/>
        <v>0</v>
      </c>
      <c r="S120" s="2"/>
      <c r="T120" s="2">
        <v>87609</v>
      </c>
      <c r="U120" s="2"/>
      <c r="V120" s="19">
        <f t="shared" si="27"/>
        <v>1.7034837004858337E-2</v>
      </c>
      <c r="W120" s="2"/>
      <c r="X120" s="2">
        <f t="shared" si="28"/>
        <v>-87609</v>
      </c>
      <c r="Y120" s="2"/>
      <c r="Z120" s="19">
        <f t="shared" si="29"/>
        <v>-1</v>
      </c>
    </row>
    <row r="121" spans="1:26" s="24" customFormat="1" hidden="1" outlineLevel="1" x14ac:dyDescent="0.3">
      <c r="A121" s="44"/>
      <c r="B121" s="11" t="str">
        <f>CONCATENATE("          ", "5053", " - ", "PURCHASES @ COST-FOOD")</f>
        <v xml:space="preserve">          5053 - PURCHASES @ COST-FOOD</v>
      </c>
      <c r="C121" s="11"/>
      <c r="D121" s="2">
        <v>206258.18</v>
      </c>
      <c r="E121" s="2"/>
      <c r="F121" s="19">
        <f t="shared" si="22"/>
        <v>0.12147234878959032</v>
      </c>
      <c r="G121" s="2"/>
      <c r="H121" s="2">
        <v>34840.239999999998</v>
      </c>
      <c r="I121" s="2"/>
      <c r="J121" s="19">
        <f t="shared" si="23"/>
        <v>7.2051360271298368E-2</v>
      </c>
      <c r="K121" s="2"/>
      <c r="L121" s="2">
        <f t="shared" si="24"/>
        <v>171417.94</v>
      </c>
      <c r="M121" s="2"/>
      <c r="N121" s="19">
        <f t="shared" si="25"/>
        <v>4.9201136387120181</v>
      </c>
      <c r="O121" s="11"/>
      <c r="P121" s="2">
        <v>1770123.88</v>
      </c>
      <c r="Q121" s="2"/>
      <c r="R121" s="19">
        <f t="shared" si="26"/>
        <v>0.15560716599053534</v>
      </c>
      <c r="S121" s="2"/>
      <c r="T121" s="2">
        <v>267072.71000000002</v>
      </c>
      <c r="U121" s="2"/>
      <c r="V121" s="19">
        <f t="shared" si="27"/>
        <v>5.193005379921925E-2</v>
      </c>
      <c r="W121" s="2"/>
      <c r="X121" s="2">
        <f t="shared" si="28"/>
        <v>1503051.17</v>
      </c>
      <c r="Y121" s="2"/>
      <c r="Z121" s="19">
        <f t="shared" si="29"/>
        <v>5.6278725370330793</v>
      </c>
    </row>
    <row r="122" spans="1:26" s="24" customFormat="1" hidden="1" outlineLevel="1" x14ac:dyDescent="0.3">
      <c r="A122" s="44"/>
      <c r="B122" s="11" t="str">
        <f>CONCATENATE("          ", "5059", " - ", "PURCHASES @ COST-FOOD")</f>
        <v xml:space="preserve">          5059 - PURCHASES @ COST-FOOD</v>
      </c>
      <c r="C122" s="11"/>
      <c r="D122" s="2">
        <v>69739.89</v>
      </c>
      <c r="E122" s="2"/>
      <c r="F122" s="19">
        <f t="shared" si="22"/>
        <v>4.1072156472182882E-2</v>
      </c>
      <c r="G122" s="2"/>
      <c r="H122" s="2">
        <v>4259</v>
      </c>
      <c r="I122" s="2"/>
      <c r="J122" s="19">
        <f t="shared" si="23"/>
        <v>8.8078251870670164E-3</v>
      </c>
      <c r="K122" s="2"/>
      <c r="L122" s="2">
        <f t="shared" si="24"/>
        <v>65480.89</v>
      </c>
      <c r="M122" s="2"/>
      <c r="N122" s="19">
        <f t="shared" si="25"/>
        <v>15.374710025827659</v>
      </c>
      <c r="O122" s="11"/>
      <c r="P122" s="2">
        <v>14120.79</v>
      </c>
      <c r="Q122" s="2"/>
      <c r="R122" s="19">
        <f t="shared" si="26"/>
        <v>1.2413233549775579E-3</v>
      </c>
      <c r="S122" s="2"/>
      <c r="T122" s="2">
        <v>11778.29</v>
      </c>
      <c r="U122" s="2"/>
      <c r="V122" s="19">
        <f t="shared" si="27"/>
        <v>2.290189938772876E-3</v>
      </c>
      <c r="W122" s="2"/>
      <c r="X122" s="2">
        <f t="shared" si="28"/>
        <v>2342.5</v>
      </c>
      <c r="Y122" s="2"/>
      <c r="Z122" s="19">
        <f t="shared" si="29"/>
        <v>0.19888285990580976</v>
      </c>
    </row>
    <row r="123" spans="1:26" s="24" customFormat="1" hidden="1" outlineLevel="1" x14ac:dyDescent="0.3">
      <c r="A123" s="44"/>
      <c r="B123" s="11" t="str">
        <f>CONCATENATE("          ", "5081", " - ", "PURCHASES @ COST-ELECTRONICS")</f>
        <v xml:space="preserve">          5081 - PURCHASES @ COST-ELECTRONICS</v>
      </c>
      <c r="C123" s="11"/>
      <c r="D123" s="2"/>
      <c r="E123" s="2"/>
      <c r="F123" s="19">
        <f t="shared" si="22"/>
        <v>0</v>
      </c>
      <c r="G123" s="2"/>
      <c r="H123" s="2">
        <v>945.44</v>
      </c>
      <c r="I123" s="2"/>
      <c r="J123" s="19">
        <f t="shared" si="23"/>
        <v>1.9552172446256496E-3</v>
      </c>
      <c r="K123" s="2"/>
      <c r="L123" s="2">
        <f t="shared" si="24"/>
        <v>-945.44</v>
      </c>
      <c r="M123" s="2"/>
      <c r="N123" s="19">
        <f t="shared" si="25"/>
        <v>-1</v>
      </c>
      <c r="O123" s="11"/>
      <c r="P123" s="2">
        <v>0</v>
      </c>
      <c r="Q123" s="2"/>
      <c r="R123" s="19">
        <f t="shared" si="26"/>
        <v>0</v>
      </c>
      <c r="S123" s="2"/>
      <c r="T123" s="2">
        <v>25260.51</v>
      </c>
      <c r="U123" s="2"/>
      <c r="V123" s="19">
        <f t="shared" si="27"/>
        <v>4.9116948088620349E-3</v>
      </c>
      <c r="W123" s="2"/>
      <c r="X123" s="2">
        <f t="shared" si="28"/>
        <v>-25260.51</v>
      </c>
      <c r="Y123" s="2"/>
      <c r="Z123" s="19">
        <f t="shared" si="29"/>
        <v>-1</v>
      </c>
    </row>
    <row r="124" spans="1:26" s="24" customFormat="1" hidden="1" outlineLevel="1" x14ac:dyDescent="0.3">
      <c r="A124" s="44"/>
      <c r="B124" s="11" t="str">
        <f>CONCATENATE("          ", "5082", " - ", "PURCHASES @ COST-COMPUTER HARD")</f>
        <v xml:space="preserve">          5082 - PURCHASES @ COST-COMPUTER HARD</v>
      </c>
      <c r="C124" s="11"/>
      <c r="D124" s="2">
        <v>-6160.03</v>
      </c>
      <c r="E124" s="2"/>
      <c r="F124" s="19">
        <f t="shared" si="22"/>
        <v>-3.6278479365731823E-3</v>
      </c>
      <c r="G124" s="2"/>
      <c r="H124" s="2">
        <v>20916.71</v>
      </c>
      <c r="I124" s="2"/>
      <c r="J124" s="19">
        <f t="shared" si="23"/>
        <v>4.3256803279778482E-2</v>
      </c>
      <c r="K124" s="2"/>
      <c r="L124" s="2">
        <f t="shared" si="24"/>
        <v>-27076.739999999998</v>
      </c>
      <c r="M124" s="2"/>
      <c r="N124" s="19">
        <f t="shared" si="25"/>
        <v>-1.2945028161694645</v>
      </c>
      <c r="O124" s="11"/>
      <c r="P124" s="2">
        <v>-86869.48</v>
      </c>
      <c r="Q124" s="2"/>
      <c r="R124" s="19">
        <f t="shared" si="26"/>
        <v>-7.6364788626384107E-3</v>
      </c>
      <c r="S124" s="2"/>
      <c r="T124" s="2">
        <v>980936.82</v>
      </c>
      <c r="U124" s="2"/>
      <c r="V124" s="19">
        <f t="shared" si="27"/>
        <v>0.1907349569195409</v>
      </c>
      <c r="W124" s="2"/>
      <c r="X124" s="2">
        <f t="shared" si="28"/>
        <v>-1067806.3</v>
      </c>
      <c r="Y124" s="2"/>
      <c r="Z124" s="19">
        <f t="shared" si="29"/>
        <v>-1.0885576708192073</v>
      </c>
    </row>
    <row r="125" spans="1:26" s="24" customFormat="1" hidden="1" outlineLevel="1" x14ac:dyDescent="0.3">
      <c r="A125" s="44"/>
      <c r="B125" s="11" t="str">
        <f>CONCATENATE("          ", "5083", " - ", "PURCHASES @ COST-COMPUTER EQUI")</f>
        <v xml:space="preserve">          5083 - PURCHASES @ COST-COMPUTER EQUI</v>
      </c>
      <c r="C125" s="11"/>
      <c r="D125" s="2"/>
      <c r="E125" s="2"/>
      <c r="F125" s="19">
        <f t="shared" si="22"/>
        <v>0</v>
      </c>
      <c r="G125" s="2"/>
      <c r="H125" s="2">
        <v>5833.72</v>
      </c>
      <c r="I125" s="2"/>
      <c r="J125" s="19">
        <f t="shared" si="23"/>
        <v>1.2064424970720028E-2</v>
      </c>
      <c r="K125" s="2"/>
      <c r="L125" s="2">
        <f t="shared" si="24"/>
        <v>-5833.72</v>
      </c>
      <c r="M125" s="2"/>
      <c r="N125" s="19">
        <f t="shared" si="25"/>
        <v>-1</v>
      </c>
      <c r="O125" s="11"/>
      <c r="P125" s="2">
        <v>0</v>
      </c>
      <c r="Q125" s="2"/>
      <c r="R125" s="19">
        <f t="shared" si="26"/>
        <v>0</v>
      </c>
      <c r="S125" s="2"/>
      <c r="T125" s="2">
        <v>81726.84</v>
      </c>
      <c r="U125" s="2"/>
      <c r="V125" s="19">
        <f t="shared" si="27"/>
        <v>1.5891100210276756E-2</v>
      </c>
      <c r="W125" s="2"/>
      <c r="X125" s="2">
        <f t="shared" si="28"/>
        <v>-81726.84</v>
      </c>
      <c r="Y125" s="2"/>
      <c r="Z125" s="19">
        <f t="shared" si="29"/>
        <v>-1</v>
      </c>
    </row>
    <row r="126" spans="1:26" s="24" customFormat="1" hidden="1" outlineLevel="1" x14ac:dyDescent="0.3">
      <c r="A126" s="44"/>
      <c r="B126" s="11" t="str">
        <f>CONCATENATE("          ", "5085", " - ", "PURCHASES @ COST-SOFTWARE")</f>
        <v xml:space="preserve">          5085 - PURCHASES @ COST-SOFTWARE</v>
      </c>
      <c r="C126" s="11"/>
      <c r="D126" s="2"/>
      <c r="E126" s="2"/>
      <c r="F126" s="19">
        <f t="shared" si="22"/>
        <v>0</v>
      </c>
      <c r="G126" s="2"/>
      <c r="H126" s="2">
        <v>496.16</v>
      </c>
      <c r="I126" s="2"/>
      <c r="J126" s="19">
        <f t="shared" si="23"/>
        <v>1.026083715617556E-3</v>
      </c>
      <c r="K126" s="2"/>
      <c r="L126" s="2">
        <f t="shared" si="24"/>
        <v>-496.16</v>
      </c>
      <c r="M126" s="2"/>
      <c r="N126" s="19">
        <f t="shared" si="25"/>
        <v>-1</v>
      </c>
      <c r="O126" s="11"/>
      <c r="P126" s="2">
        <v>0</v>
      </c>
      <c r="Q126" s="2"/>
      <c r="R126" s="19">
        <f t="shared" si="26"/>
        <v>0</v>
      </c>
      <c r="S126" s="2"/>
      <c r="T126" s="2">
        <v>24572.080000000002</v>
      </c>
      <c r="U126" s="2"/>
      <c r="V126" s="19">
        <f t="shared" si="27"/>
        <v>4.777835355618024E-3</v>
      </c>
      <c r="W126" s="2"/>
      <c r="X126" s="2">
        <f t="shared" si="28"/>
        <v>-24572.080000000002</v>
      </c>
      <c r="Y126" s="2"/>
      <c r="Z126" s="19">
        <f t="shared" si="29"/>
        <v>-1</v>
      </c>
    </row>
    <row r="127" spans="1:26" s="24" customFormat="1" hidden="1" outlineLevel="1" x14ac:dyDescent="0.3">
      <c r="A127" s="44"/>
      <c r="B127" s="11" t="str">
        <f>CONCATENATE("          ", "5086", " - ", "PURCHASES @ COST-COMPUTER SUPP")</f>
        <v xml:space="preserve">          5086 - PURCHASES @ COST-COMPUTER SUPP</v>
      </c>
      <c r="C127" s="11"/>
      <c r="D127" s="2"/>
      <c r="E127" s="2"/>
      <c r="F127" s="19">
        <f t="shared" si="22"/>
        <v>0</v>
      </c>
      <c r="G127" s="2"/>
      <c r="H127" s="2"/>
      <c r="I127" s="2"/>
      <c r="J127" s="19">
        <f t="shared" si="23"/>
        <v>0</v>
      </c>
      <c r="K127" s="2"/>
      <c r="L127" s="2">
        <f t="shared" si="24"/>
        <v>0</v>
      </c>
      <c r="M127" s="2"/>
      <c r="N127" s="19">
        <f t="shared" si="25"/>
        <v>0</v>
      </c>
      <c r="O127" s="11"/>
      <c r="P127" s="2">
        <v>0</v>
      </c>
      <c r="Q127" s="2"/>
      <c r="R127" s="19">
        <f t="shared" si="26"/>
        <v>0</v>
      </c>
      <c r="S127" s="2"/>
      <c r="T127" s="2">
        <v>22718.61</v>
      </c>
      <c r="U127" s="2"/>
      <c r="V127" s="19">
        <f t="shared" si="27"/>
        <v>4.4174436225381487E-3</v>
      </c>
      <c r="W127" s="2"/>
      <c r="X127" s="2">
        <f t="shared" si="28"/>
        <v>-22718.61</v>
      </c>
      <c r="Y127" s="2"/>
      <c r="Z127" s="19">
        <f t="shared" si="29"/>
        <v>-1</v>
      </c>
    </row>
    <row r="128" spans="1:26" s="24" customFormat="1" hidden="1" outlineLevel="1" x14ac:dyDescent="0.3">
      <c r="A128" s="44"/>
      <c r="B128" s="11" t="str">
        <f>CONCATENATE("          ", "5092", " - ", "PURCHASES @ COST-GRAD MERCH")</f>
        <v xml:space="preserve">          5092 - PURCHASES @ COST-GRAD MERCH</v>
      </c>
      <c r="C128" s="11"/>
      <c r="D128" s="2"/>
      <c r="E128" s="2"/>
      <c r="F128" s="19">
        <f t="shared" si="22"/>
        <v>0</v>
      </c>
      <c r="G128" s="2"/>
      <c r="H128" s="2"/>
      <c r="I128" s="2"/>
      <c r="J128" s="19">
        <f t="shared" si="23"/>
        <v>0</v>
      </c>
      <c r="K128" s="2"/>
      <c r="L128" s="2">
        <f t="shared" si="24"/>
        <v>0</v>
      </c>
      <c r="M128" s="2"/>
      <c r="N128" s="19">
        <f t="shared" si="25"/>
        <v>0</v>
      </c>
      <c r="O128" s="11"/>
      <c r="P128" s="2"/>
      <c r="Q128" s="2"/>
      <c r="R128" s="19">
        <f t="shared" si="26"/>
        <v>0</v>
      </c>
      <c r="S128" s="2"/>
      <c r="T128" s="2">
        <v>0</v>
      </c>
      <c r="U128" s="2"/>
      <c r="V128" s="19">
        <f t="shared" si="27"/>
        <v>0</v>
      </c>
      <c r="W128" s="2"/>
      <c r="X128" s="2">
        <f t="shared" si="28"/>
        <v>0</v>
      </c>
      <c r="Y128" s="2"/>
      <c r="Z128" s="19">
        <f t="shared" si="29"/>
        <v>0</v>
      </c>
    </row>
    <row r="129" spans="1:26" s="24" customFormat="1" hidden="1" outlineLevel="1" x14ac:dyDescent="0.3">
      <c r="A129" s="44"/>
      <c r="B129" s="11" t="str">
        <f>CONCATENATE("          ", "5200", " - ", "PURCHASES OFFSET")</f>
        <v xml:space="preserve">          5200 - PURCHASES OFFSET</v>
      </c>
      <c r="C129" s="11"/>
      <c r="D129" s="2">
        <v>-479454</v>
      </c>
      <c r="E129" s="2"/>
      <c r="F129" s="19">
        <f t="shared" si="22"/>
        <v>-0.28236651519258166</v>
      </c>
      <c r="G129" s="2"/>
      <c r="H129" s="2">
        <v>-200857.41</v>
      </c>
      <c r="I129" s="2"/>
      <c r="J129" s="19">
        <f t="shared" si="23"/>
        <v>-0.41538317793074586</v>
      </c>
      <c r="K129" s="2"/>
      <c r="L129" s="2">
        <f t="shared" si="24"/>
        <v>-278596.58999999997</v>
      </c>
      <c r="M129" s="2"/>
      <c r="N129" s="19">
        <f t="shared" si="25"/>
        <v>1.3870366545102815</v>
      </c>
      <c r="O129" s="11"/>
      <c r="P129" s="2">
        <v>-3278277.91</v>
      </c>
      <c r="Q129" s="2"/>
      <c r="R129" s="19">
        <f t="shared" si="26"/>
        <v>-0.28818521724280416</v>
      </c>
      <c r="S129" s="2"/>
      <c r="T129" s="2">
        <v>-2876672.97</v>
      </c>
      <c r="U129" s="2"/>
      <c r="V129" s="19">
        <f t="shared" si="27"/>
        <v>-0.55934498921608211</v>
      </c>
      <c r="W129" s="2"/>
      <c r="X129" s="2">
        <f t="shared" si="28"/>
        <v>-401604.93999999994</v>
      </c>
      <c r="Y129" s="2"/>
      <c r="Z129" s="19">
        <f t="shared" si="29"/>
        <v>0.13960743685091181</v>
      </c>
    </row>
    <row r="130" spans="1:26" s="24" customFormat="1" hidden="1" outlineLevel="1" x14ac:dyDescent="0.3">
      <c r="A130" s="44"/>
      <c r="B130" s="11" t="str">
        <f>CONCATENATE("          ", "5300", " - ", "COG$ OFFSET")</f>
        <v xml:space="preserve">          5300 - COG$ OFFSET</v>
      </c>
      <c r="C130" s="11"/>
      <c r="D130" s="2">
        <v>386623.33</v>
      </c>
      <c r="E130" s="2"/>
      <c r="F130" s="19">
        <f t="shared" si="22"/>
        <v>0.22769542517999955</v>
      </c>
      <c r="G130" s="2"/>
      <c r="H130" s="2">
        <v>208821</v>
      </c>
      <c r="I130" s="2"/>
      <c r="J130" s="19">
        <f t="shared" si="23"/>
        <v>0.43185228067351999</v>
      </c>
      <c r="K130" s="2"/>
      <c r="L130" s="2">
        <f t="shared" si="24"/>
        <v>177802.33000000002</v>
      </c>
      <c r="M130" s="2"/>
      <c r="N130" s="19">
        <f t="shared" si="25"/>
        <v>0.85145809090081948</v>
      </c>
      <c r="O130" s="11"/>
      <c r="P130" s="2">
        <v>2870072.87</v>
      </c>
      <c r="Q130" s="2"/>
      <c r="R130" s="19">
        <f t="shared" si="26"/>
        <v>0.2523009324562201</v>
      </c>
      <c r="S130" s="2"/>
      <c r="T130" s="2">
        <v>2603154</v>
      </c>
      <c r="U130" s="2"/>
      <c r="V130" s="19">
        <f t="shared" si="27"/>
        <v>0.50616151409723886</v>
      </c>
      <c r="W130" s="2"/>
      <c r="X130" s="2">
        <f t="shared" si="28"/>
        <v>266918.87000000011</v>
      </c>
      <c r="Y130" s="2"/>
      <c r="Z130" s="19">
        <f t="shared" si="29"/>
        <v>0.10253671891866563</v>
      </c>
    </row>
    <row r="131" spans="1:26" s="24" customFormat="1" hidden="1" outlineLevel="1" x14ac:dyDescent="0.3">
      <c r="A131" s="44"/>
      <c r="B131" s="11" t="str">
        <f>CONCATENATE("          ", "5500", " - ", "FREIGHT-IN")</f>
        <v xml:space="preserve">          5500 - FREIGHT-IN</v>
      </c>
      <c r="C131" s="11"/>
      <c r="D131" s="2">
        <v>9525.24</v>
      </c>
      <c r="E131" s="2"/>
      <c r="F131" s="19">
        <f t="shared" si="22"/>
        <v>5.6097327901591942E-3</v>
      </c>
      <c r="G131" s="2"/>
      <c r="H131" s="2">
        <v>0</v>
      </c>
      <c r="I131" s="2"/>
      <c r="J131" s="19">
        <f t="shared" si="23"/>
        <v>0</v>
      </c>
      <c r="K131" s="2"/>
      <c r="L131" s="2">
        <f t="shared" si="24"/>
        <v>9525.24</v>
      </c>
      <c r="M131" s="2"/>
      <c r="N131" s="19">
        <f t="shared" si="25"/>
        <v>0</v>
      </c>
      <c r="O131" s="11"/>
      <c r="P131" s="2">
        <v>70326.490000000005</v>
      </c>
      <c r="Q131" s="2"/>
      <c r="R131" s="19">
        <f t="shared" si="26"/>
        <v>6.1822259597795644E-3</v>
      </c>
      <c r="S131" s="2"/>
      <c r="T131" s="2">
        <v>0</v>
      </c>
      <c r="U131" s="2"/>
      <c r="V131" s="19">
        <f t="shared" si="27"/>
        <v>0</v>
      </c>
      <c r="W131" s="2"/>
      <c r="X131" s="2">
        <f t="shared" si="28"/>
        <v>70326.490000000005</v>
      </c>
      <c r="Y131" s="2"/>
      <c r="Z131" s="19">
        <f t="shared" si="29"/>
        <v>0</v>
      </c>
    </row>
    <row r="132" spans="1:26" s="24" customFormat="1" hidden="1" outlineLevel="1" x14ac:dyDescent="0.3">
      <c r="A132" s="44"/>
      <c r="B132" s="11" t="str">
        <f>CONCATENATE("          ", "5501", " - ", "FREIGHT-IN-NEW TEXT")</f>
        <v xml:space="preserve">          5501 - FREIGHT-IN-NEW TEXT</v>
      </c>
      <c r="C132" s="11"/>
      <c r="D132" s="2"/>
      <c r="E132" s="2"/>
      <c r="F132" s="19">
        <f t="shared" si="22"/>
        <v>0</v>
      </c>
      <c r="G132" s="2"/>
      <c r="H132" s="2">
        <v>2414.77</v>
      </c>
      <c r="I132" s="2"/>
      <c r="J132" s="19">
        <f t="shared" si="23"/>
        <v>4.9938652329123787E-3</v>
      </c>
      <c r="K132" s="2"/>
      <c r="L132" s="2">
        <f t="shared" si="24"/>
        <v>-2414.77</v>
      </c>
      <c r="M132" s="2"/>
      <c r="N132" s="19">
        <f t="shared" si="25"/>
        <v>-1</v>
      </c>
      <c r="O132" s="11"/>
      <c r="P132" s="2">
        <v>0</v>
      </c>
      <c r="Q132" s="2"/>
      <c r="R132" s="19">
        <f t="shared" si="26"/>
        <v>0</v>
      </c>
      <c r="S132" s="2"/>
      <c r="T132" s="2">
        <v>37463.58</v>
      </c>
      <c r="U132" s="2"/>
      <c r="V132" s="19">
        <f t="shared" si="27"/>
        <v>7.2844796644005831E-3</v>
      </c>
      <c r="W132" s="2"/>
      <c r="X132" s="2">
        <f t="shared" si="28"/>
        <v>-37463.58</v>
      </c>
      <c r="Y132" s="2"/>
      <c r="Z132" s="19">
        <f t="shared" si="29"/>
        <v>-1</v>
      </c>
    </row>
    <row r="133" spans="1:26" s="24" customFormat="1" hidden="1" outlineLevel="1" x14ac:dyDescent="0.3">
      <c r="A133" s="44"/>
      <c r="B133" s="11" t="str">
        <f>CONCATENATE("          ", "5502", " - ", "FREIGHT-IN-USED TEXT")</f>
        <v xml:space="preserve">          5502 - FREIGHT-IN-USED TEXT</v>
      </c>
      <c r="C133" s="11"/>
      <c r="D133" s="2"/>
      <c r="E133" s="2"/>
      <c r="F133" s="19">
        <f t="shared" si="22"/>
        <v>0</v>
      </c>
      <c r="G133" s="2"/>
      <c r="H133" s="2">
        <v>2389.48</v>
      </c>
      <c r="I133" s="2"/>
      <c r="J133" s="19">
        <f t="shared" si="23"/>
        <v>4.9415642470046718E-3</v>
      </c>
      <c r="K133" s="2"/>
      <c r="L133" s="2">
        <f t="shared" si="24"/>
        <v>-2389.48</v>
      </c>
      <c r="M133" s="2"/>
      <c r="N133" s="19">
        <f t="shared" si="25"/>
        <v>-1</v>
      </c>
      <c r="O133" s="11"/>
      <c r="P133" s="2">
        <v>0</v>
      </c>
      <c r="Q133" s="2"/>
      <c r="R133" s="19">
        <f t="shared" si="26"/>
        <v>0</v>
      </c>
      <c r="S133" s="2"/>
      <c r="T133" s="2">
        <v>13522.57</v>
      </c>
      <c r="U133" s="2"/>
      <c r="V133" s="19">
        <f t="shared" si="27"/>
        <v>2.6293505899712038E-3</v>
      </c>
      <c r="W133" s="2"/>
      <c r="X133" s="2">
        <f t="shared" si="28"/>
        <v>-13522.57</v>
      </c>
      <c r="Y133" s="2"/>
      <c r="Z133" s="19">
        <f t="shared" si="29"/>
        <v>-1</v>
      </c>
    </row>
    <row r="134" spans="1:26" s="24" customFormat="1" hidden="1" outlineLevel="1" x14ac:dyDescent="0.3">
      <c r="A134" s="44"/>
      <c r="B134" s="11" t="str">
        <f>CONCATENATE("          ", "5504", " - ", "FREIGHT-IN-DIGITAL TEXT")</f>
        <v xml:space="preserve">          5504 - FREIGHT-IN-DIGITAL TEXT</v>
      </c>
      <c r="C134" s="11"/>
      <c r="D134" s="2"/>
      <c r="E134" s="2"/>
      <c r="F134" s="19">
        <f t="shared" si="22"/>
        <v>0</v>
      </c>
      <c r="G134" s="2"/>
      <c r="H134" s="2"/>
      <c r="I134" s="2"/>
      <c r="J134" s="19">
        <f t="shared" si="23"/>
        <v>0</v>
      </c>
      <c r="K134" s="2"/>
      <c r="L134" s="2">
        <f t="shared" si="24"/>
        <v>0</v>
      </c>
      <c r="M134" s="2"/>
      <c r="N134" s="19">
        <f t="shared" si="25"/>
        <v>0</v>
      </c>
      <c r="O134" s="11"/>
      <c r="P134" s="2"/>
      <c r="Q134" s="2"/>
      <c r="R134" s="19">
        <f t="shared" si="26"/>
        <v>0</v>
      </c>
      <c r="S134" s="2"/>
      <c r="T134" s="2">
        <v>21.98</v>
      </c>
      <c r="U134" s="2"/>
      <c r="V134" s="19">
        <f t="shared" si="27"/>
        <v>4.2738270881620176E-6</v>
      </c>
      <c r="W134" s="2"/>
      <c r="X134" s="2">
        <f t="shared" si="28"/>
        <v>-21.98</v>
      </c>
      <c r="Y134" s="2"/>
      <c r="Z134" s="19">
        <f t="shared" si="29"/>
        <v>-1</v>
      </c>
    </row>
    <row r="135" spans="1:26" s="24" customFormat="1" hidden="1" outlineLevel="1" x14ac:dyDescent="0.3">
      <c r="A135" s="44"/>
      <c r="B135" s="11" t="str">
        <f>CONCATENATE("          ", "5513", " - ", "FREIGHT-IN-TRADE BOOKS")</f>
        <v xml:space="preserve">          5513 - FREIGHT-IN-TRADE BOOKS</v>
      </c>
      <c r="C135" s="11"/>
      <c r="D135" s="2"/>
      <c r="E135" s="2"/>
      <c r="F135" s="19">
        <f t="shared" si="22"/>
        <v>0</v>
      </c>
      <c r="G135" s="2"/>
      <c r="H135" s="2"/>
      <c r="I135" s="2"/>
      <c r="J135" s="19">
        <f t="shared" si="23"/>
        <v>0</v>
      </c>
      <c r="K135" s="2"/>
      <c r="L135" s="2">
        <f t="shared" si="24"/>
        <v>0</v>
      </c>
      <c r="M135" s="2"/>
      <c r="N135" s="19">
        <f t="shared" si="25"/>
        <v>0</v>
      </c>
      <c r="O135" s="11"/>
      <c r="P135" s="2"/>
      <c r="Q135" s="2"/>
      <c r="R135" s="19">
        <f t="shared" si="26"/>
        <v>0</v>
      </c>
      <c r="S135" s="2"/>
      <c r="T135" s="2">
        <v>26.46</v>
      </c>
      <c r="U135" s="2"/>
      <c r="V135" s="19">
        <f t="shared" si="27"/>
        <v>5.144925602946633E-6</v>
      </c>
      <c r="W135" s="2"/>
      <c r="X135" s="2">
        <f t="shared" si="28"/>
        <v>-26.46</v>
      </c>
      <c r="Y135" s="2"/>
      <c r="Z135" s="19">
        <f t="shared" si="29"/>
        <v>-1</v>
      </c>
    </row>
    <row r="136" spans="1:26" s="24" customFormat="1" hidden="1" outlineLevel="1" x14ac:dyDescent="0.3">
      <c r="A136" s="44"/>
      <c r="B136" s="11" t="str">
        <f>CONCATENATE("          ", "5518", " - ", "FREIGHT-IN-STUDY GUIDES")</f>
        <v xml:space="preserve">          5518 - FREIGHT-IN-STUDY GUIDES</v>
      </c>
      <c r="C136" s="11"/>
      <c r="D136" s="2"/>
      <c r="E136" s="2"/>
      <c r="F136" s="19">
        <f t="shared" si="22"/>
        <v>0</v>
      </c>
      <c r="G136" s="2"/>
      <c r="H136" s="2"/>
      <c r="I136" s="2"/>
      <c r="J136" s="19">
        <f t="shared" si="23"/>
        <v>0</v>
      </c>
      <c r="K136" s="2"/>
      <c r="L136" s="2">
        <f t="shared" si="24"/>
        <v>0</v>
      </c>
      <c r="M136" s="2"/>
      <c r="N136" s="19">
        <f t="shared" si="25"/>
        <v>0</v>
      </c>
      <c r="O136" s="11"/>
      <c r="P136" s="2">
        <v>0</v>
      </c>
      <c r="Q136" s="2"/>
      <c r="R136" s="19">
        <f t="shared" si="26"/>
        <v>0</v>
      </c>
      <c r="S136" s="2"/>
      <c r="T136" s="2"/>
      <c r="U136" s="2"/>
      <c r="V136" s="19">
        <f t="shared" si="27"/>
        <v>0</v>
      </c>
      <c r="W136" s="2"/>
      <c r="X136" s="2">
        <f t="shared" si="28"/>
        <v>0</v>
      </c>
      <c r="Y136" s="2"/>
      <c r="Z136" s="19">
        <f t="shared" si="29"/>
        <v>0</v>
      </c>
    </row>
    <row r="137" spans="1:26" s="24" customFormat="1" hidden="1" outlineLevel="1" x14ac:dyDescent="0.3">
      <c r="A137" s="44"/>
      <c r="B137" s="11" t="str">
        <f>CONCATENATE("          ", "5525", " - ", "FREIGHT-IN-TEST FORMS")</f>
        <v xml:space="preserve">          5525 - FREIGHT-IN-TEST FORMS</v>
      </c>
      <c r="C137" s="11"/>
      <c r="D137" s="2"/>
      <c r="E137" s="2"/>
      <c r="F137" s="19">
        <f t="shared" si="22"/>
        <v>0</v>
      </c>
      <c r="G137" s="2"/>
      <c r="H137" s="2"/>
      <c r="I137" s="2"/>
      <c r="J137" s="19">
        <f t="shared" si="23"/>
        <v>0</v>
      </c>
      <c r="K137" s="2"/>
      <c r="L137" s="2">
        <f t="shared" si="24"/>
        <v>0</v>
      </c>
      <c r="M137" s="2"/>
      <c r="N137" s="19">
        <f t="shared" si="25"/>
        <v>0</v>
      </c>
      <c r="O137" s="11"/>
      <c r="P137" s="2"/>
      <c r="Q137" s="2"/>
      <c r="R137" s="19">
        <f t="shared" si="26"/>
        <v>0</v>
      </c>
      <c r="S137" s="2"/>
      <c r="T137" s="2">
        <v>48.14</v>
      </c>
      <c r="U137" s="2"/>
      <c r="V137" s="19">
        <f t="shared" si="27"/>
        <v>9.3604202012793236E-6</v>
      </c>
      <c r="W137" s="2"/>
      <c r="X137" s="2">
        <f t="shared" si="28"/>
        <v>-48.14</v>
      </c>
      <c r="Y137" s="2"/>
      <c r="Z137" s="19">
        <f t="shared" si="29"/>
        <v>-1</v>
      </c>
    </row>
    <row r="138" spans="1:26" s="24" customFormat="1" hidden="1" outlineLevel="1" x14ac:dyDescent="0.3">
      <c r="A138" s="44"/>
      <c r="B138" s="11" t="str">
        <f>CONCATENATE("          ", "5526", " - ", "FREIGHT-IN-WRITING INSTRUMENTS")</f>
        <v xml:space="preserve">          5526 - FREIGHT-IN-WRITING INSTRUMENTS</v>
      </c>
      <c r="C138" s="11"/>
      <c r="D138" s="2"/>
      <c r="E138" s="2"/>
      <c r="F138" s="19">
        <f t="shared" si="22"/>
        <v>0</v>
      </c>
      <c r="G138" s="2"/>
      <c r="H138" s="2">
        <v>0</v>
      </c>
      <c r="I138" s="2"/>
      <c r="J138" s="19">
        <f t="shared" si="23"/>
        <v>0</v>
      </c>
      <c r="K138" s="2"/>
      <c r="L138" s="2">
        <f t="shared" si="24"/>
        <v>0</v>
      </c>
      <c r="M138" s="2"/>
      <c r="N138" s="19">
        <f t="shared" si="25"/>
        <v>0</v>
      </c>
      <c r="O138" s="11"/>
      <c r="P138" s="2"/>
      <c r="Q138" s="2"/>
      <c r="R138" s="19">
        <f t="shared" si="26"/>
        <v>0</v>
      </c>
      <c r="S138" s="2"/>
      <c r="T138" s="2">
        <v>0</v>
      </c>
      <c r="U138" s="2"/>
      <c r="V138" s="19">
        <f t="shared" si="27"/>
        <v>0</v>
      </c>
      <c r="W138" s="2"/>
      <c r="X138" s="2">
        <f t="shared" si="28"/>
        <v>0</v>
      </c>
      <c r="Y138" s="2"/>
      <c r="Z138" s="19">
        <f t="shared" si="29"/>
        <v>0</v>
      </c>
    </row>
    <row r="139" spans="1:26" s="24" customFormat="1" hidden="1" outlineLevel="1" x14ac:dyDescent="0.3">
      <c r="A139" s="44"/>
      <c r="B139" s="11" t="str">
        <f>CONCATENATE("          ", "5527", " - ", "FREIGHT-IN-SCHOOL SUPPLIES")</f>
        <v xml:space="preserve">          5527 - FREIGHT-IN-SCHOOL SUPPLIES</v>
      </c>
      <c r="C139" s="11"/>
      <c r="D139" s="2"/>
      <c r="E139" s="2"/>
      <c r="F139" s="19">
        <f t="shared" si="22"/>
        <v>0</v>
      </c>
      <c r="G139" s="2"/>
      <c r="H139" s="2">
        <v>121.5</v>
      </c>
      <c r="I139" s="2"/>
      <c r="J139" s="19">
        <f t="shared" si="23"/>
        <v>2.51268081763006E-4</v>
      </c>
      <c r="K139" s="2"/>
      <c r="L139" s="2">
        <f t="shared" si="24"/>
        <v>-121.5</v>
      </c>
      <c r="M139" s="2"/>
      <c r="N139" s="19">
        <f t="shared" si="25"/>
        <v>-1</v>
      </c>
      <c r="O139" s="11"/>
      <c r="P139" s="2">
        <v>0</v>
      </c>
      <c r="Q139" s="2"/>
      <c r="R139" s="19">
        <f t="shared" si="26"/>
        <v>0</v>
      </c>
      <c r="S139" s="2"/>
      <c r="T139" s="2">
        <v>177.5</v>
      </c>
      <c r="U139" s="2"/>
      <c r="V139" s="19">
        <f t="shared" si="27"/>
        <v>3.4513389815685082E-5</v>
      </c>
      <c r="W139" s="2"/>
      <c r="X139" s="2">
        <f t="shared" si="28"/>
        <v>-177.5</v>
      </c>
      <c r="Y139" s="2"/>
      <c r="Z139" s="19">
        <f t="shared" si="29"/>
        <v>-1</v>
      </c>
    </row>
    <row r="140" spans="1:26" s="24" customFormat="1" hidden="1" outlineLevel="1" x14ac:dyDescent="0.3">
      <c r="A140" s="44"/>
      <c r="B140" s="11" t="str">
        <f>CONCATENATE("          ", "5528", " - ", "FREIGHT-IN-ART/TECH")</f>
        <v xml:space="preserve">          5528 - FREIGHT-IN-ART/TECH</v>
      </c>
      <c r="C140" s="11"/>
      <c r="D140" s="2"/>
      <c r="E140" s="2"/>
      <c r="F140" s="19">
        <f t="shared" si="22"/>
        <v>0</v>
      </c>
      <c r="G140" s="2"/>
      <c r="H140" s="2">
        <v>4.29</v>
      </c>
      <c r="I140" s="2"/>
      <c r="J140" s="19">
        <f t="shared" si="23"/>
        <v>8.871934738792557E-6</v>
      </c>
      <c r="K140" s="2"/>
      <c r="L140" s="2">
        <f t="shared" si="24"/>
        <v>-4.29</v>
      </c>
      <c r="M140" s="2"/>
      <c r="N140" s="19">
        <f t="shared" si="25"/>
        <v>-1</v>
      </c>
      <c r="O140" s="11"/>
      <c r="P140" s="2">
        <v>0</v>
      </c>
      <c r="Q140" s="2"/>
      <c r="R140" s="19">
        <f t="shared" si="26"/>
        <v>0</v>
      </c>
      <c r="S140" s="2"/>
      <c r="T140" s="2">
        <v>290.20999999999998</v>
      </c>
      <c r="U140" s="2"/>
      <c r="V140" s="19">
        <f t="shared" si="27"/>
        <v>5.64289062445632E-5</v>
      </c>
      <c r="W140" s="2"/>
      <c r="X140" s="2">
        <f t="shared" si="28"/>
        <v>-290.20999999999998</v>
      </c>
      <c r="Y140" s="2"/>
      <c r="Z140" s="19">
        <f t="shared" si="29"/>
        <v>-1</v>
      </c>
    </row>
    <row r="141" spans="1:26" s="24" customFormat="1" hidden="1" outlineLevel="1" x14ac:dyDescent="0.3">
      <c r="A141" s="44"/>
      <c r="B141" s="11" t="str">
        <f>CONCATENATE("          ", "5540", " - ", "FREIGHT-IN-LOGO CLOTHING")</f>
        <v xml:space="preserve">          5540 - FREIGHT-IN-LOGO CLOTHING</v>
      </c>
      <c r="C141" s="11"/>
      <c r="D141" s="2"/>
      <c r="E141" s="2"/>
      <c r="F141" s="19">
        <f t="shared" si="22"/>
        <v>0</v>
      </c>
      <c r="G141" s="2"/>
      <c r="H141" s="2">
        <v>907.48</v>
      </c>
      <c r="I141" s="2"/>
      <c r="J141" s="19">
        <f t="shared" si="23"/>
        <v>1.8767140645126971E-3</v>
      </c>
      <c r="K141" s="2"/>
      <c r="L141" s="2">
        <f t="shared" si="24"/>
        <v>-907.48</v>
      </c>
      <c r="M141" s="2"/>
      <c r="N141" s="19">
        <f t="shared" si="25"/>
        <v>-1</v>
      </c>
      <c r="O141" s="11"/>
      <c r="P141" s="2">
        <v>0</v>
      </c>
      <c r="Q141" s="2"/>
      <c r="R141" s="19">
        <f t="shared" si="26"/>
        <v>0</v>
      </c>
      <c r="S141" s="2"/>
      <c r="T141" s="2">
        <v>5442.96</v>
      </c>
      <c r="U141" s="2"/>
      <c r="V141" s="19">
        <f t="shared" si="27"/>
        <v>1.0583380294714438E-3</v>
      </c>
      <c r="W141" s="2"/>
      <c r="X141" s="2">
        <f t="shared" si="28"/>
        <v>-5442.96</v>
      </c>
      <c r="Y141" s="2"/>
      <c r="Z141" s="19">
        <f t="shared" si="29"/>
        <v>-1</v>
      </c>
    </row>
    <row r="142" spans="1:26" s="24" customFormat="1" hidden="1" outlineLevel="1" x14ac:dyDescent="0.3">
      <c r="A142" s="44"/>
      <c r="B142" s="11" t="str">
        <f>CONCATENATE("          ", "5541", " - ", "FREIGHT-IN-LOGO GIFTS")</f>
        <v xml:space="preserve">          5541 - FREIGHT-IN-LOGO GIFTS</v>
      </c>
      <c r="C142" s="11"/>
      <c r="D142" s="2"/>
      <c r="E142" s="2"/>
      <c r="F142" s="19">
        <f t="shared" si="22"/>
        <v>0</v>
      </c>
      <c r="G142" s="2"/>
      <c r="H142" s="2">
        <v>84.07</v>
      </c>
      <c r="I142" s="2"/>
      <c r="J142" s="19">
        <f t="shared" si="23"/>
        <v>1.7386096817955483E-4</v>
      </c>
      <c r="K142" s="2"/>
      <c r="L142" s="2">
        <f t="shared" si="24"/>
        <v>-84.07</v>
      </c>
      <c r="M142" s="2"/>
      <c r="N142" s="19">
        <f t="shared" si="25"/>
        <v>-1</v>
      </c>
      <c r="O142" s="11"/>
      <c r="P142" s="2">
        <v>0</v>
      </c>
      <c r="Q142" s="2"/>
      <c r="R142" s="19">
        <f t="shared" si="26"/>
        <v>0</v>
      </c>
      <c r="S142" s="2"/>
      <c r="T142" s="2">
        <v>1519.94</v>
      </c>
      <c r="U142" s="2"/>
      <c r="V142" s="19">
        <f t="shared" si="27"/>
        <v>2.9553961530395714E-4</v>
      </c>
      <c r="W142" s="2"/>
      <c r="X142" s="2">
        <f t="shared" si="28"/>
        <v>-1519.94</v>
      </c>
      <c r="Y142" s="2"/>
      <c r="Z142" s="19">
        <f t="shared" si="29"/>
        <v>-1</v>
      </c>
    </row>
    <row r="143" spans="1:26" s="24" customFormat="1" hidden="1" outlineLevel="1" x14ac:dyDescent="0.3">
      <c r="A143" s="44"/>
      <c r="B143" s="11" t="str">
        <f>CONCATENATE("          ", "5542", " - ", "FREIGHT-IN-EVERYDAY GIFTS")</f>
        <v xml:space="preserve">          5542 - FREIGHT-IN-EVERYDAY GIFTS</v>
      </c>
      <c r="C143" s="11"/>
      <c r="D143" s="2"/>
      <c r="E143" s="2"/>
      <c r="F143" s="19">
        <f t="shared" si="22"/>
        <v>0</v>
      </c>
      <c r="G143" s="2"/>
      <c r="H143" s="2"/>
      <c r="I143" s="2"/>
      <c r="J143" s="19">
        <f t="shared" si="23"/>
        <v>0</v>
      </c>
      <c r="K143" s="2"/>
      <c r="L143" s="2">
        <f t="shared" si="24"/>
        <v>0</v>
      </c>
      <c r="M143" s="2"/>
      <c r="N143" s="19">
        <f t="shared" si="25"/>
        <v>0</v>
      </c>
      <c r="O143" s="11"/>
      <c r="P143" s="2">
        <v>0</v>
      </c>
      <c r="Q143" s="2"/>
      <c r="R143" s="19">
        <f t="shared" si="26"/>
        <v>0</v>
      </c>
      <c r="S143" s="2"/>
      <c r="T143" s="2">
        <v>196.55</v>
      </c>
      <c r="U143" s="2"/>
      <c r="V143" s="19">
        <f t="shared" si="27"/>
        <v>3.8217502919847345E-5</v>
      </c>
      <c r="W143" s="2"/>
      <c r="X143" s="2">
        <f t="shared" si="28"/>
        <v>-196.55</v>
      </c>
      <c r="Y143" s="2"/>
      <c r="Z143" s="19">
        <f t="shared" si="29"/>
        <v>-1</v>
      </c>
    </row>
    <row r="144" spans="1:26" s="24" customFormat="1" hidden="1" outlineLevel="1" x14ac:dyDescent="0.3">
      <c r="A144" s="44"/>
      <c r="B144" s="11" t="str">
        <f>CONCATENATE("          ", "5543", " - ", "FREIGHT-IN-CARDS")</f>
        <v xml:space="preserve">          5543 - FREIGHT-IN-CARDS</v>
      </c>
      <c r="C144" s="11"/>
      <c r="D144" s="2"/>
      <c r="E144" s="2"/>
      <c r="F144" s="19">
        <f t="shared" si="22"/>
        <v>0</v>
      </c>
      <c r="G144" s="2"/>
      <c r="H144" s="2">
        <v>605.41</v>
      </c>
      <c r="I144" s="2"/>
      <c r="J144" s="19">
        <f t="shared" si="23"/>
        <v>1.2520181841986951E-3</v>
      </c>
      <c r="K144" s="2"/>
      <c r="L144" s="2">
        <f t="shared" si="24"/>
        <v>-605.41</v>
      </c>
      <c r="M144" s="2"/>
      <c r="N144" s="19">
        <f t="shared" si="25"/>
        <v>-1</v>
      </c>
      <c r="O144" s="11"/>
      <c r="P144" s="2"/>
      <c r="Q144" s="2"/>
      <c r="R144" s="19">
        <f t="shared" si="26"/>
        <v>0</v>
      </c>
      <c r="S144" s="2"/>
      <c r="T144" s="2">
        <v>7117.72</v>
      </c>
      <c r="U144" s="2"/>
      <c r="V144" s="19">
        <f t="shared" si="27"/>
        <v>1.383981098359989E-3</v>
      </c>
      <c r="W144" s="2"/>
      <c r="X144" s="2">
        <f t="shared" si="28"/>
        <v>-7117.72</v>
      </c>
      <c r="Y144" s="2"/>
      <c r="Z144" s="19">
        <f t="shared" si="29"/>
        <v>-1</v>
      </c>
    </row>
    <row r="145" spans="1:26" s="24" customFormat="1" hidden="1" outlineLevel="1" x14ac:dyDescent="0.3">
      <c r="A145" s="44"/>
      <c r="B145" s="11" t="str">
        <f>CONCATENATE("          ", "5544", " - ", "FREIGHT-IN-ACCESSORIES")</f>
        <v xml:space="preserve">          5544 - FREIGHT-IN-ACCESSORIES</v>
      </c>
      <c r="C145" s="11"/>
      <c r="D145" s="2"/>
      <c r="E145" s="2"/>
      <c r="F145" s="19">
        <f t="shared" si="22"/>
        <v>0</v>
      </c>
      <c r="G145" s="2"/>
      <c r="H145" s="2"/>
      <c r="I145" s="2"/>
      <c r="J145" s="19">
        <f t="shared" si="23"/>
        <v>0</v>
      </c>
      <c r="K145" s="2"/>
      <c r="L145" s="2">
        <f t="shared" si="24"/>
        <v>0</v>
      </c>
      <c r="M145" s="2"/>
      <c r="N145" s="19">
        <f t="shared" si="25"/>
        <v>0</v>
      </c>
      <c r="O145" s="11"/>
      <c r="P145" s="2">
        <v>0</v>
      </c>
      <c r="Q145" s="2"/>
      <c r="R145" s="19">
        <f t="shared" si="26"/>
        <v>0</v>
      </c>
      <c r="S145" s="2"/>
      <c r="T145" s="2"/>
      <c r="U145" s="2"/>
      <c r="V145" s="19">
        <f t="shared" si="27"/>
        <v>0</v>
      </c>
      <c r="W145" s="2"/>
      <c r="X145" s="2">
        <f t="shared" si="28"/>
        <v>0</v>
      </c>
      <c r="Y145" s="2"/>
      <c r="Z145" s="19">
        <f t="shared" si="29"/>
        <v>0</v>
      </c>
    </row>
    <row r="146" spans="1:26" s="24" customFormat="1" hidden="1" outlineLevel="1" x14ac:dyDescent="0.3">
      <c r="A146" s="44"/>
      <c r="B146" s="11" t="str">
        <f>CONCATENATE("          ", "5545", " - ", "FREIGHT-IN-SPECIAL ORDERS")</f>
        <v xml:space="preserve">          5545 - FREIGHT-IN-SPECIAL ORDERS</v>
      </c>
      <c r="C146" s="11"/>
      <c r="D146" s="2"/>
      <c r="E146" s="2"/>
      <c r="F146" s="19">
        <f t="shared" si="22"/>
        <v>0</v>
      </c>
      <c r="G146" s="2"/>
      <c r="H146" s="2">
        <v>225.93</v>
      </c>
      <c r="I146" s="2"/>
      <c r="J146" s="19">
        <f t="shared" si="23"/>
        <v>4.6723454907585143E-4</v>
      </c>
      <c r="K146" s="2"/>
      <c r="L146" s="2">
        <f t="shared" si="24"/>
        <v>-225.93</v>
      </c>
      <c r="M146" s="2"/>
      <c r="N146" s="19">
        <f t="shared" si="25"/>
        <v>-1</v>
      </c>
      <c r="O146" s="11"/>
      <c r="P146" s="2">
        <v>0</v>
      </c>
      <c r="Q146" s="2"/>
      <c r="R146" s="19">
        <f t="shared" si="26"/>
        <v>0</v>
      </c>
      <c r="S146" s="2"/>
      <c r="T146" s="2">
        <v>1113.79</v>
      </c>
      <c r="U146" s="2"/>
      <c r="V146" s="19">
        <f t="shared" si="27"/>
        <v>2.1656714615668669E-4</v>
      </c>
      <c r="W146" s="2"/>
      <c r="X146" s="2">
        <f t="shared" si="28"/>
        <v>-1113.79</v>
      </c>
      <c r="Y146" s="2"/>
      <c r="Z146" s="19">
        <f t="shared" si="29"/>
        <v>-1</v>
      </c>
    </row>
    <row r="147" spans="1:26" s="24" customFormat="1" hidden="1" outlineLevel="1" x14ac:dyDescent="0.3">
      <c r="A147" s="44"/>
      <c r="B147" s="11" t="str">
        <f>CONCATENATE("          ", "5581", " - ", "FREIGHT-IN-ELECTRONICS")</f>
        <v xml:space="preserve">          5581 - FREIGHT-IN-ELECTRONICS</v>
      </c>
      <c r="C147" s="11"/>
      <c r="D147" s="2"/>
      <c r="E147" s="2"/>
      <c r="F147" s="19">
        <f t="shared" si="22"/>
        <v>0</v>
      </c>
      <c r="G147" s="2"/>
      <c r="H147" s="2">
        <v>31</v>
      </c>
      <c r="I147" s="2"/>
      <c r="J147" s="19">
        <f t="shared" si="23"/>
        <v>6.4109551725540626E-5</v>
      </c>
      <c r="K147" s="2"/>
      <c r="L147" s="2">
        <f t="shared" si="24"/>
        <v>-31</v>
      </c>
      <c r="M147" s="2"/>
      <c r="N147" s="19">
        <f t="shared" si="25"/>
        <v>-1</v>
      </c>
      <c r="O147" s="11"/>
      <c r="P147" s="2"/>
      <c r="Q147" s="2"/>
      <c r="R147" s="19">
        <f t="shared" si="26"/>
        <v>0</v>
      </c>
      <c r="S147" s="2"/>
      <c r="T147" s="2">
        <v>31</v>
      </c>
      <c r="U147" s="2"/>
      <c r="V147" s="19">
        <f t="shared" si="27"/>
        <v>6.0276906156971135E-6</v>
      </c>
      <c r="W147" s="2"/>
      <c r="X147" s="2">
        <f t="shared" si="28"/>
        <v>-31</v>
      </c>
      <c r="Y147" s="2"/>
      <c r="Z147" s="19">
        <f t="shared" si="29"/>
        <v>-1</v>
      </c>
    </row>
    <row r="148" spans="1:26" s="24" customFormat="1" hidden="1" outlineLevel="1" x14ac:dyDescent="0.3">
      <c r="A148" s="44"/>
      <c r="B148" s="11" t="str">
        <f>CONCATENATE("          ", "5582", " - ", "FREIGHT-IN-COMPUTER HARDWARE")</f>
        <v xml:space="preserve">          5582 - FREIGHT-IN-COMPUTER HARDWARE</v>
      </c>
      <c r="C148" s="11"/>
      <c r="D148" s="2"/>
      <c r="E148" s="2"/>
      <c r="F148" s="19">
        <f t="shared" si="22"/>
        <v>0</v>
      </c>
      <c r="G148" s="2"/>
      <c r="H148" s="2"/>
      <c r="I148" s="2"/>
      <c r="J148" s="19">
        <f t="shared" si="23"/>
        <v>0</v>
      </c>
      <c r="K148" s="2"/>
      <c r="L148" s="2">
        <f t="shared" si="24"/>
        <v>0</v>
      </c>
      <c r="M148" s="2"/>
      <c r="N148" s="19">
        <f t="shared" si="25"/>
        <v>0</v>
      </c>
      <c r="O148" s="11"/>
      <c r="P148" s="2"/>
      <c r="Q148" s="2"/>
      <c r="R148" s="19">
        <f t="shared" si="26"/>
        <v>0</v>
      </c>
      <c r="S148" s="2"/>
      <c r="T148" s="2">
        <v>94</v>
      </c>
      <c r="U148" s="2"/>
      <c r="V148" s="19">
        <f t="shared" si="27"/>
        <v>1.8277513479855764E-5</v>
      </c>
      <c r="W148" s="2"/>
      <c r="X148" s="2">
        <f t="shared" si="28"/>
        <v>-94</v>
      </c>
      <c r="Y148" s="2"/>
      <c r="Z148" s="19">
        <f t="shared" si="29"/>
        <v>-1</v>
      </c>
    </row>
    <row r="149" spans="1:26" s="24" customFormat="1" hidden="1" outlineLevel="1" x14ac:dyDescent="0.3">
      <c r="A149" s="44"/>
      <c r="B149" s="11" t="str">
        <f>CONCATENATE("          ", "5583", " - ", "FREIGHT-IN-COMPUTER EQUIPMENT")</f>
        <v xml:space="preserve">          5583 - FREIGHT-IN-COMPUTER EQUIPMENT</v>
      </c>
      <c r="C149" s="11"/>
      <c r="D149" s="2"/>
      <c r="E149" s="2"/>
      <c r="F149" s="19">
        <f t="shared" si="22"/>
        <v>0</v>
      </c>
      <c r="G149" s="2"/>
      <c r="H149" s="2">
        <v>7.23</v>
      </c>
      <c r="I149" s="2"/>
      <c r="J149" s="19">
        <f t="shared" si="23"/>
        <v>1.4952001902440606E-5</v>
      </c>
      <c r="K149" s="2"/>
      <c r="L149" s="2">
        <f t="shared" si="24"/>
        <v>-7.23</v>
      </c>
      <c r="M149" s="2"/>
      <c r="N149" s="19">
        <f t="shared" si="25"/>
        <v>-1</v>
      </c>
      <c r="O149" s="11"/>
      <c r="P149" s="2">
        <v>0</v>
      </c>
      <c r="Q149" s="2"/>
      <c r="R149" s="19">
        <f t="shared" si="26"/>
        <v>0</v>
      </c>
      <c r="S149" s="2"/>
      <c r="T149" s="2">
        <v>232.4</v>
      </c>
      <c r="U149" s="2"/>
      <c r="V149" s="19">
        <f t="shared" si="27"/>
        <v>4.518823545445191E-5</v>
      </c>
      <c r="W149" s="2"/>
      <c r="X149" s="2">
        <f t="shared" si="28"/>
        <v>-232.4</v>
      </c>
      <c r="Y149" s="2"/>
      <c r="Z149" s="19">
        <f t="shared" si="29"/>
        <v>-1</v>
      </c>
    </row>
    <row r="150" spans="1:26" s="24" customFormat="1" hidden="1" outlineLevel="1" x14ac:dyDescent="0.3">
      <c r="A150" s="44"/>
      <c r="B150" s="11" t="str">
        <f>CONCATENATE("          ", "5586", " - ", "FREIGHT-IN-COMPUTER SUPPLIES")</f>
        <v xml:space="preserve">          5586 - FREIGHT-IN-COMPUTER SUPPLIES</v>
      </c>
      <c r="C150" s="11"/>
      <c r="D150" s="2"/>
      <c r="E150" s="2"/>
      <c r="F150" s="19">
        <f t="shared" si="22"/>
        <v>0</v>
      </c>
      <c r="G150" s="2"/>
      <c r="H150" s="2"/>
      <c r="I150" s="2"/>
      <c r="J150" s="19">
        <f t="shared" si="23"/>
        <v>0</v>
      </c>
      <c r="K150" s="2"/>
      <c r="L150" s="2">
        <f t="shared" si="24"/>
        <v>0</v>
      </c>
      <c r="M150" s="2"/>
      <c r="N150" s="19">
        <f t="shared" si="25"/>
        <v>0</v>
      </c>
      <c r="O150" s="11"/>
      <c r="P150" s="2"/>
      <c r="Q150" s="2"/>
      <c r="R150" s="19">
        <f t="shared" si="26"/>
        <v>0</v>
      </c>
      <c r="S150" s="2"/>
      <c r="T150" s="2">
        <v>24.12</v>
      </c>
      <c r="U150" s="2"/>
      <c r="V150" s="19">
        <f t="shared" si="27"/>
        <v>4.6899321822778834E-6</v>
      </c>
      <c r="W150" s="2"/>
      <c r="X150" s="2">
        <f t="shared" si="28"/>
        <v>-24.12</v>
      </c>
      <c r="Y150" s="2"/>
      <c r="Z150" s="19">
        <f t="shared" si="29"/>
        <v>-1</v>
      </c>
    </row>
    <row r="151" spans="1:26" s="24" customFormat="1" hidden="1" outlineLevel="1" x14ac:dyDescent="0.3">
      <c r="A151" s="44"/>
      <c r="B151" s="11" t="str">
        <f>CONCATENATE("          ", "5592", " - ", "FREIGHT-IN-GRAD MERCH")</f>
        <v xml:space="preserve">          5592 - FREIGHT-IN-GRAD MERCH</v>
      </c>
      <c r="C151" s="11"/>
      <c r="D151" s="2"/>
      <c r="E151" s="2"/>
      <c r="F151" s="19">
        <f t="shared" si="22"/>
        <v>0</v>
      </c>
      <c r="G151" s="2"/>
      <c r="H151" s="2"/>
      <c r="I151" s="2"/>
      <c r="J151" s="19">
        <f t="shared" si="23"/>
        <v>0</v>
      </c>
      <c r="K151" s="2"/>
      <c r="L151" s="2">
        <f t="shared" si="24"/>
        <v>0</v>
      </c>
      <c r="M151" s="2"/>
      <c r="N151" s="19">
        <f t="shared" si="25"/>
        <v>0</v>
      </c>
      <c r="O151" s="11"/>
      <c r="P151" s="2"/>
      <c r="Q151" s="2"/>
      <c r="R151" s="19">
        <f t="shared" si="26"/>
        <v>0</v>
      </c>
      <c r="S151" s="2"/>
      <c r="T151" s="2">
        <v>0</v>
      </c>
      <c r="U151" s="2"/>
      <c r="V151" s="19">
        <f t="shared" si="27"/>
        <v>0</v>
      </c>
      <c r="W151" s="2"/>
      <c r="X151" s="2">
        <f t="shared" si="28"/>
        <v>0</v>
      </c>
      <c r="Y151" s="2"/>
      <c r="Z151" s="19">
        <f t="shared" si="29"/>
        <v>0</v>
      </c>
    </row>
    <row r="152" spans="1:26" x14ac:dyDescent="0.3">
      <c r="A152" s="9"/>
      <c r="B152" s="10"/>
      <c r="C152" s="10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O152" s="10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3" customFormat="1" x14ac:dyDescent="0.3">
      <c r="A153" s="10"/>
      <c r="B153" s="26" t="s">
        <v>107</v>
      </c>
      <c r="C153" s="26"/>
      <c r="D153" s="20">
        <f>D12-D100</f>
        <v>1044058.7100000002</v>
      </c>
      <c r="E153" s="13"/>
      <c r="F153" s="21">
        <f>IF(D$12=0,0,D153/D$12)</f>
        <v>0.61488113478907724</v>
      </c>
      <c r="G153" s="13"/>
      <c r="H153" s="20">
        <f>H12-H100</f>
        <v>237270.65000000008</v>
      </c>
      <c r="I153" s="13"/>
      <c r="J153" s="21">
        <f>IF(H$12=0,0,H153/H$12)</f>
        <v>0.49068758093960163</v>
      </c>
      <c r="K153" s="15"/>
      <c r="L153" s="20">
        <f>+D153-H153</f>
        <v>806788.06</v>
      </c>
      <c r="M153" s="15"/>
      <c r="N153" s="21">
        <f>IF(H153=0,0,L153/H153)</f>
        <v>3.4002859603579281</v>
      </c>
      <c r="O153" s="25"/>
      <c r="P153" s="20">
        <f>P12-P100</f>
        <v>6556934.3600000003</v>
      </c>
      <c r="Q153" s="13"/>
      <c r="R153" s="21">
        <f>IF(P$12=0,0,P153/P$12)</f>
        <v>0.57640371099087417</v>
      </c>
      <c r="S153" s="13"/>
      <c r="T153" s="20">
        <f>T12-T100</f>
        <v>1913490.2400000035</v>
      </c>
      <c r="U153" s="13"/>
      <c r="V153" s="21">
        <f>IF(T$12=0,0,T153/T$12)</f>
        <v>0.37206216654438834</v>
      </c>
      <c r="W153" s="15"/>
      <c r="X153" s="20">
        <f>+P153-T153</f>
        <v>4643444.1199999973</v>
      </c>
      <c r="Y153" s="15"/>
      <c r="Z153" s="21">
        <f>IF(T153=0,0,X153/T153)</f>
        <v>2.4266881653914205</v>
      </c>
    </row>
    <row r="154" spans="1:26" x14ac:dyDescent="0.3">
      <c r="A154" s="9"/>
      <c r="B154" s="10"/>
      <c r="C154" s="9"/>
      <c r="D154" s="1"/>
      <c r="E154" s="1"/>
      <c r="F154" s="5"/>
      <c r="G154" s="1"/>
      <c r="H154" s="1"/>
      <c r="I154" s="1"/>
      <c r="J154" s="5"/>
      <c r="K154" s="1"/>
      <c r="L154" s="1"/>
      <c r="M154" s="1"/>
      <c r="N154" s="5"/>
      <c r="O154" s="37"/>
      <c r="P154" s="1"/>
      <c r="Q154" s="1"/>
      <c r="R154" s="5"/>
      <c r="S154" s="1"/>
      <c r="T154" s="1"/>
      <c r="U154" s="1"/>
      <c r="V154" s="5"/>
      <c r="W154" s="1"/>
      <c r="X154" s="1"/>
      <c r="Y154" s="1"/>
      <c r="Z154" s="5"/>
    </row>
    <row r="155" spans="1:26" s="23" customFormat="1" x14ac:dyDescent="0.3">
      <c r="A155" s="10"/>
      <c r="B155" s="25" t="s">
        <v>294</v>
      </c>
      <c r="C155" s="10"/>
      <c r="D155" s="22">
        <f>SUM(OSRRefD22x_0)</f>
        <v>962901.26999999979</v>
      </c>
      <c r="E155" s="22"/>
      <c r="F155" s="34">
        <f t="shared" ref="F155:F166" si="30">IF(D$12=0,0,D155/D$12)</f>
        <v>0.56708480080343704</v>
      </c>
      <c r="G155" s="22"/>
      <c r="H155" s="22">
        <f>SUM(OSRRefH22x_0)</f>
        <v>667513.45000000007</v>
      </c>
      <c r="I155" s="22"/>
      <c r="J155" s="34">
        <f t="shared" ref="J155:J166" si="31">IF(H$12=0,0,H155/H$12)</f>
        <v>1.3804512274280349</v>
      </c>
      <c r="K155" s="4"/>
      <c r="L155" s="22">
        <f t="shared" ref="L155:L166" si="32">+D155-H155</f>
        <v>295387.81999999972</v>
      </c>
      <c r="M155" s="4"/>
      <c r="N155" s="34">
        <f t="shared" ref="N155:N166" si="33">IF(H155=0,0,L155/H155)</f>
        <v>0.442519652600258</v>
      </c>
      <c r="O155" s="10"/>
      <c r="P155" s="22">
        <f>SUM(OSRRefP22x_0)</f>
        <v>6102400.6200000001</v>
      </c>
      <c r="Q155" s="22"/>
      <c r="R155" s="34">
        <f t="shared" ref="R155:R166" si="34">IF(P$12=0,0,P155/P$12)</f>
        <v>0.53644678598262052</v>
      </c>
      <c r="S155" s="22"/>
      <c r="T155" s="22">
        <f>SUM(OSRRefT22x_0)</f>
        <v>4223667.6599999992</v>
      </c>
      <c r="U155" s="22"/>
      <c r="V155" s="34">
        <f t="shared" ref="V155:V166" si="35">IF(T$12=0,0,T155/T$12)</f>
        <v>0.82125683606468969</v>
      </c>
      <c r="W155" s="4"/>
      <c r="X155" s="22">
        <f t="shared" ref="X155:X166" si="36">+P155-T155</f>
        <v>1878732.9600000009</v>
      </c>
      <c r="Y155" s="4"/>
      <c r="Z155" s="34">
        <f t="shared" ref="Z155:Z166" si="37">IF(T155=0,0,X155/T155)</f>
        <v>0.44481079271279628</v>
      </c>
    </row>
    <row r="156" spans="1:26" s="29" customFormat="1" outlineLevel="1" collapsed="1" x14ac:dyDescent="0.3">
      <c r="A156" s="27"/>
      <c r="B156" s="14" t="str">
        <f>CONCATENATE("     ","*Benefits                                         ")</f>
        <v xml:space="preserve">     *Benefits                                         </v>
      </c>
      <c r="C156" s="14"/>
      <c r="D156" s="1">
        <f>SUM(OSRRefD22_0x_0)</f>
        <v>167279.97</v>
      </c>
      <c r="E156" s="1"/>
      <c r="F156" s="5">
        <f t="shared" si="30"/>
        <v>9.8516775729099351E-2</v>
      </c>
      <c r="G156" s="1"/>
      <c r="H156" s="1">
        <f>SUM(OSRRefH22_0x_0)</f>
        <v>149567.71000000002</v>
      </c>
      <c r="I156" s="1"/>
      <c r="J156" s="5">
        <f t="shared" si="31"/>
        <v>0.30931351099082777</v>
      </c>
      <c r="K156" s="1"/>
      <c r="L156" s="1">
        <f t="shared" si="32"/>
        <v>17712.25999999998</v>
      </c>
      <c r="M156" s="1"/>
      <c r="N156" s="5">
        <f t="shared" si="33"/>
        <v>0.11842302058378762</v>
      </c>
      <c r="O156" s="14"/>
      <c r="P156" s="1">
        <f>SUM(OSRRefP22_0x_0)</f>
        <v>1027633.8900000001</v>
      </c>
      <c r="Q156" s="1"/>
      <c r="R156" s="5">
        <f t="shared" si="34"/>
        <v>9.0336726771196141E-2</v>
      </c>
      <c r="S156" s="1"/>
      <c r="T156" s="1">
        <f>SUM(OSRRefT22_0x_0)</f>
        <v>943831.68999999971</v>
      </c>
      <c r="U156" s="1"/>
      <c r="V156" s="5">
        <f t="shared" si="35"/>
        <v>0.18352017485840469</v>
      </c>
      <c r="W156" s="1"/>
      <c r="X156" s="1">
        <f t="shared" si="36"/>
        <v>83802.200000000419</v>
      </c>
      <c r="Y156" s="1"/>
      <c r="Z156" s="5">
        <f t="shared" si="37"/>
        <v>8.8789347600736354E-2</v>
      </c>
    </row>
    <row r="157" spans="1:26" s="24" customFormat="1" hidden="1" outlineLevel="2" x14ac:dyDescent="0.3">
      <c r="A157" s="28"/>
      <c r="B157" s="11" t="str">
        <f>CONCATENATE("          ", "6111", " - ", "F.I.C.A.")</f>
        <v xml:space="preserve">          6111 - F.I.C.A.</v>
      </c>
      <c r="C157" s="11"/>
      <c r="D157" s="6">
        <v>24199.27</v>
      </c>
      <c r="E157" s="2"/>
      <c r="F157" s="7">
        <f t="shared" si="30"/>
        <v>1.4251760419361159E-2</v>
      </c>
      <c r="G157" s="2"/>
      <c r="H157" s="6">
        <v>17455.38</v>
      </c>
      <c r="I157" s="2"/>
      <c r="J157" s="7">
        <f t="shared" si="31"/>
        <v>3.6098599580611852E-2</v>
      </c>
      <c r="K157" s="2"/>
      <c r="L157" s="6">
        <f t="shared" si="32"/>
        <v>6743.8899999999994</v>
      </c>
      <c r="M157" s="2"/>
      <c r="N157" s="7">
        <f t="shared" si="33"/>
        <v>0.38635022554650766</v>
      </c>
      <c r="O157" s="11"/>
      <c r="P157" s="6">
        <v>166348.93</v>
      </c>
      <c r="Q157" s="2"/>
      <c r="R157" s="7">
        <f t="shared" si="34"/>
        <v>1.4623318658837564E-2</v>
      </c>
      <c r="S157" s="2"/>
      <c r="T157" s="6">
        <v>133858.97</v>
      </c>
      <c r="U157" s="2"/>
      <c r="V157" s="7">
        <f t="shared" si="35"/>
        <v>2.6027756686963915E-2</v>
      </c>
      <c r="W157" s="2"/>
      <c r="X157" s="6">
        <f t="shared" si="36"/>
        <v>32489.959999999992</v>
      </c>
      <c r="Y157" s="2"/>
      <c r="Z157" s="7">
        <f t="shared" si="37"/>
        <v>0.24271783952917009</v>
      </c>
    </row>
    <row r="158" spans="1:26" s="24" customFormat="1" hidden="1" outlineLevel="2" x14ac:dyDescent="0.3">
      <c r="A158" s="28"/>
      <c r="B158" s="11" t="str">
        <f>CONCATENATE("          ", "6112", " - ", "COMPENSATION INSURANCE")</f>
        <v xml:space="preserve">          6112 - COMPENSATION INSURANCE</v>
      </c>
      <c r="C158" s="11"/>
      <c r="D158" s="6">
        <v>12894.97</v>
      </c>
      <c r="E158" s="2"/>
      <c r="F158" s="7">
        <f t="shared" si="30"/>
        <v>7.5942796230981163E-3</v>
      </c>
      <c r="G158" s="2"/>
      <c r="H158" s="6">
        <v>12807.21</v>
      </c>
      <c r="I158" s="2"/>
      <c r="J158" s="7">
        <f t="shared" si="31"/>
        <v>2.6485951353382615E-2</v>
      </c>
      <c r="K158" s="2"/>
      <c r="L158" s="6">
        <f t="shared" si="32"/>
        <v>87.760000000000218</v>
      </c>
      <c r="M158" s="2"/>
      <c r="N158" s="7">
        <f t="shared" si="33"/>
        <v>6.8523901770955751E-3</v>
      </c>
      <c r="O158" s="11"/>
      <c r="P158" s="6">
        <v>74173.83</v>
      </c>
      <c r="Q158" s="2"/>
      <c r="R158" s="7">
        <f t="shared" si="34"/>
        <v>6.5204360030235572E-3</v>
      </c>
      <c r="S158" s="2"/>
      <c r="T158" s="6">
        <v>57230.2</v>
      </c>
      <c r="U158" s="2"/>
      <c r="V158" s="7">
        <f t="shared" si="35"/>
        <v>1.1127933531434481E-2</v>
      </c>
      <c r="W158" s="2"/>
      <c r="X158" s="6">
        <f t="shared" si="36"/>
        <v>16943.630000000005</v>
      </c>
      <c r="Y158" s="2"/>
      <c r="Z158" s="7">
        <f t="shared" si="37"/>
        <v>0.29606099576796874</v>
      </c>
    </row>
    <row r="159" spans="1:26" s="24" customFormat="1" hidden="1" outlineLevel="2" x14ac:dyDescent="0.3">
      <c r="A159" s="28"/>
      <c r="B159" s="11" t="str">
        <f>CONCATENATE("          ", "6113", " - ", "GROUP INSURANCE")</f>
        <v xml:space="preserve">          6113 - GROUP INSURANCE</v>
      </c>
      <c r="C159" s="11"/>
      <c r="D159" s="6">
        <v>75380.06</v>
      </c>
      <c r="E159" s="2"/>
      <c r="F159" s="7">
        <f t="shared" si="30"/>
        <v>4.439384144716222E-2</v>
      </c>
      <c r="G159" s="2"/>
      <c r="H159" s="6">
        <v>74273.73</v>
      </c>
      <c r="I159" s="2"/>
      <c r="J159" s="7">
        <f t="shared" si="31"/>
        <v>0.15360179146076897</v>
      </c>
      <c r="K159" s="2"/>
      <c r="L159" s="6">
        <f t="shared" si="32"/>
        <v>1106.3300000000017</v>
      </c>
      <c r="M159" s="2"/>
      <c r="N159" s="7">
        <f t="shared" si="33"/>
        <v>1.489530686017791E-2</v>
      </c>
      <c r="O159" s="11"/>
      <c r="P159" s="6">
        <v>450861.79</v>
      </c>
      <c r="Q159" s="2"/>
      <c r="R159" s="7">
        <f t="shared" si="34"/>
        <v>3.9634133061534592E-2</v>
      </c>
      <c r="S159" s="2"/>
      <c r="T159" s="6">
        <v>448606.98</v>
      </c>
      <c r="U159" s="2"/>
      <c r="V159" s="7">
        <f t="shared" si="35"/>
        <v>8.7227873660716854E-2</v>
      </c>
      <c r="W159" s="2"/>
      <c r="X159" s="6">
        <f t="shared" si="36"/>
        <v>2254.8099999999977</v>
      </c>
      <c r="Y159" s="2"/>
      <c r="Z159" s="7">
        <f t="shared" si="37"/>
        <v>5.0262481426392377E-3</v>
      </c>
    </row>
    <row r="160" spans="1:26" s="24" customFormat="1" hidden="1" outlineLevel="2" x14ac:dyDescent="0.3">
      <c r="A160" s="28"/>
      <c r="B160" s="11" t="str">
        <f>CONCATENATE("          ", "6114", " - ", "STATE UNEMPLOYMENT INSURANCE")</f>
        <v xml:space="preserve">          6114 - STATE UNEMPLOYMENT INSURANCE</v>
      </c>
      <c r="C160" s="11"/>
      <c r="D160" s="6">
        <v>1239.96</v>
      </c>
      <c r="E160" s="2"/>
      <c r="F160" s="7">
        <f t="shared" si="30"/>
        <v>7.3025396425557723E-4</v>
      </c>
      <c r="G160" s="2"/>
      <c r="H160" s="6"/>
      <c r="I160" s="2"/>
      <c r="J160" s="7">
        <f t="shared" si="31"/>
        <v>0</v>
      </c>
      <c r="K160" s="2"/>
      <c r="L160" s="6">
        <f t="shared" si="32"/>
        <v>1239.96</v>
      </c>
      <c r="M160" s="2"/>
      <c r="N160" s="7">
        <f t="shared" si="33"/>
        <v>0</v>
      </c>
      <c r="O160" s="11"/>
      <c r="P160" s="6">
        <v>7420.01</v>
      </c>
      <c r="Q160" s="2"/>
      <c r="R160" s="7">
        <f t="shared" si="34"/>
        <v>6.5227453330635383E-4</v>
      </c>
      <c r="S160" s="2"/>
      <c r="T160" s="6">
        <v>4565.84</v>
      </c>
      <c r="U160" s="2"/>
      <c r="V160" s="7">
        <f t="shared" si="35"/>
        <v>8.8778938454111319E-4</v>
      </c>
      <c r="W160" s="2"/>
      <c r="X160" s="6">
        <f t="shared" si="36"/>
        <v>2854.17</v>
      </c>
      <c r="Y160" s="2"/>
      <c r="Z160" s="7">
        <f t="shared" si="37"/>
        <v>0.62511388922958311</v>
      </c>
    </row>
    <row r="161" spans="1:26" s="24" customFormat="1" hidden="1" outlineLevel="2" x14ac:dyDescent="0.3">
      <c r="A161" s="28"/>
      <c r="B161" s="11" t="str">
        <f>CONCATENATE("          ", "6115", " - ", "P.E.R.S.")</f>
        <v xml:space="preserve">          6115 - P.E.R.S.</v>
      </c>
      <c r="C161" s="11"/>
      <c r="D161" s="6">
        <v>14175.76</v>
      </c>
      <c r="E161" s="2"/>
      <c r="F161" s="7">
        <f t="shared" si="30"/>
        <v>8.3485797415526648E-3</v>
      </c>
      <c r="G161" s="2"/>
      <c r="H161" s="6">
        <v>13525.61</v>
      </c>
      <c r="I161" s="2"/>
      <c r="J161" s="7">
        <f t="shared" si="31"/>
        <v>2.7971638513370631E-2</v>
      </c>
      <c r="K161" s="2"/>
      <c r="L161" s="6">
        <f t="shared" si="32"/>
        <v>650.14999999999964</v>
      </c>
      <c r="M161" s="2"/>
      <c r="N161" s="7">
        <f t="shared" si="33"/>
        <v>4.8068072345720421E-2</v>
      </c>
      <c r="O161" s="11"/>
      <c r="P161" s="6">
        <v>93584.49</v>
      </c>
      <c r="Q161" s="2"/>
      <c r="R161" s="7">
        <f t="shared" si="34"/>
        <v>8.2267786080427296E-3</v>
      </c>
      <c r="S161" s="2"/>
      <c r="T161" s="6">
        <v>95424.63</v>
      </c>
      <c r="U161" s="2"/>
      <c r="V161" s="7">
        <f t="shared" si="35"/>
        <v>1.8554520863140942E-2</v>
      </c>
      <c r="W161" s="2"/>
      <c r="X161" s="6">
        <f t="shared" si="36"/>
        <v>-1840.1399999999994</v>
      </c>
      <c r="Y161" s="2"/>
      <c r="Z161" s="7">
        <f t="shared" si="37"/>
        <v>-1.92837006546423E-2</v>
      </c>
    </row>
    <row r="162" spans="1:26" s="24" customFormat="1" hidden="1" outlineLevel="2" x14ac:dyDescent="0.3">
      <c r="A162" s="28"/>
      <c r="B162" s="11" t="str">
        <f>CONCATENATE("          ", "6116", " - ", "EDUCATIONAL BENEFITS")</f>
        <v xml:space="preserve">          6116 - EDUCATIONAL BENEFITS</v>
      </c>
      <c r="C162" s="11"/>
      <c r="D162" s="6"/>
      <c r="E162" s="2"/>
      <c r="F162" s="7">
        <f t="shared" si="30"/>
        <v>0</v>
      </c>
      <c r="G162" s="2"/>
      <c r="H162" s="6"/>
      <c r="I162" s="2"/>
      <c r="J162" s="7">
        <f t="shared" si="31"/>
        <v>0</v>
      </c>
      <c r="K162" s="2"/>
      <c r="L162" s="6">
        <f t="shared" si="32"/>
        <v>0</v>
      </c>
      <c r="M162" s="2"/>
      <c r="N162" s="7">
        <f t="shared" si="33"/>
        <v>0</v>
      </c>
      <c r="O162" s="11"/>
      <c r="P162" s="6"/>
      <c r="Q162" s="2"/>
      <c r="R162" s="7">
        <f t="shared" si="34"/>
        <v>0</v>
      </c>
      <c r="S162" s="2"/>
      <c r="T162" s="6">
        <v>0</v>
      </c>
      <c r="U162" s="2"/>
      <c r="V162" s="7">
        <f t="shared" si="35"/>
        <v>0</v>
      </c>
      <c r="W162" s="2"/>
      <c r="X162" s="6">
        <f t="shared" si="36"/>
        <v>0</v>
      </c>
      <c r="Y162" s="2"/>
      <c r="Z162" s="7">
        <f t="shared" si="37"/>
        <v>0</v>
      </c>
    </row>
    <row r="163" spans="1:26" s="24" customFormat="1" hidden="1" outlineLevel="2" x14ac:dyDescent="0.3">
      <c r="A163" s="28"/>
      <c r="B163" s="11" t="str">
        <f>CONCATENATE("          ", "6117", " - ", "RETIREMENT STAFF HOURLY")</f>
        <v xml:space="preserve">          6117 - RETIREMENT STAFF HOURLY</v>
      </c>
      <c r="C163" s="11"/>
      <c r="D163" s="6">
        <v>2364.52</v>
      </c>
      <c r="E163" s="2"/>
      <c r="F163" s="7">
        <f t="shared" si="30"/>
        <v>1.3925450043240084E-3</v>
      </c>
      <c r="G163" s="2"/>
      <c r="H163" s="6">
        <v>2029.24</v>
      </c>
      <c r="I163" s="2"/>
      <c r="J163" s="7">
        <f t="shared" si="31"/>
        <v>4.1965698949527758E-3</v>
      </c>
      <c r="K163" s="2"/>
      <c r="L163" s="6">
        <f t="shared" si="32"/>
        <v>335.28</v>
      </c>
      <c r="M163" s="2"/>
      <c r="N163" s="7">
        <f t="shared" si="33"/>
        <v>0.16522441899430326</v>
      </c>
      <c r="O163" s="11"/>
      <c r="P163" s="6">
        <v>13436.45</v>
      </c>
      <c r="Q163" s="2"/>
      <c r="R163" s="7">
        <f t="shared" si="34"/>
        <v>1.1811647360373044E-3</v>
      </c>
      <c r="S163" s="2"/>
      <c r="T163" s="6">
        <v>12396.57</v>
      </c>
      <c r="U163" s="2"/>
      <c r="V163" s="7">
        <f t="shared" si="35"/>
        <v>2.4104093114784633E-3</v>
      </c>
      <c r="W163" s="2"/>
      <c r="X163" s="6">
        <f t="shared" si="36"/>
        <v>1039.880000000001</v>
      </c>
      <c r="Y163" s="2"/>
      <c r="Z163" s="7">
        <f t="shared" si="37"/>
        <v>8.3884493855961847E-2</v>
      </c>
    </row>
    <row r="164" spans="1:26" s="24" customFormat="1" hidden="1" outlineLevel="2" x14ac:dyDescent="0.3">
      <c r="A164" s="28"/>
      <c r="B164" s="11" t="str">
        <f>CONCATENATE("          ", "6118", " - ", "VACATION")</f>
        <v xml:space="preserve">          6118 - VACATION</v>
      </c>
      <c r="C164" s="11"/>
      <c r="D164" s="6">
        <v>16766.78</v>
      </c>
      <c r="E164" s="2"/>
      <c r="F164" s="7">
        <f t="shared" si="30"/>
        <v>9.874518180264788E-3</v>
      </c>
      <c r="G164" s="2"/>
      <c r="H164" s="6">
        <v>15483.12</v>
      </c>
      <c r="I164" s="2"/>
      <c r="J164" s="7">
        <f t="shared" si="31"/>
        <v>3.201986717783073E-2</v>
      </c>
      <c r="K164" s="2"/>
      <c r="L164" s="6">
        <f t="shared" si="32"/>
        <v>1283.659999999998</v>
      </c>
      <c r="M164" s="2"/>
      <c r="N164" s="7">
        <f t="shared" si="33"/>
        <v>8.2907062659205513E-2</v>
      </c>
      <c r="O164" s="11"/>
      <c r="P164" s="6">
        <v>102433.16</v>
      </c>
      <c r="Q164" s="2"/>
      <c r="R164" s="7">
        <f t="shared" si="34"/>
        <v>9.0046430711137951E-3</v>
      </c>
      <c r="S164" s="2"/>
      <c r="T164" s="6">
        <v>96895.22</v>
      </c>
      <c r="U164" s="2"/>
      <c r="V164" s="7">
        <f t="shared" si="35"/>
        <v>1.8840464783867975E-2</v>
      </c>
      <c r="W164" s="2"/>
      <c r="X164" s="6">
        <f t="shared" si="36"/>
        <v>5537.9400000000023</v>
      </c>
      <c r="Y164" s="2"/>
      <c r="Z164" s="7">
        <f t="shared" si="37"/>
        <v>5.7153902947947303E-2</v>
      </c>
    </row>
    <row r="165" spans="1:26" s="24" customFormat="1" hidden="1" outlineLevel="2" x14ac:dyDescent="0.3">
      <c r="A165" s="28"/>
      <c r="B165" s="11" t="str">
        <f>CONCATENATE("          ", "6119", " - ", "SICK LEAVE")</f>
        <v xml:space="preserve">          6119 - SICK LEAVE</v>
      </c>
      <c r="C165" s="11"/>
      <c r="D165" s="6">
        <v>12175.46</v>
      </c>
      <c r="E165" s="2"/>
      <c r="F165" s="7">
        <f t="shared" si="30"/>
        <v>7.1705360911926272E-3</v>
      </c>
      <c r="G165" s="2"/>
      <c r="H165" s="6">
        <v>10174.76</v>
      </c>
      <c r="I165" s="2"/>
      <c r="J165" s="7">
        <f t="shared" si="31"/>
        <v>2.1041912984353605E-2</v>
      </c>
      <c r="K165" s="2"/>
      <c r="L165" s="6">
        <f t="shared" si="32"/>
        <v>2000.6999999999989</v>
      </c>
      <c r="M165" s="2"/>
      <c r="N165" s="7">
        <f t="shared" si="33"/>
        <v>0.1966336306704039</v>
      </c>
      <c r="O165" s="11"/>
      <c r="P165" s="6">
        <v>72972.92</v>
      </c>
      <c r="Q165" s="2"/>
      <c r="R165" s="7">
        <f t="shared" si="34"/>
        <v>6.414867006513723E-3</v>
      </c>
      <c r="S165" s="2"/>
      <c r="T165" s="6">
        <v>65481.57</v>
      </c>
      <c r="U165" s="2"/>
      <c r="V165" s="7">
        <f t="shared" si="35"/>
        <v>1.2732343386777858E-2</v>
      </c>
      <c r="W165" s="2"/>
      <c r="X165" s="6">
        <f t="shared" si="36"/>
        <v>7491.3499999999985</v>
      </c>
      <c r="Y165" s="2"/>
      <c r="Z165" s="7">
        <f t="shared" si="37"/>
        <v>0.11440394602633991</v>
      </c>
    </row>
    <row r="166" spans="1:26" s="24" customFormat="1" hidden="1" outlineLevel="2" x14ac:dyDescent="0.3">
      <c r="A166" s="28"/>
      <c r="B166" s="11" t="str">
        <f>CONCATENATE("          ", "6156", " - ", "EMPLOYEE MEALS")</f>
        <v xml:space="preserve">          6156 - EMPLOYEE MEALS</v>
      </c>
      <c r="C166" s="11"/>
      <c r="D166" s="6">
        <v>8083.19</v>
      </c>
      <c r="E166" s="2"/>
      <c r="F166" s="7">
        <f t="shared" si="30"/>
        <v>4.7604612578881897E-3</v>
      </c>
      <c r="G166" s="2"/>
      <c r="H166" s="6">
        <v>3818.66</v>
      </c>
      <c r="I166" s="2"/>
      <c r="J166" s="7">
        <f t="shared" si="31"/>
        <v>7.8971800255565466E-3</v>
      </c>
      <c r="K166" s="2"/>
      <c r="L166" s="6">
        <f t="shared" si="32"/>
        <v>4264.53</v>
      </c>
      <c r="M166" s="2"/>
      <c r="N166" s="7">
        <f t="shared" si="33"/>
        <v>1.1167608532836126</v>
      </c>
      <c r="O166" s="11"/>
      <c r="P166" s="6">
        <v>46402.31</v>
      </c>
      <c r="Q166" s="2"/>
      <c r="R166" s="7">
        <f t="shared" si="34"/>
        <v>4.0791110927864997E-3</v>
      </c>
      <c r="S166" s="2"/>
      <c r="T166" s="6">
        <v>29371.71</v>
      </c>
      <c r="U166" s="2"/>
      <c r="V166" s="7">
        <f t="shared" si="35"/>
        <v>5.7110832494831308E-3</v>
      </c>
      <c r="W166" s="2"/>
      <c r="X166" s="6">
        <f t="shared" si="36"/>
        <v>17030.599999999999</v>
      </c>
      <c r="Y166" s="2"/>
      <c r="Z166" s="7">
        <f t="shared" si="37"/>
        <v>0.5798300473482817</v>
      </c>
    </row>
    <row r="167" spans="1:26" s="29" customFormat="1" outlineLevel="1" collapsed="1" x14ac:dyDescent="0.3">
      <c r="A167" s="27"/>
      <c r="B167" s="14" t="str">
        <f>CONCATENATE("     ","*Payroll                                          ")</f>
        <v xml:space="preserve">     *Payroll                                          </v>
      </c>
      <c r="C167" s="14"/>
      <c r="D167" s="1">
        <f>SUM(OSRRefD22_1x_0)</f>
        <v>485371.56</v>
      </c>
      <c r="E167" s="1"/>
      <c r="F167" s="5">
        <f t="shared" ref="F167:F174" si="38">IF(D$12=0,0,D167/D$12)</f>
        <v>0.28585156442700876</v>
      </c>
      <c r="G167" s="1"/>
      <c r="H167" s="1">
        <f>SUM(OSRRefH22_1x_0)</f>
        <v>257345.03</v>
      </c>
      <c r="I167" s="1"/>
      <c r="J167" s="5">
        <f t="shared" ref="J167:J174" si="39">IF(H$12=0,0,H167/H$12)</f>
        <v>0.53220240361599369</v>
      </c>
      <c r="K167" s="1"/>
      <c r="L167" s="1">
        <f t="shared" ref="L167:L174" si="40">+D167-H167</f>
        <v>228026.53</v>
      </c>
      <c r="M167" s="1"/>
      <c r="N167" s="5">
        <f t="shared" ref="N167:N174" si="41">IF(H167=0,0,L167/H167)</f>
        <v>0.88607318353884668</v>
      </c>
      <c r="O167" s="14"/>
      <c r="P167" s="1">
        <f>SUM(OSRRefP22_1x_0)</f>
        <v>2855216.45</v>
      </c>
      <c r="Q167" s="1"/>
      <c r="R167" s="5">
        <f t="shared" ref="R167:R174" si="42">IF(P$12=0,0,P167/P$12)</f>
        <v>0.25099494170659803</v>
      </c>
      <c r="S167" s="1"/>
      <c r="T167" s="1">
        <f>SUM(OSRRefT22_1x_0)</f>
        <v>1724274.0599999998</v>
      </c>
      <c r="U167" s="1"/>
      <c r="V167" s="5">
        <f t="shared" ref="V167:V174" si="43">IF(T$12=0,0,T167/T$12)</f>
        <v>0.33527066355974067</v>
      </c>
      <c r="W167" s="1"/>
      <c r="X167" s="1">
        <f t="shared" ref="X167:X174" si="44">+P167-T167</f>
        <v>1130942.3900000004</v>
      </c>
      <c r="Y167" s="1"/>
      <c r="Z167" s="5">
        <f t="shared" ref="Z167:Z174" si="45">IF(T167=0,0,X167/T167)</f>
        <v>0.65589480015723278</v>
      </c>
    </row>
    <row r="168" spans="1:26" s="24" customFormat="1" hidden="1" outlineLevel="2" x14ac:dyDescent="0.3">
      <c r="A168" s="28"/>
      <c r="B168" s="11" t="str">
        <f>CONCATENATE("          ", "6001", " - ", "ADMINISTRATIVE SALARIES")</f>
        <v xml:space="preserve">          6001 - ADMINISTRATIVE SALARIES</v>
      </c>
      <c r="C168" s="11"/>
      <c r="D168" s="6">
        <v>29105</v>
      </c>
      <c r="E168" s="2"/>
      <c r="F168" s="7">
        <f t="shared" si="38"/>
        <v>1.7140909085501609E-2</v>
      </c>
      <c r="G168" s="2"/>
      <c r="H168" s="6">
        <v>24449.32</v>
      </c>
      <c r="I168" s="2"/>
      <c r="J168" s="7">
        <f t="shared" si="39"/>
        <v>5.0562417586912739E-2</v>
      </c>
      <c r="K168" s="2"/>
      <c r="L168" s="6">
        <f t="shared" si="40"/>
        <v>4655.68</v>
      </c>
      <c r="M168" s="2"/>
      <c r="N168" s="7">
        <f t="shared" si="41"/>
        <v>0.19042165589881438</v>
      </c>
      <c r="O168" s="11"/>
      <c r="P168" s="6">
        <v>176285.53</v>
      </c>
      <c r="Q168" s="2"/>
      <c r="R168" s="7">
        <f t="shared" si="42"/>
        <v>1.5496820329004036E-2</v>
      </c>
      <c r="S168" s="2"/>
      <c r="T168" s="6">
        <v>166527.06</v>
      </c>
      <c r="U168" s="2"/>
      <c r="V168" s="7">
        <f t="shared" si="43"/>
        <v>3.2379793445859034E-2</v>
      </c>
      <c r="W168" s="2"/>
      <c r="X168" s="6">
        <f t="shared" si="44"/>
        <v>9758.4700000000012</v>
      </c>
      <c r="Y168" s="2"/>
      <c r="Z168" s="7">
        <f t="shared" si="45"/>
        <v>5.8599905624947692E-2</v>
      </c>
    </row>
    <row r="169" spans="1:26" s="24" customFormat="1" hidden="1" outlineLevel="2" x14ac:dyDescent="0.3">
      <c r="A169" s="28"/>
      <c r="B169" s="11" t="str">
        <f>CONCATENATE("          ", "6002", " - ", "STAFF SALARIES")</f>
        <v xml:space="preserve">          6002 - STAFF SALARIES</v>
      </c>
      <c r="C169" s="11"/>
      <c r="D169" s="6">
        <v>113478.97</v>
      </c>
      <c r="E169" s="2"/>
      <c r="F169" s="7">
        <f t="shared" si="38"/>
        <v>6.6831565294154432E-2</v>
      </c>
      <c r="G169" s="2"/>
      <c r="H169" s="6">
        <v>102039.22</v>
      </c>
      <c r="I169" s="2"/>
      <c r="J169" s="7">
        <f t="shared" si="39"/>
        <v>0.21102221460076837</v>
      </c>
      <c r="K169" s="2"/>
      <c r="L169" s="6">
        <f t="shared" si="40"/>
        <v>11439.75</v>
      </c>
      <c r="M169" s="2"/>
      <c r="N169" s="7">
        <f t="shared" si="41"/>
        <v>0.11211130386923773</v>
      </c>
      <c r="O169" s="11"/>
      <c r="P169" s="6">
        <v>724442.39</v>
      </c>
      <c r="Q169" s="2"/>
      <c r="R169" s="7">
        <f t="shared" si="42"/>
        <v>6.3683919812047365E-2</v>
      </c>
      <c r="S169" s="2"/>
      <c r="T169" s="6">
        <v>665150.51</v>
      </c>
      <c r="U169" s="2"/>
      <c r="V169" s="7">
        <f t="shared" si="43"/>
        <v>0.12933295119848867</v>
      </c>
      <c r="W169" s="2"/>
      <c r="X169" s="6">
        <f t="shared" si="44"/>
        <v>59291.880000000005</v>
      </c>
      <c r="Y169" s="2"/>
      <c r="Z169" s="7">
        <f t="shared" si="45"/>
        <v>8.9140546550885158E-2</v>
      </c>
    </row>
    <row r="170" spans="1:26" s="24" customFormat="1" hidden="1" outlineLevel="2" x14ac:dyDescent="0.3">
      <c r="A170" s="28"/>
      <c r="B170" s="11" t="str">
        <f>CONCATENATE("          ", "6004", " - ", "STAFF HOURLY")</f>
        <v xml:space="preserve">          6004 - STAFF HOURLY</v>
      </c>
      <c r="C170" s="11"/>
      <c r="D170" s="6">
        <v>105744.75</v>
      </c>
      <c r="E170" s="2"/>
      <c r="F170" s="7">
        <f t="shared" si="38"/>
        <v>6.2276624154581559E-2</v>
      </c>
      <c r="G170" s="2"/>
      <c r="H170" s="6">
        <v>57921.77</v>
      </c>
      <c r="I170" s="2"/>
      <c r="J170" s="7">
        <f t="shared" si="39"/>
        <v>0.11978511967257637</v>
      </c>
      <c r="K170" s="2"/>
      <c r="L170" s="6">
        <f t="shared" si="40"/>
        <v>47822.98</v>
      </c>
      <c r="M170" s="2"/>
      <c r="N170" s="7">
        <f t="shared" si="41"/>
        <v>0.82564776594361677</v>
      </c>
      <c r="O170" s="11"/>
      <c r="P170" s="6">
        <v>679208.73</v>
      </c>
      <c r="Q170" s="2"/>
      <c r="R170" s="7">
        <f t="shared" si="42"/>
        <v>5.9707541819802298E-2</v>
      </c>
      <c r="S170" s="2"/>
      <c r="T170" s="6">
        <v>408214.46</v>
      </c>
      <c r="U170" s="2"/>
      <c r="V170" s="7">
        <f t="shared" si="43"/>
        <v>7.9373886120447254E-2</v>
      </c>
      <c r="W170" s="2"/>
      <c r="X170" s="6">
        <f t="shared" si="44"/>
        <v>270994.26999999996</v>
      </c>
      <c r="Y170" s="2"/>
      <c r="Z170" s="7">
        <f t="shared" si="45"/>
        <v>0.66385269644784251</v>
      </c>
    </row>
    <row r="171" spans="1:26" s="24" customFormat="1" hidden="1" outlineLevel="2" x14ac:dyDescent="0.3">
      <c r="A171" s="28"/>
      <c r="B171" s="11" t="str">
        <f>CONCATENATE("          ", "6005", " - ", "TEMPORARY WAGES-HOURLY")</f>
        <v xml:space="preserve">          6005 - TEMPORARY WAGES-HOURLY</v>
      </c>
      <c r="C171" s="11"/>
      <c r="D171" s="6">
        <v>71377.84</v>
      </c>
      <c r="E171" s="2"/>
      <c r="F171" s="7">
        <f t="shared" si="38"/>
        <v>4.203680007419619E-2</v>
      </c>
      <c r="G171" s="2"/>
      <c r="H171" s="6">
        <v>27251.21</v>
      </c>
      <c r="I171" s="2"/>
      <c r="J171" s="7">
        <f t="shared" si="39"/>
        <v>5.6356866357373227E-2</v>
      </c>
      <c r="K171" s="2"/>
      <c r="L171" s="6">
        <f t="shared" si="40"/>
        <v>44126.63</v>
      </c>
      <c r="M171" s="2"/>
      <c r="N171" s="7">
        <f t="shared" si="41"/>
        <v>1.6192539707411158</v>
      </c>
      <c r="O171" s="11"/>
      <c r="P171" s="6">
        <v>421389.34</v>
      </c>
      <c r="Q171" s="2"/>
      <c r="R171" s="7">
        <f t="shared" si="42"/>
        <v>3.7043283646352565E-2</v>
      </c>
      <c r="S171" s="2"/>
      <c r="T171" s="6">
        <v>203842</v>
      </c>
      <c r="U171" s="2"/>
      <c r="V171" s="7">
        <f t="shared" si="43"/>
        <v>3.9635371305965512E-2</v>
      </c>
      <c r="W171" s="2"/>
      <c r="X171" s="6">
        <f t="shared" si="44"/>
        <v>217547.34000000003</v>
      </c>
      <c r="Y171" s="2"/>
      <c r="Z171" s="7">
        <f t="shared" si="45"/>
        <v>1.0672351134702369</v>
      </c>
    </row>
    <row r="172" spans="1:26" s="24" customFormat="1" hidden="1" outlineLevel="2" x14ac:dyDescent="0.3">
      <c r="A172" s="28"/>
      <c r="B172" s="11" t="str">
        <f>CONCATENATE("          ", "6006", " - ", "TEMPORARY PART TIME")</f>
        <v xml:space="preserve">          6006 - TEMPORARY PART TIME</v>
      </c>
      <c r="C172" s="11"/>
      <c r="D172" s="6"/>
      <c r="E172" s="2"/>
      <c r="F172" s="7">
        <f t="shared" si="38"/>
        <v>0</v>
      </c>
      <c r="G172" s="2"/>
      <c r="H172" s="6">
        <v>1432.35</v>
      </c>
      <c r="I172" s="2"/>
      <c r="J172" s="7">
        <f t="shared" si="39"/>
        <v>2.9621714972283262E-3</v>
      </c>
      <c r="K172" s="2"/>
      <c r="L172" s="6">
        <f t="shared" si="40"/>
        <v>-1432.35</v>
      </c>
      <c r="M172" s="2"/>
      <c r="N172" s="7">
        <f t="shared" si="41"/>
        <v>-1</v>
      </c>
      <c r="O172" s="11"/>
      <c r="P172" s="6">
        <v>9877.6200000000008</v>
      </c>
      <c r="Q172" s="2"/>
      <c r="R172" s="7">
        <f t="shared" si="42"/>
        <v>8.6831688578283689E-4</v>
      </c>
      <c r="S172" s="2"/>
      <c r="T172" s="6">
        <v>9987.9599999999991</v>
      </c>
      <c r="U172" s="2"/>
      <c r="V172" s="7">
        <f t="shared" si="43"/>
        <v>1.9420752503857463E-3</v>
      </c>
      <c r="W172" s="2"/>
      <c r="X172" s="6">
        <f t="shared" si="44"/>
        <v>-110.33999999999833</v>
      </c>
      <c r="Y172" s="2"/>
      <c r="Z172" s="7">
        <f t="shared" si="45"/>
        <v>-1.1047300950344048E-2</v>
      </c>
    </row>
    <row r="173" spans="1:26" s="24" customFormat="1" hidden="1" outlineLevel="2" x14ac:dyDescent="0.3">
      <c r="A173" s="28"/>
      <c r="B173" s="11" t="str">
        <f>CONCATENATE("          ", "6007", " - ", "STUDENT HOURLY")</f>
        <v xml:space="preserve">          6007 - STUDENT HOURLY</v>
      </c>
      <c r="C173" s="11"/>
      <c r="D173" s="6">
        <v>126942.64</v>
      </c>
      <c r="E173" s="2"/>
      <c r="F173" s="7">
        <f t="shared" si="38"/>
        <v>7.4760771390261466E-2</v>
      </c>
      <c r="G173" s="2"/>
      <c r="H173" s="6">
        <v>41668.49</v>
      </c>
      <c r="I173" s="2"/>
      <c r="J173" s="7">
        <f t="shared" si="39"/>
        <v>8.617252306387653E-2</v>
      </c>
      <c r="K173" s="2"/>
      <c r="L173" s="6">
        <f t="shared" si="40"/>
        <v>85274.15</v>
      </c>
      <c r="M173" s="2"/>
      <c r="N173" s="7">
        <f t="shared" si="41"/>
        <v>2.0464900455956045</v>
      </c>
      <c r="O173" s="11"/>
      <c r="P173" s="6">
        <v>705010.64</v>
      </c>
      <c r="Q173" s="2"/>
      <c r="R173" s="7">
        <f t="shared" si="42"/>
        <v>6.1975723237841167E-2</v>
      </c>
      <c r="S173" s="2"/>
      <c r="T173" s="6">
        <v>252218.18</v>
      </c>
      <c r="U173" s="2"/>
      <c r="V173" s="7">
        <f t="shared" si="43"/>
        <v>4.904171473207114E-2</v>
      </c>
      <c r="W173" s="2"/>
      <c r="X173" s="6">
        <f t="shared" si="44"/>
        <v>452792.46</v>
      </c>
      <c r="Y173" s="2"/>
      <c r="Z173" s="7">
        <f t="shared" si="45"/>
        <v>1.795241167785764</v>
      </c>
    </row>
    <row r="174" spans="1:26" s="24" customFormat="1" hidden="1" outlineLevel="2" x14ac:dyDescent="0.3">
      <c r="A174" s="28"/>
      <c r="B174" s="11" t="str">
        <f>CONCATENATE("          ", "6008", " - ", "STUDENT HOURLY-FICA EXEMPT")</f>
        <v xml:space="preserve">          6008 - STUDENT HOURLY-FICA EXEMPT</v>
      </c>
      <c r="C174" s="11"/>
      <c r="D174" s="6">
        <v>38722.36</v>
      </c>
      <c r="E174" s="2"/>
      <c r="F174" s="7">
        <f t="shared" si="38"/>
        <v>2.2804894428313488E-2</v>
      </c>
      <c r="G174" s="2"/>
      <c r="H174" s="6">
        <v>2582.67</v>
      </c>
      <c r="I174" s="2"/>
      <c r="J174" s="7">
        <f t="shared" si="39"/>
        <v>5.3410908372581297E-3</v>
      </c>
      <c r="K174" s="2"/>
      <c r="L174" s="6">
        <f t="shared" si="40"/>
        <v>36139.69</v>
      </c>
      <c r="M174" s="2"/>
      <c r="N174" s="7">
        <f t="shared" si="41"/>
        <v>13.993150499289495</v>
      </c>
      <c r="O174" s="11"/>
      <c r="P174" s="6">
        <v>139002.20000000001</v>
      </c>
      <c r="Q174" s="2"/>
      <c r="R174" s="7">
        <f t="shared" si="42"/>
        <v>1.2219335975767751E-2</v>
      </c>
      <c r="S174" s="2"/>
      <c r="T174" s="6">
        <v>18333.89</v>
      </c>
      <c r="U174" s="2"/>
      <c r="V174" s="7">
        <f t="shared" si="43"/>
        <v>3.5648715065233275E-3</v>
      </c>
      <c r="W174" s="2"/>
      <c r="X174" s="6">
        <f t="shared" si="44"/>
        <v>120668.31000000001</v>
      </c>
      <c r="Y174" s="2"/>
      <c r="Z174" s="7">
        <f t="shared" si="45"/>
        <v>6.5817079735942574</v>
      </c>
    </row>
    <row r="175" spans="1:26" s="29" customFormat="1" outlineLevel="1" collapsed="1" x14ac:dyDescent="0.3">
      <c r="A175" s="27"/>
      <c r="B175" s="14" t="str">
        <f>CONCATENATE("     ","Advertising/Promo                                 ")</f>
        <v xml:space="preserve">     Advertising/Promo                                 </v>
      </c>
      <c r="C175" s="14"/>
      <c r="D175" s="1">
        <f>SUM(OSRRefD22_2x_0)</f>
        <v>969.95</v>
      </c>
      <c r="E175" s="1"/>
      <c r="F175" s="5">
        <f t="shared" ref="F175:F183" si="46">IF(D$12=0,0,D175/D$12)</f>
        <v>5.7123603392826962E-4</v>
      </c>
      <c r="G175" s="1"/>
      <c r="H175" s="1">
        <f>SUM(OSRRefH22_2x_0)</f>
        <v>351.4</v>
      </c>
      <c r="I175" s="1"/>
      <c r="J175" s="5">
        <f t="shared" ref="J175:J183" si="47">IF(H$12=0,0,H175/H$12)</f>
        <v>7.2671278955983788E-4</v>
      </c>
      <c r="K175" s="1"/>
      <c r="L175" s="1">
        <f t="shared" ref="L175:L183" si="48">+D175-H175</f>
        <v>618.55000000000007</v>
      </c>
      <c r="M175" s="1"/>
      <c r="N175" s="5">
        <f t="shared" ref="N175:N183" si="49">IF(H175=0,0,L175/H175)</f>
        <v>1.7602447353443373</v>
      </c>
      <c r="O175" s="14"/>
      <c r="P175" s="1">
        <f>SUM(OSRRefP22_2x_0)</f>
        <v>9987.66</v>
      </c>
      <c r="Q175" s="1"/>
      <c r="R175" s="5">
        <f t="shared" ref="R175:R183" si="50">IF(P$12=0,0,P175/P$12)</f>
        <v>8.779902271455884E-4</v>
      </c>
      <c r="S175" s="1"/>
      <c r="T175" s="1">
        <f>SUM(OSRRefT22_2x_0)</f>
        <v>16514.34</v>
      </c>
      <c r="U175" s="1"/>
      <c r="V175" s="5">
        <f t="shared" ref="V175:V183" si="51">IF(T$12=0,0,T175/T$12)</f>
        <v>3.2110752336268213E-3</v>
      </c>
      <c r="W175" s="1"/>
      <c r="X175" s="1">
        <f t="shared" ref="X175:X183" si="52">+P175-T175</f>
        <v>-6526.68</v>
      </c>
      <c r="Y175" s="1"/>
      <c r="Z175" s="5">
        <f t="shared" ref="Z175:Z183" si="53">IF(T175=0,0,X175/T175)</f>
        <v>-0.3952128877085006</v>
      </c>
    </row>
    <row r="176" spans="1:26" s="24" customFormat="1" hidden="1" outlineLevel="2" x14ac:dyDescent="0.3">
      <c r="A176" s="28"/>
      <c r="B176" s="11" t="str">
        <f>CONCATENATE("          ", "6362", " - ", "ADVERTISING EXPENSE")</f>
        <v xml:space="preserve">          6362 - ADVERTISING EXPENSE</v>
      </c>
      <c r="C176" s="11"/>
      <c r="D176" s="6">
        <v>969.95</v>
      </c>
      <c r="E176" s="2"/>
      <c r="F176" s="7">
        <f t="shared" si="46"/>
        <v>5.7123603392826962E-4</v>
      </c>
      <c r="G176" s="2"/>
      <c r="H176" s="6">
        <v>351.4</v>
      </c>
      <c r="I176" s="2"/>
      <c r="J176" s="7">
        <f t="shared" si="47"/>
        <v>7.2671278955983788E-4</v>
      </c>
      <c r="K176" s="2"/>
      <c r="L176" s="6">
        <f t="shared" si="48"/>
        <v>618.55000000000007</v>
      </c>
      <c r="M176" s="2"/>
      <c r="N176" s="7">
        <f t="shared" si="49"/>
        <v>1.7602447353443373</v>
      </c>
      <c r="O176" s="11"/>
      <c r="P176" s="6">
        <v>9987.66</v>
      </c>
      <c r="Q176" s="2"/>
      <c r="R176" s="7">
        <f t="shared" si="50"/>
        <v>8.779902271455884E-4</v>
      </c>
      <c r="S176" s="2"/>
      <c r="T176" s="6">
        <v>16514.34</v>
      </c>
      <c r="U176" s="2"/>
      <c r="V176" s="7">
        <f t="shared" si="51"/>
        <v>3.2110752336268213E-3</v>
      </c>
      <c r="W176" s="2"/>
      <c r="X176" s="6">
        <f t="shared" si="52"/>
        <v>-6526.68</v>
      </c>
      <c r="Y176" s="2"/>
      <c r="Z176" s="7">
        <f t="shared" si="53"/>
        <v>-0.3952128877085006</v>
      </c>
    </row>
    <row r="177" spans="1:26" s="29" customFormat="1" outlineLevel="1" collapsed="1" x14ac:dyDescent="0.3">
      <c r="A177" s="27"/>
      <c r="B177" s="14" t="str">
        <f>CONCATENATE("     ","Bad Debts/Over/Short                              ")</f>
        <v xml:space="preserve">     Bad Debts/Over/Short                              </v>
      </c>
      <c r="C177" s="14"/>
      <c r="D177" s="1">
        <f>SUM(OSRRefD22_3x_0)</f>
        <v>20.94</v>
      </c>
      <c r="E177" s="1"/>
      <c r="F177" s="5">
        <f t="shared" si="46"/>
        <v>1.2332267179192707E-5</v>
      </c>
      <c r="G177" s="1"/>
      <c r="H177" s="1">
        <f>SUM(OSRRefH22_3x_0)</f>
        <v>-3.6</v>
      </c>
      <c r="I177" s="1"/>
      <c r="J177" s="5">
        <f t="shared" si="47"/>
        <v>-7.4449802003853636E-6</v>
      </c>
      <c r="K177" s="1"/>
      <c r="L177" s="1">
        <f t="shared" si="48"/>
        <v>24.540000000000003</v>
      </c>
      <c r="M177" s="1"/>
      <c r="N177" s="5">
        <f t="shared" si="49"/>
        <v>-6.8166666666666673</v>
      </c>
      <c r="O177" s="14"/>
      <c r="P177" s="1">
        <f>SUM(OSRRefP22_3x_0)</f>
        <v>77.09</v>
      </c>
      <c r="Q177" s="1"/>
      <c r="R177" s="5">
        <f t="shared" si="50"/>
        <v>6.7767892189615405E-6</v>
      </c>
      <c r="S177" s="1"/>
      <c r="T177" s="1">
        <f>SUM(OSRRefT22_3x_0)</f>
        <v>127.8</v>
      </c>
      <c r="U177" s="1"/>
      <c r="V177" s="5">
        <f t="shared" si="51"/>
        <v>2.484964066729326E-5</v>
      </c>
      <c r="W177" s="1"/>
      <c r="X177" s="1">
        <f t="shared" si="52"/>
        <v>-50.709999999999994</v>
      </c>
      <c r="Y177" s="1"/>
      <c r="Z177" s="5">
        <f t="shared" si="53"/>
        <v>-0.39679186228482</v>
      </c>
    </row>
    <row r="178" spans="1:26" s="24" customFormat="1" hidden="1" outlineLevel="2" x14ac:dyDescent="0.3">
      <c r="A178" s="28"/>
      <c r="B178" s="11" t="str">
        <f>CONCATENATE("          ", "6272", " - ", "CASH (OVER/SHORT)")</f>
        <v xml:space="preserve">          6272 - CASH (OVER/SHORT)</v>
      </c>
      <c r="C178" s="11"/>
      <c r="D178" s="6">
        <v>20.94</v>
      </c>
      <c r="E178" s="2"/>
      <c r="F178" s="7">
        <f t="shared" si="46"/>
        <v>1.2332267179192707E-5</v>
      </c>
      <c r="G178" s="2"/>
      <c r="H178" s="6">
        <v>-3.6</v>
      </c>
      <c r="I178" s="2"/>
      <c r="J178" s="7">
        <f t="shared" si="47"/>
        <v>-7.4449802003853636E-6</v>
      </c>
      <c r="K178" s="2"/>
      <c r="L178" s="6">
        <f t="shared" si="48"/>
        <v>24.540000000000003</v>
      </c>
      <c r="M178" s="2"/>
      <c r="N178" s="7">
        <f t="shared" si="49"/>
        <v>-6.8166666666666673</v>
      </c>
      <c r="O178" s="11"/>
      <c r="P178" s="6">
        <v>77.09</v>
      </c>
      <c r="Q178" s="2"/>
      <c r="R178" s="7">
        <f t="shared" si="50"/>
        <v>6.7767892189615405E-6</v>
      </c>
      <c r="S178" s="2"/>
      <c r="T178" s="6">
        <v>127.8</v>
      </c>
      <c r="U178" s="2"/>
      <c r="V178" s="7">
        <f t="shared" si="51"/>
        <v>2.484964066729326E-5</v>
      </c>
      <c r="W178" s="2"/>
      <c r="X178" s="6">
        <f t="shared" si="52"/>
        <v>-50.709999999999994</v>
      </c>
      <c r="Y178" s="2"/>
      <c r="Z178" s="7">
        <f t="shared" si="53"/>
        <v>-0.39679186228482</v>
      </c>
    </row>
    <row r="179" spans="1:26" s="29" customFormat="1" outlineLevel="1" collapsed="1" x14ac:dyDescent="0.3">
      <c r="A179" s="27"/>
      <c r="B179" s="14" t="str">
        <f>CONCATENATE("     ","Bank/card Fees                                    ")</f>
        <v xml:space="preserve">     Bank/card Fees                                    </v>
      </c>
      <c r="C179" s="14"/>
      <c r="D179" s="1">
        <f>SUM(OSRRefD22_4x_0)</f>
        <v>14111.72</v>
      </c>
      <c r="E179" s="1"/>
      <c r="F179" s="5">
        <f t="shared" si="46"/>
        <v>8.3108644411631939E-3</v>
      </c>
      <c r="G179" s="1"/>
      <c r="H179" s="1">
        <f>SUM(OSRRefH22_4x_0)</f>
        <v>6198.4</v>
      </c>
      <c r="I179" s="1"/>
      <c r="J179" s="5">
        <f t="shared" si="47"/>
        <v>1.2818601465019064E-2</v>
      </c>
      <c r="K179" s="1"/>
      <c r="L179" s="1">
        <f t="shared" si="48"/>
        <v>7913.32</v>
      </c>
      <c r="M179" s="1"/>
      <c r="N179" s="5">
        <f t="shared" si="49"/>
        <v>1.2766713990707279</v>
      </c>
      <c r="O179" s="14"/>
      <c r="P179" s="1">
        <f>SUM(OSRRefP22_4x_0)</f>
        <v>96540.63</v>
      </c>
      <c r="Q179" s="1"/>
      <c r="R179" s="5">
        <f t="shared" si="50"/>
        <v>8.4866454867785057E-3</v>
      </c>
      <c r="S179" s="1"/>
      <c r="T179" s="1">
        <f>SUM(OSRRefT22_4x_0)</f>
        <v>51619.65</v>
      </c>
      <c r="U179" s="1"/>
      <c r="V179" s="5">
        <f t="shared" si="51"/>
        <v>1.0037009028728049E-2</v>
      </c>
      <c r="W179" s="1"/>
      <c r="X179" s="1">
        <f t="shared" si="52"/>
        <v>44920.98</v>
      </c>
      <c r="Y179" s="1"/>
      <c r="Z179" s="5">
        <f t="shared" si="53"/>
        <v>0.8702302320918488</v>
      </c>
    </row>
    <row r="180" spans="1:26" s="24" customFormat="1" hidden="1" outlineLevel="2" x14ac:dyDescent="0.3">
      <c r="A180" s="28"/>
      <c r="B180" s="11" t="str">
        <f>CONCATENATE("          ", "6381", " - ", "BANK/CREDIT CARD FEES")</f>
        <v xml:space="preserve">          6381 - BANK/CREDIT CARD FEES</v>
      </c>
      <c r="C180" s="11"/>
      <c r="D180" s="6">
        <v>14111.72</v>
      </c>
      <c r="E180" s="2"/>
      <c r="F180" s="7">
        <f t="shared" si="46"/>
        <v>8.3108644411631939E-3</v>
      </c>
      <c r="G180" s="2"/>
      <c r="H180" s="6">
        <v>6198.4</v>
      </c>
      <c r="I180" s="2"/>
      <c r="J180" s="7">
        <f t="shared" si="47"/>
        <v>1.2818601465019064E-2</v>
      </c>
      <c r="K180" s="2"/>
      <c r="L180" s="6">
        <f t="shared" si="48"/>
        <v>7913.32</v>
      </c>
      <c r="M180" s="2"/>
      <c r="N180" s="7">
        <f t="shared" si="49"/>
        <v>1.2766713990707279</v>
      </c>
      <c r="O180" s="11"/>
      <c r="P180" s="6">
        <v>96540.63</v>
      </c>
      <c r="Q180" s="2"/>
      <c r="R180" s="7">
        <f t="shared" si="50"/>
        <v>8.4866454867785057E-3</v>
      </c>
      <c r="S180" s="2"/>
      <c r="T180" s="6">
        <v>51619.65</v>
      </c>
      <c r="U180" s="2"/>
      <c r="V180" s="7">
        <f t="shared" si="51"/>
        <v>1.0037009028728049E-2</v>
      </c>
      <c r="W180" s="2"/>
      <c r="X180" s="6">
        <f t="shared" si="52"/>
        <v>44920.98</v>
      </c>
      <c r="Y180" s="2"/>
      <c r="Z180" s="7">
        <f t="shared" si="53"/>
        <v>0.8702302320918488</v>
      </c>
    </row>
    <row r="181" spans="1:26" s="29" customFormat="1" outlineLevel="1" collapsed="1" x14ac:dyDescent="0.3">
      <c r="A181" s="27"/>
      <c r="B181" s="14" t="str">
        <f>CONCATENATE("     ","Depreciation                                      ")</f>
        <v xml:space="preserve">     Depreciation                                      </v>
      </c>
      <c r="C181" s="14"/>
      <c r="D181" s="1">
        <f>SUM(OSRRefD22_5x_0)</f>
        <v>70762.11</v>
      </c>
      <c r="E181" s="1"/>
      <c r="F181" s="5">
        <f t="shared" si="46"/>
        <v>4.167417605938032E-2</v>
      </c>
      <c r="G181" s="1"/>
      <c r="H181" s="1">
        <f>SUM(OSRRefH22_5x_0)</f>
        <v>77647.64</v>
      </c>
      <c r="I181" s="1"/>
      <c r="J181" s="5">
        <f t="shared" si="47"/>
        <v>0.1605792062240696</v>
      </c>
      <c r="K181" s="1"/>
      <c r="L181" s="1">
        <f t="shared" si="48"/>
        <v>-6885.5299999999988</v>
      </c>
      <c r="M181" s="1"/>
      <c r="N181" s="5">
        <f t="shared" si="49"/>
        <v>-8.8676616571991093E-2</v>
      </c>
      <c r="O181" s="14"/>
      <c r="P181" s="1">
        <f>SUM(OSRRefP22_5x_0)</f>
        <v>427410.71</v>
      </c>
      <c r="Q181" s="1"/>
      <c r="R181" s="5">
        <f t="shared" si="50"/>
        <v>3.7572607233061321E-2</v>
      </c>
      <c r="S181" s="1"/>
      <c r="T181" s="1">
        <f>SUM(OSRRefT22_5x_0)</f>
        <v>468657.69</v>
      </c>
      <c r="U181" s="1"/>
      <c r="V181" s="5">
        <f t="shared" si="51"/>
        <v>9.1126566451202803E-2</v>
      </c>
      <c r="W181" s="1"/>
      <c r="X181" s="1">
        <f t="shared" si="52"/>
        <v>-41246.979999999981</v>
      </c>
      <c r="Y181" s="1"/>
      <c r="Z181" s="5">
        <f t="shared" si="53"/>
        <v>-8.8010889141710194E-2</v>
      </c>
    </row>
    <row r="182" spans="1:26" s="24" customFormat="1" hidden="1" outlineLevel="2" x14ac:dyDescent="0.3">
      <c r="A182" s="28"/>
      <c r="B182" s="11" t="str">
        <f>CONCATENATE("          ", "6321", " - ", "BUILDING DEPRECIATION")</f>
        <v xml:space="preserve">          6321 - BUILDING DEPRECIATION</v>
      </c>
      <c r="C182" s="11"/>
      <c r="D182" s="6">
        <v>45016.42</v>
      </c>
      <c r="E182" s="2"/>
      <c r="F182" s="7">
        <f t="shared" si="46"/>
        <v>2.6511677119902297E-2</v>
      </c>
      <c r="G182" s="2"/>
      <c r="H182" s="6">
        <v>45060.52</v>
      </c>
      <c r="I182" s="2"/>
      <c r="J182" s="7">
        <f t="shared" si="47"/>
        <v>9.3187410894185738E-2</v>
      </c>
      <c r="K182" s="2"/>
      <c r="L182" s="6">
        <f t="shared" si="48"/>
        <v>-44.099999999998545</v>
      </c>
      <c r="M182" s="2"/>
      <c r="N182" s="7">
        <f t="shared" si="49"/>
        <v>-9.7868377905977453E-4</v>
      </c>
      <c r="O182" s="11"/>
      <c r="P182" s="6">
        <v>270186.71000000002</v>
      </c>
      <c r="Q182" s="2"/>
      <c r="R182" s="7">
        <f t="shared" si="50"/>
        <v>2.3751438363402363E-2</v>
      </c>
      <c r="S182" s="2"/>
      <c r="T182" s="6">
        <v>271147.31</v>
      </c>
      <c r="U182" s="2"/>
      <c r="V182" s="7">
        <f t="shared" si="51"/>
        <v>5.2722325676081164E-2</v>
      </c>
      <c r="W182" s="2"/>
      <c r="X182" s="6">
        <f t="shared" si="52"/>
        <v>-960.59999999997672</v>
      </c>
      <c r="Y182" s="2"/>
      <c r="Z182" s="7">
        <f t="shared" si="53"/>
        <v>-3.5427236951012966E-3</v>
      </c>
    </row>
    <row r="183" spans="1:26" s="24" customFormat="1" hidden="1" outlineLevel="2" x14ac:dyDescent="0.3">
      <c r="A183" s="28"/>
      <c r="B183" s="11" t="str">
        <f>CONCATENATE("          ", "6322", " - ", "EQUIPMENT DEPRECIATION EXPENSE")</f>
        <v xml:space="preserve">          6322 - EQUIPMENT DEPRECIATION EXPENSE</v>
      </c>
      <c r="C183" s="11"/>
      <c r="D183" s="6">
        <v>25745.69</v>
      </c>
      <c r="E183" s="2"/>
      <c r="F183" s="7">
        <f t="shared" si="46"/>
        <v>1.5162498939478025E-2</v>
      </c>
      <c r="G183" s="2"/>
      <c r="H183" s="6">
        <v>32587.119999999999</v>
      </c>
      <c r="I183" s="2"/>
      <c r="J183" s="7">
        <f t="shared" si="47"/>
        <v>6.7391795329883847E-2</v>
      </c>
      <c r="K183" s="2"/>
      <c r="L183" s="6">
        <f t="shared" si="48"/>
        <v>-6841.43</v>
      </c>
      <c r="M183" s="2"/>
      <c r="N183" s="7">
        <f t="shared" si="49"/>
        <v>-0.20994276266205791</v>
      </c>
      <c r="O183" s="11"/>
      <c r="P183" s="6">
        <v>157224</v>
      </c>
      <c r="Q183" s="2"/>
      <c r="R183" s="7">
        <f t="shared" si="50"/>
        <v>1.3821168869658959E-2</v>
      </c>
      <c r="S183" s="2"/>
      <c r="T183" s="6">
        <v>197510.38</v>
      </c>
      <c r="U183" s="2"/>
      <c r="V183" s="7">
        <f t="shared" si="51"/>
        <v>3.840424077512164E-2</v>
      </c>
      <c r="W183" s="2"/>
      <c r="X183" s="6">
        <f t="shared" si="52"/>
        <v>-40286.380000000005</v>
      </c>
      <c r="Y183" s="2"/>
      <c r="Z183" s="7">
        <f t="shared" si="53"/>
        <v>-0.20397095079256089</v>
      </c>
    </row>
    <row r="184" spans="1:26" s="29" customFormat="1" outlineLevel="1" collapsed="1" x14ac:dyDescent="0.3">
      <c r="A184" s="27"/>
      <c r="B184" s="14" t="str">
        <f>CONCATENATE("     ","Discounts and Markdowns                           ")</f>
        <v xml:space="preserve">     Discounts and Markdowns                           </v>
      </c>
      <c r="C184" s="14"/>
      <c r="D184" s="1">
        <f>SUM(OSRRefD22_6x_0)</f>
        <v>11.17</v>
      </c>
      <c r="E184" s="1"/>
      <c r="F184" s="5">
        <f t="shared" ref="F184:F186" si="54">IF(D$12=0,0,D184/D$12)</f>
        <v>6.5783870292064243E-6</v>
      </c>
      <c r="G184" s="1"/>
      <c r="H184" s="1">
        <f>SUM(OSRRefH22_6x_0)</f>
        <v>0</v>
      </c>
      <c r="I184" s="1"/>
      <c r="J184" s="5">
        <f t="shared" ref="J184:J186" si="55">IF(H$12=0,0,H184/H$12)</f>
        <v>0</v>
      </c>
      <c r="K184" s="1"/>
      <c r="L184" s="1">
        <f t="shared" ref="L184:L186" si="56">+D184-H184</f>
        <v>11.17</v>
      </c>
      <c r="M184" s="1"/>
      <c r="N184" s="5">
        <f t="shared" ref="N184:N186" si="57">IF(H184=0,0,L184/H184)</f>
        <v>0</v>
      </c>
      <c r="O184" s="14"/>
      <c r="P184" s="1">
        <f>SUM(OSRRefP22_6x_0)</f>
        <v>3354.8</v>
      </c>
      <c r="Q184" s="1"/>
      <c r="R184" s="5">
        <f t="shared" ref="R184:R186" si="58">IF(P$12=0,0,P184/P$12)</f>
        <v>2.9491208291311684E-4</v>
      </c>
      <c r="S184" s="1"/>
      <c r="T184" s="1">
        <f>SUM(OSRRefT22_6x_0)</f>
        <v>0</v>
      </c>
      <c r="U184" s="1"/>
      <c r="V184" s="5">
        <f t="shared" ref="V184:V186" si="59">IF(T$12=0,0,T184/T$12)</f>
        <v>0</v>
      </c>
      <c r="W184" s="1"/>
      <c r="X184" s="1">
        <f t="shared" ref="X184:X186" si="60">+P184-T184</f>
        <v>3354.8</v>
      </c>
      <c r="Y184" s="1"/>
      <c r="Z184" s="5">
        <f t="shared" ref="Z184:Z186" si="61">IF(T184=0,0,X184/T184)</f>
        <v>0</v>
      </c>
    </row>
    <row r="185" spans="1:26" s="24" customFormat="1" hidden="1" outlineLevel="2" x14ac:dyDescent="0.3">
      <c r="A185" s="28"/>
      <c r="B185" s="11" t="str">
        <f>CONCATENATE("          ", "6382", " - ", "DISCOUNTS/MARK DOWNS")</f>
        <v xml:space="preserve">          6382 - DISCOUNTS/MARK DOWNS</v>
      </c>
      <c r="C185" s="11"/>
      <c r="D185" s="6"/>
      <c r="E185" s="2"/>
      <c r="F185" s="7">
        <f t="shared" si="54"/>
        <v>0</v>
      </c>
      <c r="G185" s="2"/>
      <c r="H185" s="6">
        <v>0</v>
      </c>
      <c r="I185" s="2"/>
      <c r="J185" s="7">
        <f t="shared" si="55"/>
        <v>0</v>
      </c>
      <c r="K185" s="2"/>
      <c r="L185" s="6">
        <f t="shared" si="56"/>
        <v>0</v>
      </c>
      <c r="M185" s="2"/>
      <c r="N185" s="7">
        <f t="shared" si="57"/>
        <v>0</v>
      </c>
      <c r="O185" s="11"/>
      <c r="P185" s="6">
        <v>3410</v>
      </c>
      <c r="Q185" s="2"/>
      <c r="R185" s="7">
        <f t="shared" si="58"/>
        <v>2.9976457694459529E-4</v>
      </c>
      <c r="S185" s="2"/>
      <c r="T185" s="6">
        <v>0</v>
      </c>
      <c r="U185" s="2"/>
      <c r="V185" s="7">
        <f t="shared" si="59"/>
        <v>0</v>
      </c>
      <c r="W185" s="2"/>
      <c r="X185" s="6">
        <f t="shared" si="60"/>
        <v>3410</v>
      </c>
      <c r="Y185" s="2"/>
      <c r="Z185" s="7">
        <f t="shared" si="61"/>
        <v>0</v>
      </c>
    </row>
    <row r="186" spans="1:26" s="24" customFormat="1" hidden="1" outlineLevel="2" x14ac:dyDescent="0.3">
      <c r="A186" s="28"/>
      <c r="B186" s="11" t="str">
        <f>CONCATENATE("          ", "9175", " - ", "EARNED DISCOUNTS")</f>
        <v xml:space="preserve">          9175 - EARNED DISCOUNTS</v>
      </c>
      <c r="C186" s="11"/>
      <c r="D186" s="6">
        <v>11.17</v>
      </c>
      <c r="E186" s="2"/>
      <c r="F186" s="7">
        <f t="shared" si="54"/>
        <v>6.5783870292064243E-6</v>
      </c>
      <c r="G186" s="2"/>
      <c r="H186" s="6"/>
      <c r="I186" s="2"/>
      <c r="J186" s="7">
        <f t="shared" si="55"/>
        <v>0</v>
      </c>
      <c r="K186" s="2"/>
      <c r="L186" s="6">
        <f t="shared" si="56"/>
        <v>11.17</v>
      </c>
      <c r="M186" s="2"/>
      <c r="N186" s="7">
        <f t="shared" si="57"/>
        <v>0</v>
      </c>
      <c r="O186" s="11"/>
      <c r="P186" s="6">
        <v>-55.2</v>
      </c>
      <c r="Q186" s="2"/>
      <c r="R186" s="7">
        <f t="shared" si="58"/>
        <v>-4.8524940314784929E-6</v>
      </c>
      <c r="S186" s="2"/>
      <c r="T186" s="6">
        <v>0</v>
      </c>
      <c r="U186" s="2"/>
      <c r="V186" s="7">
        <f t="shared" si="59"/>
        <v>0</v>
      </c>
      <c r="W186" s="2"/>
      <c r="X186" s="6">
        <f t="shared" si="60"/>
        <v>-55.2</v>
      </c>
      <c r="Y186" s="2"/>
      <c r="Z186" s="7">
        <f t="shared" si="61"/>
        <v>0</v>
      </c>
    </row>
    <row r="187" spans="1:26" s="29" customFormat="1" outlineLevel="1" collapsed="1" x14ac:dyDescent="0.3">
      <c r="A187" s="27"/>
      <c r="B187" s="14" t="str">
        <f>CONCATENATE("     ","Donations                                         ")</f>
        <v xml:space="preserve">     Donations                                         </v>
      </c>
      <c r="C187" s="14"/>
      <c r="D187" s="1">
        <f>SUM(OSRRefD22_7x_0)</f>
        <v>3782.41</v>
      </c>
      <c r="E187" s="1"/>
      <c r="F187" s="5">
        <f t="shared" ref="F187:F195" si="62">IF(D$12=0,0,D187/D$12)</f>
        <v>2.2275879035936141E-3</v>
      </c>
      <c r="G187" s="1"/>
      <c r="H187" s="1">
        <f>SUM(OSRRefH22_7x_0)</f>
        <v>6666.05</v>
      </c>
      <c r="I187" s="1"/>
      <c r="J187" s="5">
        <f t="shared" ref="J187:J195" si="63">IF(H$12=0,0,H187/H$12)</f>
        <v>1.3785725073549681E-2</v>
      </c>
      <c r="K187" s="1"/>
      <c r="L187" s="1">
        <f t="shared" ref="L187:L195" si="64">+D187-H187</f>
        <v>-2883.6400000000003</v>
      </c>
      <c r="M187" s="1"/>
      <c r="N187" s="5">
        <f t="shared" ref="N187:N195" si="65">IF(H187=0,0,L187/H187)</f>
        <v>-0.4325860142063141</v>
      </c>
      <c r="O187" s="14"/>
      <c r="P187" s="1">
        <f>SUM(OSRRefP22_7x_0)</f>
        <v>39415.22</v>
      </c>
      <c r="Q187" s="1"/>
      <c r="R187" s="5">
        <f t="shared" ref="R187:R195" si="66">IF(P$12=0,0,P187/P$12)</f>
        <v>3.464893474627024E-3</v>
      </c>
      <c r="S187" s="1"/>
      <c r="T187" s="1">
        <f>SUM(OSRRefT22_7x_0)</f>
        <v>36822.01</v>
      </c>
      <c r="U187" s="1"/>
      <c r="V187" s="5">
        <f t="shared" ref="V187:V195" si="67">IF(T$12=0,0,T187/T$12)</f>
        <v>7.1597317460679122E-3</v>
      </c>
      <c r="W187" s="1"/>
      <c r="X187" s="1">
        <f t="shared" ref="X187:X195" si="68">+P187-T187</f>
        <v>2593.2099999999991</v>
      </c>
      <c r="Y187" s="1"/>
      <c r="Z187" s="5">
        <f t="shared" ref="Z187:Z195" si="69">IF(T187=0,0,X187/T187)</f>
        <v>7.0425541680098375E-2</v>
      </c>
    </row>
    <row r="188" spans="1:26" s="24" customFormat="1" hidden="1" outlineLevel="2" x14ac:dyDescent="0.3">
      <c r="A188" s="28"/>
      <c r="B188" s="11" t="str">
        <f>CONCATENATE("          ", "6399", " - ", "DONATION-ON CAMPUS")</f>
        <v xml:space="preserve">          6399 - DONATION-ON CAMPUS</v>
      </c>
      <c r="C188" s="11"/>
      <c r="D188" s="6">
        <v>3782.41</v>
      </c>
      <c r="E188" s="2"/>
      <c r="F188" s="7">
        <f t="shared" si="62"/>
        <v>2.2275879035936141E-3</v>
      </c>
      <c r="G188" s="2"/>
      <c r="H188" s="6">
        <v>6666.05</v>
      </c>
      <c r="I188" s="2"/>
      <c r="J188" s="7">
        <f t="shared" si="63"/>
        <v>1.3785725073549681E-2</v>
      </c>
      <c r="K188" s="2"/>
      <c r="L188" s="6">
        <f t="shared" si="64"/>
        <v>-2883.6400000000003</v>
      </c>
      <c r="M188" s="2"/>
      <c r="N188" s="7">
        <f t="shared" si="65"/>
        <v>-0.4325860142063141</v>
      </c>
      <c r="O188" s="11"/>
      <c r="P188" s="6">
        <v>39415.22</v>
      </c>
      <c r="Q188" s="2"/>
      <c r="R188" s="7">
        <f t="shared" si="66"/>
        <v>3.464893474627024E-3</v>
      </c>
      <c r="S188" s="2"/>
      <c r="T188" s="6">
        <v>36822.01</v>
      </c>
      <c r="U188" s="2"/>
      <c r="V188" s="7">
        <f t="shared" si="67"/>
        <v>7.1597317460679122E-3</v>
      </c>
      <c r="W188" s="2"/>
      <c r="X188" s="6">
        <f t="shared" si="68"/>
        <v>2593.2099999999991</v>
      </c>
      <c r="Y188" s="2"/>
      <c r="Z188" s="7">
        <f t="shared" si="69"/>
        <v>7.0425541680098375E-2</v>
      </c>
    </row>
    <row r="189" spans="1:26" s="29" customFormat="1" outlineLevel="1" collapsed="1" x14ac:dyDescent="0.3">
      <c r="A189" s="27"/>
      <c r="B189" s="14" t="str">
        <f>CONCATENATE("     ","Employees' Appreciation                           ")</f>
        <v xml:space="preserve">     Employees' Appreciation                           </v>
      </c>
      <c r="C189" s="14"/>
      <c r="D189" s="1">
        <f>SUM(OSRRefD22_8x_0)</f>
        <v>1236.26</v>
      </c>
      <c r="E189" s="1"/>
      <c r="F189" s="5">
        <f t="shared" si="62"/>
        <v>7.2807491036049542E-4</v>
      </c>
      <c r="G189" s="1"/>
      <c r="H189" s="1">
        <f>SUM(OSRRefH22_8x_0)</f>
        <v>10</v>
      </c>
      <c r="I189" s="1"/>
      <c r="J189" s="5">
        <f t="shared" si="63"/>
        <v>2.068050055662601E-5</v>
      </c>
      <c r="K189" s="1"/>
      <c r="L189" s="1">
        <f t="shared" si="64"/>
        <v>1226.26</v>
      </c>
      <c r="M189" s="1"/>
      <c r="N189" s="5">
        <f t="shared" si="65"/>
        <v>122.626</v>
      </c>
      <c r="O189" s="14"/>
      <c r="P189" s="1">
        <f>SUM(OSRRefP22_8x_0)</f>
        <v>3301.04</v>
      </c>
      <c r="Q189" s="1"/>
      <c r="R189" s="5">
        <f t="shared" si="66"/>
        <v>2.9018617568245947E-4</v>
      </c>
      <c r="S189" s="1"/>
      <c r="T189" s="1">
        <f>SUM(OSRRefT22_8x_0)</f>
        <v>117.7</v>
      </c>
      <c r="U189" s="1"/>
      <c r="V189" s="5">
        <f t="shared" si="67"/>
        <v>2.2885780176372587E-5</v>
      </c>
      <c r="W189" s="1"/>
      <c r="X189" s="1">
        <f t="shared" si="68"/>
        <v>3183.34</v>
      </c>
      <c r="Y189" s="1"/>
      <c r="Z189" s="5">
        <f t="shared" si="69"/>
        <v>27.046219201359389</v>
      </c>
    </row>
    <row r="190" spans="1:26" s="24" customFormat="1" hidden="1" outlineLevel="2" x14ac:dyDescent="0.3">
      <c r="A190" s="28"/>
      <c r="B190" s="11" t="str">
        <f>CONCATENATE("          ", "6277", " - ", "EMPLOYEE APPRECIATION")</f>
        <v xml:space="preserve">          6277 - EMPLOYEE APPRECIATION</v>
      </c>
      <c r="C190" s="11"/>
      <c r="D190" s="6">
        <v>1236.26</v>
      </c>
      <c r="E190" s="2"/>
      <c r="F190" s="7">
        <f t="shared" si="62"/>
        <v>7.2807491036049542E-4</v>
      </c>
      <c r="G190" s="2"/>
      <c r="H190" s="6">
        <v>10</v>
      </c>
      <c r="I190" s="2"/>
      <c r="J190" s="7">
        <f t="shared" si="63"/>
        <v>2.068050055662601E-5</v>
      </c>
      <c r="K190" s="2"/>
      <c r="L190" s="6">
        <f t="shared" si="64"/>
        <v>1226.26</v>
      </c>
      <c r="M190" s="2"/>
      <c r="N190" s="7">
        <f t="shared" si="65"/>
        <v>122.626</v>
      </c>
      <c r="O190" s="11"/>
      <c r="P190" s="6">
        <v>3301.04</v>
      </c>
      <c r="Q190" s="2"/>
      <c r="R190" s="7">
        <f t="shared" si="66"/>
        <v>2.9018617568245947E-4</v>
      </c>
      <c r="S190" s="2"/>
      <c r="T190" s="6">
        <v>117.7</v>
      </c>
      <c r="U190" s="2"/>
      <c r="V190" s="7">
        <f t="shared" si="67"/>
        <v>2.2885780176372587E-5</v>
      </c>
      <c r="W190" s="2"/>
      <c r="X190" s="6">
        <f t="shared" si="68"/>
        <v>3183.34</v>
      </c>
      <c r="Y190" s="2"/>
      <c r="Z190" s="7">
        <f t="shared" si="69"/>
        <v>27.046219201359389</v>
      </c>
    </row>
    <row r="191" spans="1:26" s="29" customFormat="1" outlineLevel="1" collapsed="1" x14ac:dyDescent="0.3">
      <c r="A191" s="27"/>
      <c r="B191" s="14" t="str">
        <f>CONCATENATE("     ","Equipment Rental                                  ")</f>
        <v xml:space="preserve">     Equipment Rental                                  </v>
      </c>
      <c r="C191" s="14"/>
      <c r="D191" s="1">
        <f>SUM(OSRRefD22_9x_0)</f>
        <v>4116.82</v>
      </c>
      <c r="E191" s="1"/>
      <c r="F191" s="5">
        <f t="shared" si="62"/>
        <v>2.4245331503650485E-3</v>
      </c>
      <c r="G191" s="1"/>
      <c r="H191" s="1">
        <f>SUM(OSRRefH22_9x_0)</f>
        <v>2069.89</v>
      </c>
      <c r="I191" s="1"/>
      <c r="J191" s="5">
        <f t="shared" si="63"/>
        <v>4.2806361297154606E-3</v>
      </c>
      <c r="K191" s="1"/>
      <c r="L191" s="1">
        <f t="shared" si="64"/>
        <v>2046.9299999999998</v>
      </c>
      <c r="M191" s="1"/>
      <c r="N191" s="5">
        <f t="shared" si="65"/>
        <v>0.98890762311040681</v>
      </c>
      <c r="O191" s="14"/>
      <c r="P191" s="1">
        <f>SUM(OSRRefP22_9x_0)</f>
        <v>23493.38</v>
      </c>
      <c r="Q191" s="1"/>
      <c r="R191" s="5">
        <f t="shared" si="66"/>
        <v>2.0652443157473947E-3</v>
      </c>
      <c r="S191" s="1"/>
      <c r="T191" s="1">
        <f>SUM(OSRRefT22_9x_0)</f>
        <v>16366.04</v>
      </c>
      <c r="U191" s="1"/>
      <c r="V191" s="5">
        <f t="shared" si="67"/>
        <v>3.1822395394878575E-3</v>
      </c>
      <c r="W191" s="1"/>
      <c r="X191" s="1">
        <f t="shared" si="68"/>
        <v>7127.34</v>
      </c>
      <c r="Y191" s="1"/>
      <c r="Z191" s="5">
        <f t="shared" si="69"/>
        <v>0.4354956971875909</v>
      </c>
    </row>
    <row r="192" spans="1:26" s="24" customFormat="1" hidden="1" outlineLevel="2" x14ac:dyDescent="0.3">
      <c r="A192" s="28"/>
      <c r="B192" s="11" t="str">
        <f>CONCATENATE("          ", "6351", " - ", "EQUIPMENT RENTAL")</f>
        <v xml:space="preserve">          6351 - EQUIPMENT RENTAL</v>
      </c>
      <c r="C192" s="11"/>
      <c r="D192" s="6">
        <v>4116.82</v>
      </c>
      <c r="E192" s="2"/>
      <c r="F192" s="7">
        <f t="shared" si="62"/>
        <v>2.4245331503650485E-3</v>
      </c>
      <c r="G192" s="2"/>
      <c r="H192" s="6">
        <v>2069.89</v>
      </c>
      <c r="I192" s="2"/>
      <c r="J192" s="7">
        <f t="shared" si="63"/>
        <v>4.2806361297154606E-3</v>
      </c>
      <c r="K192" s="2"/>
      <c r="L192" s="6">
        <f t="shared" si="64"/>
        <v>2046.9299999999998</v>
      </c>
      <c r="M192" s="2"/>
      <c r="N192" s="7">
        <f t="shared" si="65"/>
        <v>0.98890762311040681</v>
      </c>
      <c r="O192" s="11"/>
      <c r="P192" s="6">
        <v>23493.38</v>
      </c>
      <c r="Q192" s="2"/>
      <c r="R192" s="7">
        <f t="shared" si="66"/>
        <v>2.0652443157473947E-3</v>
      </c>
      <c r="S192" s="2"/>
      <c r="T192" s="6">
        <v>16366.04</v>
      </c>
      <c r="U192" s="2"/>
      <c r="V192" s="7">
        <f t="shared" si="67"/>
        <v>3.1822395394878575E-3</v>
      </c>
      <c r="W192" s="2"/>
      <c r="X192" s="6">
        <f t="shared" si="68"/>
        <v>7127.34</v>
      </c>
      <c r="Y192" s="2"/>
      <c r="Z192" s="7">
        <f t="shared" si="69"/>
        <v>0.4354956971875909</v>
      </c>
    </row>
    <row r="193" spans="1:26" s="29" customFormat="1" outlineLevel="1" collapsed="1" x14ac:dyDescent="0.3">
      <c r="A193" s="27"/>
      <c r="B193" s="14" t="str">
        <f>CONCATENATE("     ","Freight out/Postage                               ")</f>
        <v xml:space="preserve">     Freight out/Postage                               </v>
      </c>
      <c r="C193" s="14"/>
      <c r="D193" s="1">
        <f>SUM(OSRRefD22_10x_0)</f>
        <v>-2180.9800000000014</v>
      </c>
      <c r="E193" s="1"/>
      <c r="F193" s="5">
        <f t="shared" si="62"/>
        <v>-1.2844521524582487E-3</v>
      </c>
      <c r="G193" s="1"/>
      <c r="H193" s="1">
        <f>SUM(OSRRefH22_10x_0)</f>
        <v>4353.43</v>
      </c>
      <c r="I193" s="1"/>
      <c r="J193" s="5">
        <f t="shared" si="63"/>
        <v>9.0031111538232365E-3</v>
      </c>
      <c r="K193" s="1"/>
      <c r="L193" s="1">
        <f t="shared" si="64"/>
        <v>-6534.4100000000017</v>
      </c>
      <c r="M193" s="1"/>
      <c r="N193" s="5">
        <f t="shared" si="65"/>
        <v>-1.5009796872810637</v>
      </c>
      <c r="O193" s="14"/>
      <c r="P193" s="1">
        <f>SUM(OSRRefP22_10x_0)</f>
        <v>-32044.460000000006</v>
      </c>
      <c r="Q193" s="1"/>
      <c r="R193" s="5">
        <f t="shared" si="66"/>
        <v>-2.816948385723756E-3</v>
      </c>
      <c r="S193" s="1"/>
      <c r="T193" s="1">
        <f>SUM(OSRRefT22_10x_0)</f>
        <v>-14071.719999999987</v>
      </c>
      <c r="U193" s="1"/>
      <c r="V193" s="5">
        <f t="shared" si="67"/>
        <v>-2.736128212603784E-3</v>
      </c>
      <c r="W193" s="1"/>
      <c r="X193" s="1">
        <f t="shared" si="68"/>
        <v>-17972.74000000002</v>
      </c>
      <c r="Y193" s="1"/>
      <c r="Z193" s="5">
        <f t="shared" si="69"/>
        <v>1.277224106221559</v>
      </c>
    </row>
    <row r="194" spans="1:26" s="24" customFormat="1" hidden="1" outlineLevel="2" x14ac:dyDescent="0.3">
      <c r="A194" s="28"/>
      <c r="B194" s="11" t="str">
        <f>CONCATENATE("          ", "6305", " - ", "FREIGHT OUT")</f>
        <v xml:space="preserve">          6305 - FREIGHT OUT</v>
      </c>
      <c r="C194" s="11"/>
      <c r="D194" s="6">
        <v>12270.64</v>
      </c>
      <c r="E194" s="2"/>
      <c r="F194" s="7">
        <f t="shared" si="62"/>
        <v>7.2265907803098937E-3</v>
      </c>
      <c r="G194" s="2"/>
      <c r="H194" s="6">
        <v>13760</v>
      </c>
      <c r="I194" s="2"/>
      <c r="J194" s="7">
        <f t="shared" si="63"/>
        <v>2.8456368765917388E-2</v>
      </c>
      <c r="K194" s="2"/>
      <c r="L194" s="6">
        <f t="shared" si="64"/>
        <v>-1489.3600000000006</v>
      </c>
      <c r="M194" s="2"/>
      <c r="N194" s="7">
        <f t="shared" si="65"/>
        <v>-0.1082383720930233</v>
      </c>
      <c r="O194" s="11"/>
      <c r="P194" s="6">
        <v>78222.009999999995</v>
      </c>
      <c r="Q194" s="2"/>
      <c r="R194" s="7">
        <f t="shared" si="66"/>
        <v>6.8763013886820826E-3</v>
      </c>
      <c r="S194" s="2"/>
      <c r="T194" s="6">
        <v>117742.96</v>
      </c>
      <c r="U194" s="2"/>
      <c r="V194" s="7">
        <f t="shared" si="67"/>
        <v>2.289413338891615E-2</v>
      </c>
      <c r="W194" s="2"/>
      <c r="X194" s="6">
        <f t="shared" si="68"/>
        <v>-39520.950000000012</v>
      </c>
      <c r="Y194" s="2"/>
      <c r="Z194" s="7">
        <f t="shared" si="69"/>
        <v>-0.33565446290801598</v>
      </c>
    </row>
    <row r="195" spans="1:26" s="24" customFormat="1" hidden="1" outlineLevel="2" x14ac:dyDescent="0.3">
      <c r="A195" s="28"/>
      <c r="B195" s="11" t="str">
        <f>CONCATENATE("          ", "6307", " - ", "POSTAGE")</f>
        <v xml:space="preserve">          6307 - POSTAGE</v>
      </c>
      <c r="C195" s="11"/>
      <c r="D195" s="6">
        <v>-14451.62</v>
      </c>
      <c r="E195" s="2"/>
      <c r="F195" s="7">
        <f t="shared" si="62"/>
        <v>-8.5110429327681422E-3</v>
      </c>
      <c r="G195" s="2"/>
      <c r="H195" s="6">
        <v>-9406.57</v>
      </c>
      <c r="I195" s="2"/>
      <c r="J195" s="7">
        <f t="shared" si="63"/>
        <v>-1.9453257612094151E-2</v>
      </c>
      <c r="K195" s="2"/>
      <c r="L195" s="6">
        <f t="shared" si="64"/>
        <v>-5045.0500000000011</v>
      </c>
      <c r="M195" s="2"/>
      <c r="N195" s="7">
        <f t="shared" si="65"/>
        <v>0.53633258456589394</v>
      </c>
      <c r="O195" s="11"/>
      <c r="P195" s="6">
        <v>-110266.47</v>
      </c>
      <c r="Q195" s="2"/>
      <c r="R195" s="7">
        <f t="shared" si="66"/>
        <v>-9.6932497744058391E-3</v>
      </c>
      <c r="S195" s="2"/>
      <c r="T195" s="6">
        <v>-131814.68</v>
      </c>
      <c r="U195" s="2"/>
      <c r="V195" s="7">
        <f t="shared" si="67"/>
        <v>-2.5630261601519932E-2</v>
      </c>
      <c r="W195" s="2"/>
      <c r="X195" s="6">
        <f t="shared" si="68"/>
        <v>21548.209999999992</v>
      </c>
      <c r="Y195" s="2"/>
      <c r="Z195" s="7">
        <f t="shared" si="69"/>
        <v>-0.1634735220690138</v>
      </c>
    </row>
    <row r="196" spans="1:26" s="29" customFormat="1" outlineLevel="1" collapsed="1" x14ac:dyDescent="0.3">
      <c r="A196" s="27"/>
      <c r="B196" s="14" t="str">
        <f>CONCATENATE("     ","General                                           ")</f>
        <v xml:space="preserve">     General                                           </v>
      </c>
      <c r="C196" s="14"/>
      <c r="D196" s="1">
        <f>SUM(OSRRefD22_11x_0)</f>
        <v>2144.19</v>
      </c>
      <c r="E196" s="1"/>
      <c r="F196" s="5">
        <f t="shared" ref="F196:F204" si="70">IF(D$12=0,0,D196/D$12)</f>
        <v>1.2627852895393127E-3</v>
      </c>
      <c r="G196" s="1"/>
      <c r="H196" s="1">
        <f>SUM(OSRRefH22_11x_0)</f>
        <v>4229.33</v>
      </c>
      <c r="I196" s="1"/>
      <c r="J196" s="5">
        <f t="shared" ref="J196:J204" si="71">IF(H$12=0,0,H196/H$12)</f>
        <v>8.7464661419155067E-3</v>
      </c>
      <c r="K196" s="1"/>
      <c r="L196" s="1">
        <f t="shared" ref="L196:L204" si="72">+D196-H196</f>
        <v>-2085.14</v>
      </c>
      <c r="M196" s="1"/>
      <c r="N196" s="5">
        <f t="shared" ref="N196:N204" si="73">IF(H196=0,0,L196/H196)</f>
        <v>-0.49301898882328876</v>
      </c>
      <c r="O196" s="14"/>
      <c r="P196" s="1">
        <f>SUM(OSRRefP22_11x_0)</f>
        <v>32895.54</v>
      </c>
      <c r="Q196" s="1"/>
      <c r="R196" s="5">
        <f t="shared" ref="R196:R204" si="74">IF(P$12=0,0,P196/P$12)</f>
        <v>2.8917647013090948E-3</v>
      </c>
      <c r="S196" s="1"/>
      <c r="T196" s="1">
        <f>SUM(OSRRefT22_11x_0)</f>
        <v>17309.580000000002</v>
      </c>
      <c r="U196" s="1"/>
      <c r="V196" s="5">
        <f t="shared" ref="V196:V204" si="75">IF(T$12=0,0,T196/T$12)</f>
        <v>3.3657029976664017E-3</v>
      </c>
      <c r="W196" s="1"/>
      <c r="X196" s="1">
        <f t="shared" ref="X196:X204" si="76">+P196-T196</f>
        <v>15585.96</v>
      </c>
      <c r="Y196" s="1"/>
      <c r="Z196" s="5">
        <f t="shared" ref="Z196:Z204" si="77">IF(T196=0,0,X196/T196)</f>
        <v>0.9004239270970178</v>
      </c>
    </row>
    <row r="197" spans="1:26" s="24" customFormat="1" hidden="1" outlineLevel="2" x14ac:dyDescent="0.3">
      <c r="A197" s="28"/>
      <c r="B197" s="11" t="str">
        <f>CONCATENATE("          ", "6279", " - ", "GENERAL EXPENSE")</f>
        <v xml:space="preserve">          6279 - GENERAL EXPENSE</v>
      </c>
      <c r="C197" s="11"/>
      <c r="D197" s="6">
        <v>2144.19</v>
      </c>
      <c r="E197" s="2"/>
      <c r="F197" s="7">
        <f t="shared" si="70"/>
        <v>1.2627852895393127E-3</v>
      </c>
      <c r="G197" s="2"/>
      <c r="H197" s="6">
        <v>4229.33</v>
      </c>
      <c r="I197" s="2"/>
      <c r="J197" s="7">
        <f t="shared" si="71"/>
        <v>8.7464661419155067E-3</v>
      </c>
      <c r="K197" s="2"/>
      <c r="L197" s="6">
        <f t="shared" si="72"/>
        <v>-2085.14</v>
      </c>
      <c r="M197" s="2"/>
      <c r="N197" s="7">
        <f t="shared" si="73"/>
        <v>-0.49301898882328876</v>
      </c>
      <c r="O197" s="11"/>
      <c r="P197" s="6">
        <v>32895.54</v>
      </c>
      <c r="Q197" s="2"/>
      <c r="R197" s="7">
        <f t="shared" si="74"/>
        <v>2.8917647013090948E-3</v>
      </c>
      <c r="S197" s="2"/>
      <c r="T197" s="6">
        <v>17309.580000000002</v>
      </c>
      <c r="U197" s="2"/>
      <c r="V197" s="7">
        <f t="shared" si="75"/>
        <v>3.3657029976664017E-3</v>
      </c>
      <c r="W197" s="2"/>
      <c r="X197" s="6">
        <f t="shared" si="76"/>
        <v>15585.96</v>
      </c>
      <c r="Y197" s="2"/>
      <c r="Z197" s="7">
        <f t="shared" si="77"/>
        <v>0.9004239270970178</v>
      </c>
    </row>
    <row r="198" spans="1:26" s="29" customFormat="1" outlineLevel="1" collapsed="1" x14ac:dyDescent="0.3">
      <c r="A198" s="27"/>
      <c r="B198" s="14" t="str">
        <f>CONCATENATE("     ","Insurance                                         ")</f>
        <v xml:space="preserve">     Insurance                                         </v>
      </c>
      <c r="C198" s="14"/>
      <c r="D198" s="1">
        <f>SUM(OSRRefD22_12x_0)</f>
        <v>11626.43</v>
      </c>
      <c r="E198" s="1"/>
      <c r="F198" s="5">
        <f t="shared" si="70"/>
        <v>6.8471939398367454E-3</v>
      </c>
      <c r="G198" s="1"/>
      <c r="H198" s="1">
        <f>SUM(OSRRefH22_12x_0)</f>
        <v>8563.32</v>
      </c>
      <c r="I198" s="1"/>
      <c r="J198" s="5">
        <f t="shared" si="71"/>
        <v>1.7709374402656661E-2</v>
      </c>
      <c r="K198" s="1"/>
      <c r="L198" s="1">
        <f t="shared" si="72"/>
        <v>3063.1100000000006</v>
      </c>
      <c r="M198" s="1"/>
      <c r="N198" s="5">
        <f t="shared" si="73"/>
        <v>0.35770121868621058</v>
      </c>
      <c r="O198" s="14"/>
      <c r="P198" s="1">
        <f>SUM(OSRRefP22_12x_0)</f>
        <v>76641.59</v>
      </c>
      <c r="Q198" s="1"/>
      <c r="R198" s="5">
        <f t="shared" si="74"/>
        <v>6.7373706166308283E-3</v>
      </c>
      <c r="S198" s="1"/>
      <c r="T198" s="1">
        <f>SUM(OSRRefT22_12x_0)</f>
        <v>57491.92</v>
      </c>
      <c r="U198" s="1"/>
      <c r="V198" s="5">
        <f t="shared" si="75"/>
        <v>1.1178822795561587E-2</v>
      </c>
      <c r="W198" s="1"/>
      <c r="X198" s="1">
        <f t="shared" si="76"/>
        <v>19149.669999999998</v>
      </c>
      <c r="Y198" s="1"/>
      <c r="Z198" s="5">
        <f t="shared" si="77"/>
        <v>0.33308454474994048</v>
      </c>
    </row>
    <row r="199" spans="1:26" s="24" customFormat="1" hidden="1" outlineLevel="2" x14ac:dyDescent="0.3">
      <c r="A199" s="28"/>
      <c r="B199" s="11" t="str">
        <f>CONCATENATE("          ", "6314", " - ", "LIABILITY INSURANCE")</f>
        <v xml:space="preserve">          6314 - LIABILITY INSURANCE</v>
      </c>
      <c r="C199" s="11"/>
      <c r="D199" s="6">
        <v>11626.43</v>
      </c>
      <c r="E199" s="2"/>
      <c r="F199" s="7">
        <f t="shared" si="70"/>
        <v>6.8471939398367454E-3</v>
      </c>
      <c r="G199" s="2"/>
      <c r="H199" s="6">
        <v>8563.32</v>
      </c>
      <c r="I199" s="2"/>
      <c r="J199" s="7">
        <f t="shared" si="71"/>
        <v>1.7709374402656661E-2</v>
      </c>
      <c r="K199" s="2"/>
      <c r="L199" s="6">
        <f t="shared" si="72"/>
        <v>3063.1100000000006</v>
      </c>
      <c r="M199" s="2"/>
      <c r="N199" s="7">
        <f t="shared" si="73"/>
        <v>0.35770121868621058</v>
      </c>
      <c r="O199" s="11"/>
      <c r="P199" s="6">
        <v>76641.59</v>
      </c>
      <c r="Q199" s="2"/>
      <c r="R199" s="7">
        <f t="shared" si="74"/>
        <v>6.7373706166308283E-3</v>
      </c>
      <c r="S199" s="2"/>
      <c r="T199" s="6">
        <v>57491.92</v>
      </c>
      <c r="U199" s="2"/>
      <c r="V199" s="7">
        <f t="shared" si="75"/>
        <v>1.1178822795561587E-2</v>
      </c>
      <c r="W199" s="2"/>
      <c r="X199" s="6">
        <f t="shared" si="76"/>
        <v>19149.669999999998</v>
      </c>
      <c r="Y199" s="2"/>
      <c r="Z199" s="7">
        <f t="shared" si="77"/>
        <v>0.33308454474994048</v>
      </c>
    </row>
    <row r="200" spans="1:26" s="29" customFormat="1" outlineLevel="1" collapsed="1" x14ac:dyDescent="0.3">
      <c r="A200" s="27"/>
      <c r="B200" s="14" t="str">
        <f>CONCATENATE("     ","Interest                                          ")</f>
        <v xml:space="preserve">     Interest                                          </v>
      </c>
      <c r="C200" s="14"/>
      <c r="D200" s="1">
        <f>SUM(OSRRefD22_13x_0)</f>
        <v>11158</v>
      </c>
      <c r="E200" s="1"/>
      <c r="F200" s="5">
        <f t="shared" si="70"/>
        <v>6.5713198273845376E-3</v>
      </c>
      <c r="G200" s="1"/>
      <c r="H200" s="1">
        <f>SUM(OSRRefH22_13x_0)</f>
        <v>11554</v>
      </c>
      <c r="I200" s="1"/>
      <c r="J200" s="5">
        <f t="shared" si="71"/>
        <v>2.389425034312569E-2</v>
      </c>
      <c r="K200" s="1"/>
      <c r="L200" s="1">
        <f t="shared" si="72"/>
        <v>-396</v>
      </c>
      <c r="M200" s="1"/>
      <c r="N200" s="5">
        <f t="shared" si="73"/>
        <v>-3.4273844555997926E-2</v>
      </c>
      <c r="O200" s="14"/>
      <c r="P200" s="1">
        <f>SUM(OSRRefP22_13x_0)</f>
        <v>66158</v>
      </c>
      <c r="Q200" s="1"/>
      <c r="R200" s="5">
        <f t="shared" si="74"/>
        <v>5.8157844227274295E-3</v>
      </c>
      <c r="S200" s="1"/>
      <c r="T200" s="1">
        <f>SUM(OSRRefT22_13x_0)</f>
        <v>68575</v>
      </c>
      <c r="U200" s="1"/>
      <c r="V200" s="5">
        <f t="shared" si="75"/>
        <v>1.3333834966820307E-2</v>
      </c>
      <c r="W200" s="1"/>
      <c r="X200" s="1">
        <f t="shared" si="76"/>
        <v>-2417</v>
      </c>
      <c r="Y200" s="1"/>
      <c r="Z200" s="5">
        <f t="shared" si="77"/>
        <v>-3.5246080933284726E-2</v>
      </c>
    </row>
    <row r="201" spans="1:26" s="24" customFormat="1" hidden="1" outlineLevel="2" x14ac:dyDescent="0.3">
      <c r="A201" s="28"/>
      <c r="B201" s="11" t="str">
        <f>CONCATENATE("          ", "6401", " - ", "INTEREST EXPENSE")</f>
        <v xml:space="preserve">          6401 - INTEREST EXPENSE</v>
      </c>
      <c r="C201" s="11"/>
      <c r="D201" s="6">
        <v>11158</v>
      </c>
      <c r="E201" s="2"/>
      <c r="F201" s="7">
        <f t="shared" si="70"/>
        <v>6.5713198273845376E-3</v>
      </c>
      <c r="G201" s="2"/>
      <c r="H201" s="6">
        <v>11554</v>
      </c>
      <c r="I201" s="2"/>
      <c r="J201" s="7">
        <f t="shared" si="71"/>
        <v>2.389425034312569E-2</v>
      </c>
      <c r="K201" s="2"/>
      <c r="L201" s="6">
        <f t="shared" si="72"/>
        <v>-396</v>
      </c>
      <c r="M201" s="2"/>
      <c r="N201" s="7">
        <f t="shared" si="73"/>
        <v>-3.4273844555997926E-2</v>
      </c>
      <c r="O201" s="11"/>
      <c r="P201" s="6">
        <v>66158</v>
      </c>
      <c r="Q201" s="2"/>
      <c r="R201" s="7">
        <f t="shared" si="74"/>
        <v>5.8157844227274295E-3</v>
      </c>
      <c r="S201" s="2"/>
      <c r="T201" s="6">
        <v>68575</v>
      </c>
      <c r="U201" s="2"/>
      <c r="V201" s="7">
        <f t="shared" si="75"/>
        <v>1.3333834966820307E-2</v>
      </c>
      <c r="W201" s="2"/>
      <c r="X201" s="6">
        <f t="shared" si="76"/>
        <v>-2417</v>
      </c>
      <c r="Y201" s="2"/>
      <c r="Z201" s="7">
        <f t="shared" si="77"/>
        <v>-3.5246080933284726E-2</v>
      </c>
    </row>
    <row r="202" spans="1:26" s="29" customFormat="1" outlineLevel="1" collapsed="1" x14ac:dyDescent="0.3">
      <c r="A202" s="27"/>
      <c r="B202" s="14" t="str">
        <f>CONCATENATE("     ","Inventory Adjustment                              ")</f>
        <v xml:space="preserve">     Inventory Adjustment                              </v>
      </c>
      <c r="C202" s="14"/>
      <c r="D202" s="1">
        <f>SUM(OSRRefD22_14x_0)</f>
        <v>9440</v>
      </c>
      <c r="E202" s="1"/>
      <c r="F202" s="5">
        <f t="shared" si="70"/>
        <v>5.5595320998843905E-3</v>
      </c>
      <c r="G202" s="1"/>
      <c r="H202" s="1">
        <f>SUM(OSRRefH22_14x_0)</f>
        <v>8350</v>
      </c>
      <c r="I202" s="1"/>
      <c r="J202" s="5">
        <f t="shared" si="71"/>
        <v>1.7268217964782718E-2</v>
      </c>
      <c r="K202" s="1"/>
      <c r="L202" s="1">
        <f t="shared" si="72"/>
        <v>1090</v>
      </c>
      <c r="M202" s="1"/>
      <c r="N202" s="5">
        <f t="shared" si="73"/>
        <v>0.13053892215568863</v>
      </c>
      <c r="O202" s="14"/>
      <c r="P202" s="1">
        <f>SUM(OSRRefP22_14x_0)</f>
        <v>40240</v>
      </c>
      <c r="Q202" s="1"/>
      <c r="R202" s="5">
        <f t="shared" si="74"/>
        <v>3.5373978229473651E-3</v>
      </c>
      <c r="S202" s="1"/>
      <c r="T202" s="1">
        <f>SUM(OSRRefT22_14x_0)</f>
        <v>25100</v>
      </c>
      <c r="U202" s="1"/>
      <c r="V202" s="5">
        <f t="shared" si="75"/>
        <v>4.8804849823870173E-3</v>
      </c>
      <c r="W202" s="1"/>
      <c r="X202" s="1">
        <f t="shared" si="76"/>
        <v>15140</v>
      </c>
      <c r="Y202" s="1"/>
      <c r="Z202" s="5">
        <f t="shared" si="77"/>
        <v>0.60318725099601589</v>
      </c>
    </row>
    <row r="203" spans="1:26" s="24" customFormat="1" hidden="1" outlineLevel="2" x14ac:dyDescent="0.3">
      <c r="A203" s="28"/>
      <c r="B203" s="11" t="str">
        <f>CONCATENATE("          ", "6408", " - ", "INVENTORY ADJUSTMENT")</f>
        <v xml:space="preserve">          6408 - INVENTORY ADJUSTMENT</v>
      </c>
      <c r="C203" s="11"/>
      <c r="D203" s="6">
        <v>9440</v>
      </c>
      <c r="E203" s="2"/>
      <c r="F203" s="7">
        <f t="shared" si="70"/>
        <v>5.5595320998843905E-3</v>
      </c>
      <c r="G203" s="2"/>
      <c r="H203" s="6">
        <v>8350</v>
      </c>
      <c r="I203" s="2"/>
      <c r="J203" s="7">
        <f t="shared" si="71"/>
        <v>1.7268217964782718E-2</v>
      </c>
      <c r="K203" s="2"/>
      <c r="L203" s="6">
        <f t="shared" si="72"/>
        <v>1090</v>
      </c>
      <c r="M203" s="2"/>
      <c r="N203" s="7">
        <f t="shared" si="73"/>
        <v>0.13053892215568863</v>
      </c>
      <c r="O203" s="11"/>
      <c r="P203" s="6">
        <v>40240</v>
      </c>
      <c r="Q203" s="2"/>
      <c r="R203" s="7">
        <f t="shared" si="74"/>
        <v>3.5373978229473651E-3</v>
      </c>
      <c r="S203" s="2"/>
      <c r="T203" s="6">
        <v>25100</v>
      </c>
      <c r="U203" s="2"/>
      <c r="V203" s="7">
        <f t="shared" si="75"/>
        <v>4.8804849823870173E-3</v>
      </c>
      <c r="W203" s="2"/>
      <c r="X203" s="6">
        <f t="shared" si="76"/>
        <v>15140</v>
      </c>
      <c r="Y203" s="2"/>
      <c r="Z203" s="7">
        <f t="shared" si="77"/>
        <v>0.60318725099601589</v>
      </c>
    </row>
    <row r="204" spans="1:26" s="24" customFormat="1" hidden="1" outlineLevel="2" x14ac:dyDescent="0.3">
      <c r="A204" s="28"/>
      <c r="B204" s="11" t="str">
        <f>CONCATENATE("          ", "7741", " - ", "INV. SHRINKAGE-LOGO GIFTS")</f>
        <v xml:space="preserve">          7741 - INV. SHRINKAGE-LOGO GIFTS</v>
      </c>
      <c r="C204" s="11"/>
      <c r="D204" s="6"/>
      <c r="E204" s="2"/>
      <c r="F204" s="7">
        <f t="shared" si="70"/>
        <v>0</v>
      </c>
      <c r="G204" s="2"/>
      <c r="H204" s="6"/>
      <c r="I204" s="2"/>
      <c r="J204" s="7">
        <f t="shared" si="71"/>
        <v>0</v>
      </c>
      <c r="K204" s="2"/>
      <c r="L204" s="6">
        <f t="shared" si="72"/>
        <v>0</v>
      </c>
      <c r="M204" s="2"/>
      <c r="N204" s="7">
        <f t="shared" si="73"/>
        <v>0</v>
      </c>
      <c r="O204" s="11"/>
      <c r="P204" s="6"/>
      <c r="Q204" s="2"/>
      <c r="R204" s="7">
        <f t="shared" si="74"/>
        <v>0</v>
      </c>
      <c r="S204" s="2"/>
      <c r="T204" s="6">
        <v>0</v>
      </c>
      <c r="U204" s="2"/>
      <c r="V204" s="7">
        <f t="shared" si="75"/>
        <v>0</v>
      </c>
      <c r="W204" s="2"/>
      <c r="X204" s="6">
        <f t="shared" si="76"/>
        <v>0</v>
      </c>
      <c r="Y204" s="2"/>
      <c r="Z204" s="7">
        <f t="shared" si="77"/>
        <v>0</v>
      </c>
    </row>
    <row r="205" spans="1:26" s="29" customFormat="1" outlineLevel="1" collapsed="1" x14ac:dyDescent="0.3">
      <c r="A205" s="27"/>
      <c r="B205" s="14" t="str">
        <f>CONCATENATE("     ","Professional Services                             ")</f>
        <v xml:space="preserve">     Professional Services                             </v>
      </c>
      <c r="C205" s="14"/>
      <c r="D205" s="1">
        <f>SUM(OSRRefD22_15x_0)</f>
        <v>0</v>
      </c>
      <c r="E205" s="1"/>
      <c r="F205" s="5">
        <f t="shared" ref="F205:F215" si="78">IF(D$12=0,0,D205/D$12)</f>
        <v>0</v>
      </c>
      <c r="G205" s="1"/>
      <c r="H205" s="1">
        <f>SUM(OSRRefH22_15x_0)</f>
        <v>0</v>
      </c>
      <c r="I205" s="1"/>
      <c r="J205" s="5">
        <f t="shared" ref="J205:J215" si="79">IF(H$12=0,0,H205/H$12)</f>
        <v>0</v>
      </c>
      <c r="K205" s="1"/>
      <c r="L205" s="1">
        <f t="shared" ref="L205:L215" si="80">+D205-H205</f>
        <v>0</v>
      </c>
      <c r="M205" s="1"/>
      <c r="N205" s="5">
        <f t="shared" ref="N205:N215" si="81">IF(H205=0,0,L205/H205)</f>
        <v>0</v>
      </c>
      <c r="O205" s="14"/>
      <c r="P205" s="1">
        <f>SUM(OSRRefP22_15x_0)</f>
        <v>8186.53</v>
      </c>
      <c r="Q205" s="1"/>
      <c r="R205" s="5">
        <f t="shared" ref="R205:R215" si="82">IF(P$12=0,0,P205/P$12)</f>
        <v>7.1965739064347141E-4</v>
      </c>
      <c r="S205" s="1"/>
      <c r="T205" s="1">
        <f>SUM(OSRRefT22_15x_0)</f>
        <v>0</v>
      </c>
      <c r="U205" s="1"/>
      <c r="V205" s="5">
        <f t="shared" ref="V205:V215" si="83">IF(T$12=0,0,T205/T$12)</f>
        <v>0</v>
      </c>
      <c r="W205" s="1"/>
      <c r="X205" s="1">
        <f t="shared" ref="X205:X215" si="84">+P205-T205</f>
        <v>8186.53</v>
      </c>
      <c r="Y205" s="1"/>
      <c r="Z205" s="5">
        <f t="shared" ref="Z205:Z215" si="85">IF(T205=0,0,X205/T205)</f>
        <v>0</v>
      </c>
    </row>
    <row r="206" spans="1:26" s="24" customFormat="1" hidden="1" outlineLevel="2" x14ac:dyDescent="0.3">
      <c r="A206" s="28"/>
      <c r="B206" s="11" t="str">
        <f>CONCATENATE("          ", "6336", " - ", "PROFESSIONAL SERVICES")</f>
        <v xml:space="preserve">          6336 - PROFESSIONAL SERVICES</v>
      </c>
      <c r="C206" s="11"/>
      <c r="D206" s="6"/>
      <c r="E206" s="2"/>
      <c r="F206" s="7">
        <f t="shared" si="78"/>
        <v>0</v>
      </c>
      <c r="G206" s="2"/>
      <c r="H206" s="6"/>
      <c r="I206" s="2"/>
      <c r="J206" s="7">
        <f t="shared" si="79"/>
        <v>0</v>
      </c>
      <c r="K206" s="2"/>
      <c r="L206" s="6">
        <f t="shared" si="80"/>
        <v>0</v>
      </c>
      <c r="M206" s="2"/>
      <c r="N206" s="7">
        <f t="shared" si="81"/>
        <v>0</v>
      </c>
      <c r="O206" s="11"/>
      <c r="P206" s="6">
        <v>8186.53</v>
      </c>
      <c r="Q206" s="2"/>
      <c r="R206" s="7">
        <f t="shared" si="82"/>
        <v>7.1965739064347141E-4</v>
      </c>
      <c r="S206" s="2"/>
      <c r="T206" s="6"/>
      <c r="U206" s="2"/>
      <c r="V206" s="7">
        <f t="shared" si="83"/>
        <v>0</v>
      </c>
      <c r="W206" s="2"/>
      <c r="X206" s="6">
        <f t="shared" si="84"/>
        <v>8186.53</v>
      </c>
      <c r="Y206" s="2"/>
      <c r="Z206" s="7">
        <f t="shared" si="85"/>
        <v>0</v>
      </c>
    </row>
    <row r="207" spans="1:26" s="29" customFormat="1" outlineLevel="1" collapsed="1" x14ac:dyDescent="0.3">
      <c r="A207" s="27"/>
      <c r="B207" s="14" t="str">
        <f>CONCATENATE("     ","R/H Commissions                                   ")</f>
        <v xml:space="preserve">     R/H Commissions                                   </v>
      </c>
      <c r="C207" s="14"/>
      <c r="D207" s="1">
        <f>SUM(OSRRefD22_16x_0)</f>
        <v>76752.539999999994</v>
      </c>
      <c r="E207" s="1"/>
      <c r="F207" s="5">
        <f t="shared" si="78"/>
        <v>4.5202140876870835E-2</v>
      </c>
      <c r="G207" s="1"/>
      <c r="H207" s="1">
        <f>SUM(OSRRefH22_16x_0)</f>
        <v>38313.42</v>
      </c>
      <c r="I207" s="1"/>
      <c r="J207" s="5">
        <f t="shared" si="79"/>
        <v>7.9234070363624606E-2</v>
      </c>
      <c r="K207" s="1"/>
      <c r="L207" s="1">
        <f t="shared" si="80"/>
        <v>38439.119999999995</v>
      </c>
      <c r="M207" s="1"/>
      <c r="N207" s="5">
        <f t="shared" si="81"/>
        <v>1.0032808347571163</v>
      </c>
      <c r="O207" s="14"/>
      <c r="P207" s="1">
        <f>SUM(OSRRefP22_16x_0)</f>
        <v>449668.74</v>
      </c>
      <c r="Q207" s="1"/>
      <c r="R207" s="5">
        <f t="shared" si="82"/>
        <v>3.9529255017979242E-2</v>
      </c>
      <c r="S207" s="1"/>
      <c r="T207" s="1">
        <f>SUM(OSRRefT22_16x_0)</f>
        <v>75016.490000000005</v>
      </c>
      <c r="U207" s="1"/>
      <c r="V207" s="5">
        <f t="shared" si="83"/>
        <v>1.4586328799856012E-2</v>
      </c>
      <c r="W207" s="1"/>
      <c r="X207" s="1">
        <f t="shared" si="84"/>
        <v>374652.25</v>
      </c>
      <c r="Y207" s="1"/>
      <c r="Z207" s="5">
        <f t="shared" si="85"/>
        <v>4.9942652608779747</v>
      </c>
    </row>
    <row r="208" spans="1:26" s="24" customFormat="1" hidden="1" outlineLevel="2" x14ac:dyDescent="0.3">
      <c r="A208" s="28"/>
      <c r="B208" s="11" t="str">
        <f>CONCATENATE("          ", "6387", " - ", "COMMISSION DUE HOUSING")</f>
        <v xml:space="preserve">          6387 - COMMISSION DUE HOUSING</v>
      </c>
      <c r="C208" s="11"/>
      <c r="D208" s="6">
        <v>76752.539999999994</v>
      </c>
      <c r="E208" s="2"/>
      <c r="F208" s="7">
        <f t="shared" si="78"/>
        <v>4.5202140876870835E-2</v>
      </c>
      <c r="G208" s="2"/>
      <c r="H208" s="6">
        <v>38313.42</v>
      </c>
      <c r="I208" s="2"/>
      <c r="J208" s="7">
        <f t="shared" si="79"/>
        <v>7.9234070363624606E-2</v>
      </c>
      <c r="K208" s="2"/>
      <c r="L208" s="6">
        <f t="shared" si="80"/>
        <v>38439.119999999995</v>
      </c>
      <c r="M208" s="2"/>
      <c r="N208" s="7">
        <f t="shared" si="81"/>
        <v>1.0032808347571163</v>
      </c>
      <c r="O208" s="11"/>
      <c r="P208" s="6">
        <v>449668.74</v>
      </c>
      <c r="Q208" s="2"/>
      <c r="R208" s="7">
        <f t="shared" si="82"/>
        <v>3.9529255017979242E-2</v>
      </c>
      <c r="S208" s="2"/>
      <c r="T208" s="6">
        <v>75016.490000000005</v>
      </c>
      <c r="U208" s="2"/>
      <c r="V208" s="7">
        <f t="shared" si="83"/>
        <v>1.4586328799856012E-2</v>
      </c>
      <c r="W208" s="2"/>
      <c r="X208" s="6">
        <f t="shared" si="84"/>
        <v>374652.25</v>
      </c>
      <c r="Y208" s="2"/>
      <c r="Z208" s="7">
        <f t="shared" si="85"/>
        <v>4.9942652608779747</v>
      </c>
    </row>
    <row r="209" spans="1:26" s="29" customFormat="1" outlineLevel="1" collapsed="1" x14ac:dyDescent="0.3">
      <c r="A209" s="27"/>
      <c r="B209" s="14" t="str">
        <f>CONCATENATE("     ","Rent                                              ")</f>
        <v xml:space="preserve">     Rent                                              </v>
      </c>
      <c r="C209" s="14"/>
      <c r="D209" s="1">
        <f>SUM(OSRRefD22_17x_0)</f>
        <v>8750</v>
      </c>
      <c r="E209" s="1"/>
      <c r="F209" s="5">
        <f t="shared" si="78"/>
        <v>5.1531679951258916E-3</v>
      </c>
      <c r="G209" s="1"/>
      <c r="H209" s="1">
        <f>SUM(OSRRefH22_17x_0)</f>
        <v>12450</v>
      </c>
      <c r="I209" s="1"/>
      <c r="J209" s="5">
        <f t="shared" si="79"/>
        <v>2.574722319299938E-2</v>
      </c>
      <c r="K209" s="1"/>
      <c r="L209" s="1">
        <f t="shared" si="80"/>
        <v>-3700</v>
      </c>
      <c r="M209" s="1"/>
      <c r="N209" s="5">
        <f t="shared" si="81"/>
        <v>-0.2971887550200803</v>
      </c>
      <c r="O209" s="14"/>
      <c r="P209" s="1">
        <f>SUM(OSRRefP22_17x_0)</f>
        <v>52500</v>
      </c>
      <c r="Q209" s="1"/>
      <c r="R209" s="5">
        <f t="shared" si="82"/>
        <v>4.6151437799387841E-3</v>
      </c>
      <c r="S209" s="1"/>
      <c r="T209" s="1">
        <f>SUM(OSRRefT22_17x_0)</f>
        <v>52500</v>
      </c>
      <c r="U209" s="1"/>
      <c r="V209" s="5">
        <f t="shared" si="83"/>
        <v>1.0208185720132207E-2</v>
      </c>
      <c r="W209" s="1"/>
      <c r="X209" s="1">
        <f t="shared" si="84"/>
        <v>0</v>
      </c>
      <c r="Y209" s="1"/>
      <c r="Z209" s="5">
        <f t="shared" si="85"/>
        <v>0</v>
      </c>
    </row>
    <row r="210" spans="1:26" s="24" customFormat="1" hidden="1" outlineLevel="2" x14ac:dyDescent="0.3">
      <c r="A210" s="28"/>
      <c r="B210" s="11" t="str">
        <f>CONCATENATE("          ", "6273", " - ", "RENT")</f>
        <v xml:space="preserve">          6273 - RENT</v>
      </c>
      <c r="C210" s="11"/>
      <c r="D210" s="6">
        <v>8750</v>
      </c>
      <c r="E210" s="2"/>
      <c r="F210" s="7">
        <f t="shared" si="78"/>
        <v>5.1531679951258916E-3</v>
      </c>
      <c r="G210" s="2"/>
      <c r="H210" s="6">
        <v>12450</v>
      </c>
      <c r="I210" s="2"/>
      <c r="J210" s="7">
        <f t="shared" si="79"/>
        <v>2.574722319299938E-2</v>
      </c>
      <c r="K210" s="2"/>
      <c r="L210" s="6">
        <f t="shared" si="80"/>
        <v>-3700</v>
      </c>
      <c r="M210" s="2"/>
      <c r="N210" s="7">
        <f t="shared" si="81"/>
        <v>-0.2971887550200803</v>
      </c>
      <c r="O210" s="11"/>
      <c r="P210" s="6">
        <v>52500</v>
      </c>
      <c r="Q210" s="2"/>
      <c r="R210" s="7">
        <f t="shared" si="82"/>
        <v>4.6151437799387841E-3</v>
      </c>
      <c r="S210" s="2"/>
      <c r="T210" s="6">
        <v>52500</v>
      </c>
      <c r="U210" s="2"/>
      <c r="V210" s="7">
        <f t="shared" si="83"/>
        <v>1.0208185720132207E-2</v>
      </c>
      <c r="W210" s="2"/>
      <c r="X210" s="6">
        <f t="shared" si="84"/>
        <v>0</v>
      </c>
      <c r="Y210" s="2"/>
      <c r="Z210" s="7">
        <f t="shared" si="85"/>
        <v>0</v>
      </c>
    </row>
    <row r="211" spans="1:26" s="29" customFormat="1" outlineLevel="1" collapsed="1" x14ac:dyDescent="0.3">
      <c r="A211" s="27"/>
      <c r="B211" s="14" t="str">
        <f>CONCATENATE("     ","Repair and Maintenance                            ")</f>
        <v xml:space="preserve">     Repair and Maintenance                            </v>
      </c>
      <c r="C211" s="14"/>
      <c r="D211" s="1">
        <f>SUM(OSRRefD22_18x_0)</f>
        <v>22530.019999999997</v>
      </c>
      <c r="E211" s="1"/>
      <c r="F211" s="5">
        <f t="shared" si="78"/>
        <v>1.3268683199262426E-2</v>
      </c>
      <c r="G211" s="1"/>
      <c r="H211" s="1">
        <f>SUM(OSRRefH22_18x_0)</f>
        <v>16761.490000000002</v>
      </c>
      <c r="I211" s="1"/>
      <c r="J211" s="5">
        <f t="shared" si="79"/>
        <v>3.466360032748813E-2</v>
      </c>
      <c r="K211" s="1"/>
      <c r="L211" s="1">
        <f t="shared" si="80"/>
        <v>5768.5299999999952</v>
      </c>
      <c r="M211" s="1"/>
      <c r="N211" s="5">
        <f t="shared" si="81"/>
        <v>0.34415377153224413</v>
      </c>
      <c r="O211" s="14"/>
      <c r="P211" s="1">
        <f>SUM(OSRRefP22_18x_0)</f>
        <v>302169.27</v>
      </c>
      <c r="Q211" s="1"/>
      <c r="R211" s="5">
        <f t="shared" si="82"/>
        <v>2.6562945274840821E-2</v>
      </c>
      <c r="S211" s="1"/>
      <c r="T211" s="1">
        <f>SUM(OSRRefT22_18x_0)</f>
        <v>266342.83999999997</v>
      </c>
      <c r="U211" s="1"/>
      <c r="V211" s="5">
        <f t="shared" si="83"/>
        <v>5.1788136684713472E-2</v>
      </c>
      <c r="W211" s="1"/>
      <c r="X211" s="1">
        <f t="shared" si="84"/>
        <v>35826.430000000051</v>
      </c>
      <c r="Y211" s="1"/>
      <c r="Z211" s="5">
        <f t="shared" si="85"/>
        <v>0.13451245770301187</v>
      </c>
    </row>
    <row r="212" spans="1:26" s="24" customFormat="1" hidden="1" outlineLevel="2" x14ac:dyDescent="0.3">
      <c r="A212" s="28"/>
      <c r="B212" s="11" t="str">
        <f>CONCATENATE("          ", "6371", " - ", "COMPUTER SOFTWARE MAINTENANCE")</f>
        <v xml:space="preserve">          6371 - COMPUTER SOFTWARE MAINTENANCE</v>
      </c>
      <c r="C212" s="11"/>
      <c r="D212" s="6">
        <v>4118.3599999999997</v>
      </c>
      <c r="E212" s="2"/>
      <c r="F212" s="7">
        <f t="shared" si="78"/>
        <v>2.4254401079321906E-3</v>
      </c>
      <c r="G212" s="2"/>
      <c r="H212" s="6">
        <v>3500</v>
      </c>
      <c r="I212" s="2"/>
      <c r="J212" s="7">
        <f t="shared" si="79"/>
        <v>7.238175194819103E-3</v>
      </c>
      <c r="K212" s="2"/>
      <c r="L212" s="6">
        <f t="shared" si="80"/>
        <v>618.35999999999967</v>
      </c>
      <c r="M212" s="2"/>
      <c r="N212" s="7">
        <f t="shared" si="81"/>
        <v>0.17667428571428562</v>
      </c>
      <c r="O212" s="11"/>
      <c r="P212" s="6">
        <v>89847.08</v>
      </c>
      <c r="Q212" s="2"/>
      <c r="R212" s="7">
        <f t="shared" si="82"/>
        <v>7.8982322363364259E-3</v>
      </c>
      <c r="S212" s="2"/>
      <c r="T212" s="6">
        <v>61936.47</v>
      </c>
      <c r="U212" s="2"/>
      <c r="V212" s="7">
        <f t="shared" si="83"/>
        <v>1.2043028354464703E-2</v>
      </c>
      <c r="W212" s="2"/>
      <c r="X212" s="6">
        <f t="shared" si="84"/>
        <v>27910.61</v>
      </c>
      <c r="Y212" s="2"/>
      <c r="Z212" s="7">
        <f t="shared" si="85"/>
        <v>0.45063288237124266</v>
      </c>
    </row>
    <row r="213" spans="1:26" s="24" customFormat="1" hidden="1" outlineLevel="2" x14ac:dyDescent="0.3">
      <c r="A213" s="28"/>
      <c r="B213" s="11" t="str">
        <f>CONCATENATE("          ", "6372", " - ", "COMPUTER HARDWARE MAINTENANCE")</f>
        <v xml:space="preserve">          6372 - COMPUTER HARDWARE MAINTENANCE</v>
      </c>
      <c r="C213" s="11"/>
      <c r="D213" s="6"/>
      <c r="E213" s="2"/>
      <c r="F213" s="7">
        <f t="shared" si="78"/>
        <v>0</v>
      </c>
      <c r="G213" s="2"/>
      <c r="H213" s="6"/>
      <c r="I213" s="2"/>
      <c r="J213" s="7">
        <f t="shared" si="79"/>
        <v>0</v>
      </c>
      <c r="K213" s="2"/>
      <c r="L213" s="6">
        <f t="shared" si="80"/>
        <v>0</v>
      </c>
      <c r="M213" s="2"/>
      <c r="N213" s="7">
        <f t="shared" si="81"/>
        <v>0</v>
      </c>
      <c r="O213" s="11"/>
      <c r="P213" s="6"/>
      <c r="Q213" s="2"/>
      <c r="R213" s="7">
        <f t="shared" si="82"/>
        <v>0</v>
      </c>
      <c r="S213" s="2"/>
      <c r="T213" s="6">
        <v>0</v>
      </c>
      <c r="U213" s="2"/>
      <c r="V213" s="7">
        <f t="shared" si="83"/>
        <v>0</v>
      </c>
      <c r="W213" s="2"/>
      <c r="X213" s="6">
        <f t="shared" si="84"/>
        <v>0</v>
      </c>
      <c r="Y213" s="2"/>
      <c r="Z213" s="7">
        <f t="shared" si="85"/>
        <v>0</v>
      </c>
    </row>
    <row r="214" spans="1:26" s="24" customFormat="1" hidden="1" outlineLevel="2" x14ac:dyDescent="0.3">
      <c r="A214" s="28"/>
      <c r="B214" s="11" t="str">
        <f>CONCATENATE("          ", "6373", " - ", "MAINTENANCE CONTRACTS")</f>
        <v xml:space="preserve">          6373 - MAINTENANCE CONTRACTS</v>
      </c>
      <c r="C214" s="11"/>
      <c r="D214" s="6">
        <v>7565.69</v>
      </c>
      <c r="E214" s="2"/>
      <c r="F214" s="7">
        <f t="shared" si="78"/>
        <v>4.4556881793193148E-3</v>
      </c>
      <c r="G214" s="2"/>
      <c r="H214" s="6">
        <v>12774.02</v>
      </c>
      <c r="I214" s="2"/>
      <c r="J214" s="7">
        <f t="shared" si="79"/>
        <v>2.6417312772035177E-2</v>
      </c>
      <c r="K214" s="2"/>
      <c r="L214" s="6">
        <f t="shared" si="80"/>
        <v>-5208.3300000000008</v>
      </c>
      <c r="M214" s="2"/>
      <c r="N214" s="7">
        <f t="shared" si="81"/>
        <v>-0.40772834236990396</v>
      </c>
      <c r="O214" s="11"/>
      <c r="P214" s="6">
        <v>149012.81</v>
      </c>
      <c r="Q214" s="2"/>
      <c r="R214" s="7">
        <f t="shared" si="82"/>
        <v>1.3099343680051424E-2</v>
      </c>
      <c r="S214" s="2"/>
      <c r="T214" s="6">
        <v>174233.09</v>
      </c>
      <c r="U214" s="2"/>
      <c r="V214" s="7">
        <f t="shared" si="83"/>
        <v>3.387816650119066E-2</v>
      </c>
      <c r="W214" s="2"/>
      <c r="X214" s="6">
        <f t="shared" si="84"/>
        <v>-25220.28</v>
      </c>
      <c r="Y214" s="2"/>
      <c r="Z214" s="7">
        <f t="shared" si="85"/>
        <v>-0.14475023085454089</v>
      </c>
    </row>
    <row r="215" spans="1:26" s="24" customFormat="1" hidden="1" outlineLevel="2" x14ac:dyDescent="0.3">
      <c r="A215" s="28"/>
      <c r="B215" s="11" t="str">
        <f>CONCATENATE("          ", "6375", " - ", "OUTSIDE REPAIRS &amp; MAINTENANCE")</f>
        <v xml:space="preserve">          6375 - OUTSIDE REPAIRS &amp; MAINTENANCE</v>
      </c>
      <c r="C215" s="11"/>
      <c r="D215" s="6">
        <v>10845.97</v>
      </c>
      <c r="E215" s="2"/>
      <c r="F215" s="7">
        <f t="shared" si="78"/>
        <v>6.3875549120109218E-3</v>
      </c>
      <c r="G215" s="2"/>
      <c r="H215" s="6">
        <v>487.47</v>
      </c>
      <c r="I215" s="2"/>
      <c r="J215" s="7">
        <f t="shared" si="79"/>
        <v>1.0081123606338481E-3</v>
      </c>
      <c r="K215" s="2"/>
      <c r="L215" s="6">
        <f t="shared" si="80"/>
        <v>10358.5</v>
      </c>
      <c r="M215" s="2"/>
      <c r="N215" s="7">
        <f t="shared" si="81"/>
        <v>21.249512790530698</v>
      </c>
      <c r="O215" s="11"/>
      <c r="P215" s="6">
        <v>63309.38</v>
      </c>
      <c r="Q215" s="2"/>
      <c r="R215" s="7">
        <f t="shared" si="82"/>
        <v>5.5653693584529684E-3</v>
      </c>
      <c r="S215" s="2"/>
      <c r="T215" s="6">
        <v>30173.279999999999</v>
      </c>
      <c r="U215" s="2"/>
      <c r="V215" s="7">
        <f t="shared" si="83"/>
        <v>5.8669418290581091E-3</v>
      </c>
      <c r="W215" s="2"/>
      <c r="X215" s="6">
        <f t="shared" si="84"/>
        <v>33136.1</v>
      </c>
      <c r="Y215" s="2"/>
      <c r="Z215" s="7">
        <f t="shared" si="85"/>
        <v>1.0981935010048627</v>
      </c>
    </row>
    <row r="216" spans="1:26" s="29" customFormat="1" outlineLevel="1" collapsed="1" x14ac:dyDescent="0.3">
      <c r="A216" s="27"/>
      <c r="B216" s="14" t="str">
        <f>CONCATENATE("     ","Royalty &amp; Commissions                             ")</f>
        <v xml:space="preserve">     Royalty &amp; Commissions                             </v>
      </c>
      <c r="C216" s="14"/>
      <c r="D216" s="1">
        <f>SUM(OSRRefD22_19x_0)</f>
        <v>1533.7</v>
      </c>
      <c r="E216" s="1"/>
      <c r="F216" s="5">
        <f t="shared" ref="F216:F219" si="86">IF(D$12=0,0,D216/D$12)</f>
        <v>9.0324728618566635E-4</v>
      </c>
      <c r="G216" s="1"/>
      <c r="H216" s="1">
        <f>SUM(OSRRefH22_19x_0)</f>
        <v>5.97</v>
      </c>
      <c r="I216" s="1"/>
      <c r="J216" s="5">
        <f t="shared" ref="J216:J219" si="87">IF(H$12=0,0,H216/H$12)</f>
        <v>1.2346258832305727E-5</v>
      </c>
      <c r="K216" s="1"/>
      <c r="L216" s="1">
        <f t="shared" ref="L216:L219" si="88">+D216-H216</f>
        <v>1527.73</v>
      </c>
      <c r="M216" s="1"/>
      <c r="N216" s="5">
        <f t="shared" ref="N216:N219" si="89">IF(H216=0,0,L216/H216)</f>
        <v>255.90117252931324</v>
      </c>
      <c r="O216" s="14"/>
      <c r="P216" s="1">
        <f>SUM(OSRRefP22_19x_0)</f>
        <v>23591.84</v>
      </c>
      <c r="Q216" s="1"/>
      <c r="R216" s="5">
        <f t="shared" ref="R216:R219" si="90">IF(P$12=0,0,P216/P$12)</f>
        <v>2.0738996882535428E-3</v>
      </c>
      <c r="S216" s="1"/>
      <c r="T216" s="1">
        <f>SUM(OSRRefT22_19x_0)</f>
        <v>28761.760000000002</v>
      </c>
      <c r="U216" s="1"/>
      <c r="V216" s="5">
        <f t="shared" ref="V216:V219" si="91">IF(T$12=0,0,T216/T$12)</f>
        <v>5.5924835755784717E-3</v>
      </c>
      <c r="W216" s="1"/>
      <c r="X216" s="1">
        <f t="shared" ref="X216:X219" si="92">+P216-T216</f>
        <v>-5169.9200000000019</v>
      </c>
      <c r="Y216" s="1"/>
      <c r="Z216" s="5">
        <f t="shared" ref="Z216:Z219" si="93">IF(T216=0,0,X216/T216)</f>
        <v>-0.17974977887305929</v>
      </c>
    </row>
    <row r="217" spans="1:26" s="24" customFormat="1" hidden="1" outlineLevel="2" x14ac:dyDescent="0.3">
      <c r="A217" s="28"/>
      <c r="B217" s="11" t="str">
        <f>CONCATENATE("          ", "6253", " - ", "ROYALTY DUE ATHLETICS-LRG")</f>
        <v xml:space="preserve">          6253 - ROYALTY DUE ATHLETICS-LRG</v>
      </c>
      <c r="C217" s="11"/>
      <c r="D217" s="6"/>
      <c r="E217" s="2"/>
      <c r="F217" s="7">
        <f t="shared" si="86"/>
        <v>0</v>
      </c>
      <c r="G217" s="2"/>
      <c r="H217" s="6"/>
      <c r="I217" s="2"/>
      <c r="J217" s="7">
        <f t="shared" si="87"/>
        <v>0</v>
      </c>
      <c r="K217" s="2"/>
      <c r="L217" s="6">
        <f t="shared" si="88"/>
        <v>0</v>
      </c>
      <c r="M217" s="2"/>
      <c r="N217" s="7">
        <f t="shared" si="89"/>
        <v>0</v>
      </c>
      <c r="O217" s="11"/>
      <c r="P217" s="6">
        <v>23160.29</v>
      </c>
      <c r="Q217" s="2"/>
      <c r="R217" s="7">
        <f t="shared" si="90"/>
        <v>2.0359632063824463E-3</v>
      </c>
      <c r="S217" s="2"/>
      <c r="T217" s="6">
        <v>18411.8</v>
      </c>
      <c r="U217" s="2"/>
      <c r="V217" s="7">
        <f t="shared" si="91"/>
        <v>3.5800204541320034E-3</v>
      </c>
      <c r="W217" s="2"/>
      <c r="X217" s="6">
        <f t="shared" si="92"/>
        <v>4748.4900000000016</v>
      </c>
      <c r="Y217" s="2"/>
      <c r="Z217" s="7">
        <f t="shared" si="93"/>
        <v>0.25790471328169989</v>
      </c>
    </row>
    <row r="218" spans="1:26" s="24" customFormat="1" hidden="1" outlineLevel="2" x14ac:dyDescent="0.3">
      <c r="A218" s="28"/>
      <c r="B218" s="11" t="str">
        <f>CONCATENATE("          ", "6254", " - ", "ROYALTY &amp; COMMISSIONS")</f>
        <v xml:space="preserve">          6254 - ROYALTY &amp; COMMISSIONS</v>
      </c>
      <c r="C218" s="11"/>
      <c r="D218" s="6">
        <v>412.47</v>
      </c>
      <c r="E218" s="2"/>
      <c r="F218" s="7">
        <f t="shared" si="86"/>
        <v>2.4291739462280879E-4</v>
      </c>
      <c r="G218" s="2"/>
      <c r="H218" s="6"/>
      <c r="I218" s="2"/>
      <c r="J218" s="7">
        <f t="shared" si="87"/>
        <v>0</v>
      </c>
      <c r="K218" s="2"/>
      <c r="L218" s="6">
        <f t="shared" si="88"/>
        <v>412.47</v>
      </c>
      <c r="M218" s="2"/>
      <c r="N218" s="7">
        <f t="shared" si="89"/>
        <v>0</v>
      </c>
      <c r="O218" s="11"/>
      <c r="P218" s="6">
        <v>-5182.59</v>
      </c>
      <c r="Q218" s="2"/>
      <c r="R218" s="7">
        <f t="shared" si="90"/>
        <v>-4.5558853338043703E-4</v>
      </c>
      <c r="S218" s="2"/>
      <c r="T218" s="6">
        <v>185.7</v>
      </c>
      <c r="U218" s="2"/>
      <c r="V218" s="7">
        <f t="shared" si="91"/>
        <v>3.610781120435335E-5</v>
      </c>
      <c r="W218" s="2"/>
      <c r="X218" s="6">
        <f t="shared" si="92"/>
        <v>-5368.29</v>
      </c>
      <c r="Y218" s="2"/>
      <c r="Z218" s="7">
        <f t="shared" si="93"/>
        <v>-28.908400646203557</v>
      </c>
    </row>
    <row r="219" spans="1:26" s="24" customFormat="1" hidden="1" outlineLevel="2" x14ac:dyDescent="0.3">
      <c r="A219" s="28"/>
      <c r="B219" s="11" t="str">
        <f>CONCATENATE("          ", "6259", " - ", "ROYALTY &amp; COMMISSIONS")</f>
        <v xml:space="preserve">          6259 - ROYALTY &amp; COMMISSIONS</v>
      </c>
      <c r="C219" s="11"/>
      <c r="D219" s="6">
        <v>1121.23</v>
      </c>
      <c r="E219" s="2"/>
      <c r="F219" s="7">
        <f t="shared" si="86"/>
        <v>6.6032989156285758E-4</v>
      </c>
      <c r="G219" s="2"/>
      <c r="H219" s="6">
        <v>5.97</v>
      </c>
      <c r="I219" s="2"/>
      <c r="J219" s="7">
        <f t="shared" si="87"/>
        <v>1.2346258832305727E-5</v>
      </c>
      <c r="K219" s="2"/>
      <c r="L219" s="6">
        <f t="shared" si="88"/>
        <v>1115.26</v>
      </c>
      <c r="M219" s="2"/>
      <c r="N219" s="7">
        <f t="shared" si="89"/>
        <v>186.81072026800672</v>
      </c>
      <c r="O219" s="11"/>
      <c r="P219" s="6">
        <v>5614.14</v>
      </c>
      <c r="Q219" s="2"/>
      <c r="R219" s="7">
        <f t="shared" si="90"/>
        <v>4.9352501525153384E-4</v>
      </c>
      <c r="S219" s="2"/>
      <c r="T219" s="6">
        <v>10164.26</v>
      </c>
      <c r="U219" s="2"/>
      <c r="V219" s="7">
        <f t="shared" si="91"/>
        <v>1.9763553102421141E-3</v>
      </c>
      <c r="W219" s="2"/>
      <c r="X219" s="6">
        <f t="shared" si="92"/>
        <v>-4550.12</v>
      </c>
      <c r="Y219" s="2"/>
      <c r="Z219" s="7">
        <f t="shared" si="93"/>
        <v>-0.44765875725335635</v>
      </c>
    </row>
    <row r="220" spans="1:26" s="29" customFormat="1" outlineLevel="1" collapsed="1" x14ac:dyDescent="0.3">
      <c r="A220" s="27"/>
      <c r="B220" s="14" t="str">
        <f>CONCATENATE("     ","Services                                          ")</f>
        <v xml:space="preserve">     Services                                          </v>
      </c>
      <c r="C220" s="14"/>
      <c r="D220" s="1">
        <f>SUM(OSRRefD22_20x_0)</f>
        <v>22796.309999999998</v>
      </c>
      <c r="E220" s="1"/>
      <c r="F220" s="5">
        <f t="shared" ref="F220:F225" si="94">IF(D$12=0,0,D220/D$12)</f>
        <v>1.342551029702495E-2</v>
      </c>
      <c r="G220" s="1"/>
      <c r="H220" s="1">
        <f>SUM(OSRRefH22_20x_0)</f>
        <v>27262.82</v>
      </c>
      <c r="I220" s="1"/>
      <c r="J220" s="5">
        <f t="shared" ref="J220:J225" si="95">IF(H$12=0,0,H220/H$12)</f>
        <v>5.6380876418519466E-2</v>
      </c>
      <c r="K220" s="1"/>
      <c r="L220" s="1">
        <f t="shared" ref="L220:L225" si="96">+D220-H220</f>
        <v>-4466.510000000002</v>
      </c>
      <c r="M220" s="1"/>
      <c r="N220" s="5">
        <f t="shared" ref="N220:N225" si="97">IF(H220=0,0,L220/H220)</f>
        <v>-0.16383154787362431</v>
      </c>
      <c r="O220" s="14"/>
      <c r="P220" s="1">
        <f>SUM(OSRRefP22_20x_0)</f>
        <v>184774.40999999997</v>
      </c>
      <c r="Q220" s="1"/>
      <c r="R220" s="5">
        <f t="shared" ref="R220:R225" si="98">IF(P$12=0,0,P220/P$12)</f>
        <v>1.6243056552444925E-2</v>
      </c>
      <c r="S220" s="1"/>
      <c r="T220" s="1">
        <f>SUM(OSRRefT22_20x_0)</f>
        <v>121752.89000000001</v>
      </c>
      <c r="U220" s="1"/>
      <c r="V220" s="5">
        <f t="shared" ref="V220:V225" si="99">IF(T$12=0,0,T220/T$12)</f>
        <v>2.3673830725387195E-2</v>
      </c>
      <c r="W220" s="1"/>
      <c r="X220" s="1">
        <f t="shared" ref="X220:X225" si="100">+P220-T220</f>
        <v>63021.51999999996</v>
      </c>
      <c r="Y220" s="1"/>
      <c r="Z220" s="5">
        <f t="shared" ref="Z220:Z225" si="101">IF(T220=0,0,X220/T220)</f>
        <v>0.51761826762387286</v>
      </c>
    </row>
    <row r="221" spans="1:26" s="24" customFormat="1" hidden="1" outlineLevel="2" x14ac:dyDescent="0.3">
      <c r="A221" s="28"/>
      <c r="B221" s="11" t="str">
        <f>CONCATENATE("          ", "6282", " - ", "JANITORIAL/EXTERMINATOR EXPENS")</f>
        <v xml:space="preserve">          6282 - JANITORIAL/EXTERMINATOR EXPENS</v>
      </c>
      <c r="C221" s="11"/>
      <c r="D221" s="6">
        <v>2456.15</v>
      </c>
      <c r="E221" s="2"/>
      <c r="F221" s="7">
        <f t="shared" si="94"/>
        <v>1.4465089795689667E-3</v>
      </c>
      <c r="G221" s="2"/>
      <c r="H221" s="6">
        <v>5210.84</v>
      </c>
      <c r="I221" s="2"/>
      <c r="J221" s="7">
        <f t="shared" si="95"/>
        <v>1.0776277952048907E-2</v>
      </c>
      <c r="K221" s="2"/>
      <c r="L221" s="6">
        <f t="shared" si="96"/>
        <v>-2754.69</v>
      </c>
      <c r="M221" s="2"/>
      <c r="N221" s="7">
        <f t="shared" si="97"/>
        <v>-0.52864605322750269</v>
      </c>
      <c r="O221" s="11"/>
      <c r="P221" s="6">
        <v>20479.759999999998</v>
      </c>
      <c r="Q221" s="2"/>
      <c r="R221" s="7">
        <f t="shared" si="98"/>
        <v>1.8003245138788399E-3</v>
      </c>
      <c r="S221" s="2"/>
      <c r="T221" s="6">
        <v>16063.16</v>
      </c>
      <c r="U221" s="2"/>
      <c r="V221" s="7">
        <f t="shared" si="99"/>
        <v>3.123347057756169E-3</v>
      </c>
      <c r="W221" s="2"/>
      <c r="X221" s="6">
        <f t="shared" si="100"/>
        <v>4416.5999999999985</v>
      </c>
      <c r="Y221" s="2"/>
      <c r="Z221" s="7">
        <f t="shared" si="101"/>
        <v>0.27495212648071726</v>
      </c>
    </row>
    <row r="222" spans="1:26" s="24" customFormat="1" hidden="1" outlineLevel="2" x14ac:dyDescent="0.3">
      <c r="A222" s="28"/>
      <c r="B222" s="11" t="str">
        <f>CONCATENATE("          ", "6283", " - ", "PLANT SERVICE")</f>
        <v xml:space="preserve">          6283 - PLANT SERVICE</v>
      </c>
      <c r="C222" s="11"/>
      <c r="D222" s="6"/>
      <c r="E222" s="2"/>
      <c r="F222" s="7">
        <f t="shared" si="94"/>
        <v>0</v>
      </c>
      <c r="G222" s="2"/>
      <c r="H222" s="6"/>
      <c r="I222" s="2"/>
      <c r="J222" s="7">
        <f t="shared" si="95"/>
        <v>0</v>
      </c>
      <c r="K222" s="2"/>
      <c r="L222" s="6">
        <f t="shared" si="96"/>
        <v>0</v>
      </c>
      <c r="M222" s="2"/>
      <c r="N222" s="7">
        <f t="shared" si="97"/>
        <v>0</v>
      </c>
      <c r="O222" s="11"/>
      <c r="P222" s="6"/>
      <c r="Q222" s="2"/>
      <c r="R222" s="7">
        <f t="shared" si="98"/>
        <v>0</v>
      </c>
      <c r="S222" s="2"/>
      <c r="T222" s="6">
        <v>171.31</v>
      </c>
      <c r="U222" s="2"/>
      <c r="V222" s="7">
        <f t="shared" si="99"/>
        <v>3.3309796108873305E-5</v>
      </c>
      <c r="W222" s="2"/>
      <c r="X222" s="6">
        <f t="shared" si="100"/>
        <v>-171.31</v>
      </c>
      <c r="Y222" s="2"/>
      <c r="Z222" s="7">
        <f t="shared" si="101"/>
        <v>-1</v>
      </c>
    </row>
    <row r="223" spans="1:26" s="24" customFormat="1" hidden="1" outlineLevel="2" x14ac:dyDescent="0.3">
      <c r="A223" s="28"/>
      <c r="B223" s="11" t="str">
        <f>CONCATENATE("          ", "6284", " - ", "TRASH REMOVAL EXPENSE")</f>
        <v xml:space="preserve">          6284 - TRASH REMOVAL EXPENSE</v>
      </c>
      <c r="C223" s="11"/>
      <c r="D223" s="6">
        <v>149.69999999999999</v>
      </c>
      <c r="E223" s="2"/>
      <c r="F223" s="7">
        <f t="shared" si="94"/>
        <v>8.8163342728039541E-5</v>
      </c>
      <c r="G223" s="2"/>
      <c r="H223" s="6">
        <v>6225.89</v>
      </c>
      <c r="I223" s="2"/>
      <c r="J223" s="7">
        <f t="shared" si="95"/>
        <v>1.287545216104923E-2</v>
      </c>
      <c r="K223" s="2"/>
      <c r="L223" s="6">
        <f t="shared" si="96"/>
        <v>-6076.1900000000005</v>
      </c>
      <c r="M223" s="2"/>
      <c r="N223" s="7">
        <f t="shared" si="97"/>
        <v>-0.9759552449529304</v>
      </c>
      <c r="O223" s="11"/>
      <c r="P223" s="6">
        <v>891.07</v>
      </c>
      <c r="Q223" s="2"/>
      <c r="R223" s="7">
        <f t="shared" si="98"/>
        <v>7.8331736533143861E-5</v>
      </c>
      <c r="S223" s="2"/>
      <c r="T223" s="6">
        <v>20599.189999999999</v>
      </c>
      <c r="U223" s="2"/>
      <c r="V223" s="7">
        <f t="shared" si="99"/>
        <v>4.0053401372245742E-3</v>
      </c>
      <c r="W223" s="2"/>
      <c r="X223" s="6">
        <f t="shared" si="100"/>
        <v>-19708.12</v>
      </c>
      <c r="Y223" s="2"/>
      <c r="Z223" s="7">
        <f t="shared" si="101"/>
        <v>-0.95674247385455446</v>
      </c>
    </row>
    <row r="224" spans="1:26" s="24" customFormat="1" hidden="1" outlineLevel="2" x14ac:dyDescent="0.3">
      <c r="A224" s="28"/>
      <c r="B224" s="11" t="str">
        <f>CONCATENATE("          ", "6285", " - ", "JANITORIAL SERVICES")</f>
        <v xml:space="preserve">          6285 - JANITORIAL SERVICES</v>
      </c>
      <c r="C224" s="11"/>
      <c r="D224" s="6">
        <v>18038.61</v>
      </c>
      <c r="E224" s="2"/>
      <c r="F224" s="7">
        <f t="shared" si="94"/>
        <v>1.0623541454692327E-2</v>
      </c>
      <c r="G224" s="2"/>
      <c r="H224" s="6">
        <v>13739.48</v>
      </c>
      <c r="I224" s="2"/>
      <c r="J224" s="7">
        <f t="shared" si="95"/>
        <v>2.8413932378775191E-2</v>
      </c>
      <c r="K224" s="2"/>
      <c r="L224" s="6">
        <f t="shared" si="96"/>
        <v>4299.130000000001</v>
      </c>
      <c r="M224" s="2"/>
      <c r="N224" s="7">
        <f t="shared" si="97"/>
        <v>0.31290339954641666</v>
      </c>
      <c r="O224" s="11"/>
      <c r="P224" s="6">
        <v>145922.85999999999</v>
      </c>
      <c r="Q224" s="2"/>
      <c r="R224" s="7">
        <f t="shared" si="98"/>
        <v>1.2827713898664342E-2</v>
      </c>
      <c r="S224" s="2"/>
      <c r="T224" s="6">
        <v>74070.070000000007</v>
      </c>
      <c r="U224" s="2"/>
      <c r="V224" s="7">
        <f t="shared" si="99"/>
        <v>1.4402305349775107E-2</v>
      </c>
      <c r="W224" s="2"/>
      <c r="X224" s="6">
        <f t="shared" si="100"/>
        <v>71852.789999999979</v>
      </c>
      <c r="Y224" s="2"/>
      <c r="Z224" s="7">
        <f t="shared" si="101"/>
        <v>0.97006510186908113</v>
      </c>
    </row>
    <row r="225" spans="1:26" s="24" customFormat="1" hidden="1" outlineLevel="2" x14ac:dyDescent="0.3">
      <c r="A225" s="28"/>
      <c r="B225" s="11" t="str">
        <f>CONCATENATE("          ", "6286", " - ", "LAUNDRY EXPENSE")</f>
        <v xml:space="preserve">          6286 - LAUNDRY EXPENSE</v>
      </c>
      <c r="C225" s="11"/>
      <c r="D225" s="6">
        <v>2151.85</v>
      </c>
      <c r="E225" s="2"/>
      <c r="F225" s="7">
        <f t="shared" si="94"/>
        <v>1.2672965200356172E-3</v>
      </c>
      <c r="G225" s="2"/>
      <c r="H225" s="6">
        <v>2086.61</v>
      </c>
      <c r="I225" s="2"/>
      <c r="J225" s="7">
        <f t="shared" si="95"/>
        <v>4.3152139266461401E-3</v>
      </c>
      <c r="K225" s="2"/>
      <c r="L225" s="6">
        <f t="shared" si="96"/>
        <v>65.239999999999782</v>
      </c>
      <c r="M225" s="2"/>
      <c r="N225" s="7">
        <f t="shared" si="97"/>
        <v>3.1266024796200428E-2</v>
      </c>
      <c r="O225" s="11"/>
      <c r="P225" s="6">
        <v>17480.72</v>
      </c>
      <c r="Q225" s="2"/>
      <c r="R225" s="7">
        <f t="shared" si="98"/>
        <v>1.5366864033686E-3</v>
      </c>
      <c r="S225" s="2"/>
      <c r="T225" s="6">
        <v>10849.16</v>
      </c>
      <c r="U225" s="2"/>
      <c r="V225" s="7">
        <f t="shared" si="99"/>
        <v>2.1095283845224675E-3</v>
      </c>
      <c r="W225" s="2"/>
      <c r="X225" s="6">
        <f t="shared" si="100"/>
        <v>6631.5600000000013</v>
      </c>
      <c r="Y225" s="2"/>
      <c r="Z225" s="7">
        <f t="shared" si="101"/>
        <v>0.61125100929472898</v>
      </c>
    </row>
    <row r="226" spans="1:26" s="29" customFormat="1" outlineLevel="1" collapsed="1" x14ac:dyDescent="0.3">
      <c r="A226" s="27"/>
      <c r="B226" s="14" t="str">
        <f>CONCATENATE("     ","Subscriptions &amp; Dues                              ")</f>
        <v xml:space="preserve">     Subscriptions &amp; Dues                              </v>
      </c>
      <c r="C226" s="14"/>
      <c r="D226" s="1">
        <f>SUM(OSRRefD22_21x_0)</f>
        <v>1742.35</v>
      </c>
      <c r="E226" s="1"/>
      <c r="F226" s="5">
        <f t="shared" ref="F226:F228" si="102">IF(D$12=0,0,D226/D$12)</f>
        <v>1.0261282578637254E-3</v>
      </c>
      <c r="G226" s="1"/>
      <c r="H226" s="1">
        <f>SUM(OSRRefH22_21x_0)</f>
        <v>343.27</v>
      </c>
      <c r="I226" s="1"/>
      <c r="J226" s="5">
        <f t="shared" ref="J226:J228" si="103">IF(H$12=0,0,H226/H$12)</f>
        <v>7.0989954260730094E-4</v>
      </c>
      <c r="K226" s="1"/>
      <c r="L226" s="1">
        <f t="shared" ref="L226:L228" si="104">+D226-H226</f>
        <v>1399.08</v>
      </c>
      <c r="M226" s="1"/>
      <c r="N226" s="5">
        <f t="shared" ref="N226:N228" si="105">IF(H226=0,0,L226/H226)</f>
        <v>4.0757421271885104</v>
      </c>
      <c r="O226" s="14"/>
      <c r="P226" s="1">
        <f>SUM(OSRRefP22_21x_0)</f>
        <v>5364.35</v>
      </c>
      <c r="Q226" s="1"/>
      <c r="R226" s="5">
        <f t="shared" ref="R226:R228" si="106">IF(P$12=0,0,P226/P$12)</f>
        <v>4.7156660068408795E-4</v>
      </c>
      <c r="S226" s="1"/>
      <c r="T226" s="1">
        <f>SUM(OSRRefT22_21x_0)</f>
        <v>2784.61</v>
      </c>
      <c r="U226" s="1"/>
      <c r="V226" s="5">
        <f t="shared" ref="V226:V228" si="107">IF(T$12=0,0,T226/T$12)</f>
        <v>5.4144411501213998E-4</v>
      </c>
      <c r="W226" s="1"/>
      <c r="X226" s="1">
        <f t="shared" ref="X226:X228" si="108">+P226-T226</f>
        <v>2579.7400000000002</v>
      </c>
      <c r="Y226" s="1"/>
      <c r="Z226" s="5">
        <f t="shared" ref="Z226:Z228" si="109">IF(T226=0,0,X226/T226)</f>
        <v>0.92642775828572044</v>
      </c>
    </row>
    <row r="227" spans="1:26" s="24" customFormat="1" hidden="1" outlineLevel="2" x14ac:dyDescent="0.3">
      <c r="A227" s="28"/>
      <c r="B227" s="11" t="str">
        <f>CONCATENATE("          ", "6258", " - ", "MEMBERSHIP DUES")</f>
        <v xml:space="preserve">          6258 - MEMBERSHIP DUES</v>
      </c>
      <c r="C227" s="11"/>
      <c r="D227" s="6">
        <v>286.24</v>
      </c>
      <c r="E227" s="2"/>
      <c r="F227" s="7">
        <f t="shared" si="102"/>
        <v>1.6857632079140975E-4</v>
      </c>
      <c r="G227" s="2"/>
      <c r="H227" s="6">
        <v>80.430000000000007</v>
      </c>
      <c r="I227" s="2"/>
      <c r="J227" s="7">
        <f t="shared" si="103"/>
        <v>1.6633326597694301E-4</v>
      </c>
      <c r="K227" s="2"/>
      <c r="L227" s="6">
        <f t="shared" si="104"/>
        <v>205.81</v>
      </c>
      <c r="M227" s="2"/>
      <c r="N227" s="7">
        <f t="shared" si="105"/>
        <v>2.5588710680094491</v>
      </c>
      <c r="O227" s="11"/>
      <c r="P227" s="6">
        <v>1391.74</v>
      </c>
      <c r="Q227" s="2"/>
      <c r="R227" s="7">
        <f t="shared" si="106"/>
        <v>1.2234438484365719E-4</v>
      </c>
      <c r="S227" s="2"/>
      <c r="T227" s="6">
        <v>2024.71</v>
      </c>
      <c r="U227" s="2"/>
      <c r="V227" s="7">
        <f t="shared" si="107"/>
        <v>3.9368791827445494E-4</v>
      </c>
      <c r="W227" s="2"/>
      <c r="X227" s="6">
        <f t="shared" si="108"/>
        <v>-632.97</v>
      </c>
      <c r="Y227" s="2"/>
      <c r="Z227" s="7">
        <f t="shared" si="109"/>
        <v>-0.31262254841434084</v>
      </c>
    </row>
    <row r="228" spans="1:26" s="24" customFormat="1" hidden="1" outlineLevel="2" x14ac:dyDescent="0.3">
      <c r="A228" s="28"/>
      <c r="B228" s="11" t="str">
        <f>CONCATENATE("          ", "6275", " - ", "SUBSCRIPTIONS")</f>
        <v xml:space="preserve">          6275 - SUBSCRIPTIONS</v>
      </c>
      <c r="C228" s="11"/>
      <c r="D228" s="6">
        <v>1456.11</v>
      </c>
      <c r="E228" s="2"/>
      <c r="F228" s="7">
        <f t="shared" si="102"/>
        <v>8.575519370723157E-4</v>
      </c>
      <c r="G228" s="2"/>
      <c r="H228" s="6">
        <v>262.83999999999997</v>
      </c>
      <c r="I228" s="2"/>
      <c r="J228" s="7">
        <f t="shared" si="103"/>
        <v>5.4356627663035794E-4</v>
      </c>
      <c r="K228" s="2"/>
      <c r="L228" s="6">
        <f t="shared" si="104"/>
        <v>1193.27</v>
      </c>
      <c r="M228" s="2"/>
      <c r="N228" s="7">
        <f t="shared" si="105"/>
        <v>4.5399102115355356</v>
      </c>
      <c r="O228" s="11"/>
      <c r="P228" s="6">
        <v>3972.61</v>
      </c>
      <c r="Q228" s="2"/>
      <c r="R228" s="7">
        <f t="shared" si="106"/>
        <v>3.492222158404307E-4</v>
      </c>
      <c r="S228" s="2"/>
      <c r="T228" s="6">
        <v>759.9</v>
      </c>
      <c r="U228" s="2"/>
      <c r="V228" s="7">
        <f t="shared" si="107"/>
        <v>1.4775619673768503E-4</v>
      </c>
      <c r="W228" s="2"/>
      <c r="X228" s="6">
        <f t="shared" si="108"/>
        <v>3212.71</v>
      </c>
      <c r="Y228" s="2"/>
      <c r="Z228" s="7">
        <f t="shared" si="109"/>
        <v>4.2278062903013556</v>
      </c>
    </row>
    <row r="229" spans="1:26" s="29" customFormat="1" outlineLevel="1" collapsed="1" x14ac:dyDescent="0.3">
      <c r="A229" s="27"/>
      <c r="B229" s="14" t="str">
        <f>CONCATENATE("     ","Supplies                                          ")</f>
        <v xml:space="preserve">     Supplies                                          </v>
      </c>
      <c r="C229" s="14"/>
      <c r="D229" s="1">
        <f>SUM(OSRRefD22_22x_0)</f>
        <v>37255.919999999998</v>
      </c>
      <c r="E229" s="1"/>
      <c r="F229" s="5">
        <f t="shared" ref="F229:F238" si="110">IF(D$12=0,0,D229/D$12)</f>
        <v>2.1941258808339498E-2</v>
      </c>
      <c r="G229" s="1"/>
      <c r="H229" s="1">
        <f>SUM(OSRRefH22_22x_0)</f>
        <v>20744.980000000003</v>
      </c>
      <c r="I229" s="1"/>
      <c r="J229" s="5">
        <f t="shared" ref="J229:J238" si="111">IF(H$12=0,0,H229/H$12)</f>
        <v>4.2901657043719552E-2</v>
      </c>
      <c r="K229" s="1"/>
      <c r="L229" s="1">
        <f t="shared" ref="L229:L238" si="112">+D229-H229</f>
        <v>16510.939999999995</v>
      </c>
      <c r="M229" s="1"/>
      <c r="N229" s="5">
        <f t="shared" ref="N229:N238" si="113">IF(H229=0,0,L229/H229)</f>
        <v>0.79590050219378339</v>
      </c>
      <c r="O229" s="14"/>
      <c r="P229" s="1">
        <f>SUM(OSRRefP22_22x_0)</f>
        <v>302101.30999999994</v>
      </c>
      <c r="Q229" s="1"/>
      <c r="R229" s="5">
        <f t="shared" ref="R229:R238" si="114">IF(P$12=0,0,P229/P$12)</f>
        <v>2.6556971081102058E-2</v>
      </c>
      <c r="S229" s="1"/>
      <c r="T229" s="1">
        <f>SUM(OSRRefT22_22x_0)</f>
        <v>190639.92</v>
      </c>
      <c r="U229" s="1"/>
      <c r="V229" s="5">
        <f t="shared" ref="V229:V238" si="115">IF(T$12=0,0,T229/T$12)</f>
        <v>3.7068337314878984E-2</v>
      </c>
      <c r="W229" s="1"/>
      <c r="X229" s="1">
        <f t="shared" ref="X229:X238" si="116">+P229-T229</f>
        <v>111461.38999999993</v>
      </c>
      <c r="Y229" s="1"/>
      <c r="Z229" s="5">
        <f t="shared" ref="Z229:Z238" si="117">IF(T229=0,0,X229/T229)</f>
        <v>0.58466972709598242</v>
      </c>
    </row>
    <row r="230" spans="1:26" s="24" customFormat="1" hidden="1" outlineLevel="2" x14ac:dyDescent="0.3">
      <c r="A230" s="28"/>
      <c r="B230" s="11" t="str">
        <f>CONCATENATE("          ", "6234", " - ", "EXPENDABLE SUPPLIES &amp; EQUIPMEN")</f>
        <v xml:space="preserve">          6234 - EXPENDABLE SUPPLIES &amp; EQUIPMEN</v>
      </c>
      <c r="C230" s="11"/>
      <c r="D230" s="6">
        <v>315</v>
      </c>
      <c r="E230" s="2"/>
      <c r="F230" s="7">
        <f t="shared" si="110"/>
        <v>1.8551404782453211E-4</v>
      </c>
      <c r="G230" s="2"/>
      <c r="H230" s="6"/>
      <c r="I230" s="2"/>
      <c r="J230" s="7">
        <f t="shared" si="111"/>
        <v>0</v>
      </c>
      <c r="K230" s="2"/>
      <c r="L230" s="6">
        <f t="shared" si="112"/>
        <v>315</v>
      </c>
      <c r="M230" s="2"/>
      <c r="N230" s="7">
        <f t="shared" si="113"/>
        <v>0</v>
      </c>
      <c r="O230" s="11"/>
      <c r="P230" s="6">
        <v>6821.44</v>
      </c>
      <c r="Q230" s="2"/>
      <c r="R230" s="7">
        <f t="shared" si="114"/>
        <v>5.9965574069001176E-4</v>
      </c>
      <c r="S230" s="2"/>
      <c r="T230" s="6">
        <v>178.24</v>
      </c>
      <c r="U230" s="2"/>
      <c r="V230" s="7">
        <f t="shared" si="115"/>
        <v>3.4657276623930756E-5</v>
      </c>
      <c r="W230" s="2"/>
      <c r="X230" s="6">
        <f t="shared" si="116"/>
        <v>6643.2</v>
      </c>
      <c r="Y230" s="2"/>
      <c r="Z230" s="7">
        <f t="shared" si="117"/>
        <v>37.27109515260323</v>
      </c>
    </row>
    <row r="231" spans="1:26" s="24" customFormat="1" hidden="1" outlineLevel="2" x14ac:dyDescent="0.3">
      <c r="A231" s="28"/>
      <c r="B231" s="11" t="str">
        <f>CONCATENATE("          ", "6235", " - ", "COVID-19 EXPENSES")</f>
        <v xml:space="preserve">          6235 - COVID-19 EXPENSES</v>
      </c>
      <c r="C231" s="11"/>
      <c r="D231" s="6"/>
      <c r="E231" s="2"/>
      <c r="F231" s="7">
        <f t="shared" si="110"/>
        <v>0</v>
      </c>
      <c r="G231" s="2"/>
      <c r="H231" s="6">
        <v>7636.18</v>
      </c>
      <c r="I231" s="2"/>
      <c r="J231" s="7">
        <f t="shared" si="111"/>
        <v>1.5792002474049639E-2</v>
      </c>
      <c r="K231" s="2"/>
      <c r="L231" s="6">
        <f t="shared" si="112"/>
        <v>-7636.18</v>
      </c>
      <c r="M231" s="2"/>
      <c r="N231" s="7">
        <f t="shared" si="113"/>
        <v>-1</v>
      </c>
      <c r="O231" s="11"/>
      <c r="P231" s="6">
        <v>3623.82</v>
      </c>
      <c r="Q231" s="2"/>
      <c r="R231" s="7">
        <f t="shared" si="114"/>
        <v>3.1856095871652887E-4</v>
      </c>
      <c r="S231" s="2"/>
      <c r="T231" s="6">
        <v>86862.23</v>
      </c>
      <c r="U231" s="2"/>
      <c r="V231" s="7">
        <f t="shared" si="115"/>
        <v>1.6889633826758847E-2</v>
      </c>
      <c r="W231" s="2"/>
      <c r="X231" s="6">
        <f t="shared" si="116"/>
        <v>-83238.409999999989</v>
      </c>
      <c r="Y231" s="2"/>
      <c r="Z231" s="7">
        <f t="shared" si="117"/>
        <v>-0.95828083161116162</v>
      </c>
    </row>
    <row r="232" spans="1:26" s="24" customFormat="1" hidden="1" outlineLevel="2" x14ac:dyDescent="0.3">
      <c r="A232" s="28"/>
      <c r="B232" s="11" t="str">
        <f>CONCATENATE("          ", "6237", " - ", "JANITORIAL SUPPLIES")</f>
        <v xml:space="preserve">          6237 - JANITORIAL SUPPLIES</v>
      </c>
      <c r="C232" s="11"/>
      <c r="D232" s="6">
        <v>5627.79</v>
      </c>
      <c r="E232" s="2"/>
      <c r="F232" s="7">
        <f t="shared" si="110"/>
        <v>3.3143939784330907E-3</v>
      </c>
      <c r="G232" s="2"/>
      <c r="H232" s="6">
        <v>5239.58</v>
      </c>
      <c r="I232" s="2"/>
      <c r="J232" s="7">
        <f t="shared" si="111"/>
        <v>1.083571371064865E-2</v>
      </c>
      <c r="K232" s="2"/>
      <c r="L232" s="6">
        <f t="shared" si="112"/>
        <v>388.21000000000004</v>
      </c>
      <c r="M232" s="2"/>
      <c r="N232" s="7">
        <f t="shared" si="113"/>
        <v>7.4091816519644707E-2</v>
      </c>
      <c r="O232" s="11"/>
      <c r="P232" s="6">
        <v>42115.09</v>
      </c>
      <c r="Q232" s="2"/>
      <c r="R232" s="7">
        <f t="shared" si="114"/>
        <v>3.7022322981916582E-3</v>
      </c>
      <c r="S232" s="2"/>
      <c r="T232" s="6">
        <v>15674.81</v>
      </c>
      <c r="U232" s="2"/>
      <c r="V232" s="7">
        <f t="shared" si="115"/>
        <v>3.0478356496721052E-3</v>
      </c>
      <c r="W232" s="2"/>
      <c r="X232" s="6">
        <f t="shared" si="116"/>
        <v>26440.28</v>
      </c>
      <c r="Y232" s="2"/>
      <c r="Z232" s="7">
        <f t="shared" si="117"/>
        <v>1.6868006693542059</v>
      </c>
    </row>
    <row r="233" spans="1:26" s="24" customFormat="1" hidden="1" outlineLevel="2" x14ac:dyDescent="0.3">
      <c r="A233" s="28"/>
      <c r="B233" s="11" t="str">
        <f>CONCATENATE("          ", "6239", " - ", "KITCHEN SUPPLIES")</f>
        <v xml:space="preserve">          6239 - KITCHEN SUPPLIES</v>
      </c>
      <c r="C233" s="11"/>
      <c r="D233" s="6">
        <v>738.59</v>
      </c>
      <c r="E233" s="2"/>
      <c r="F233" s="7">
        <f t="shared" si="110"/>
        <v>4.3498038280228945E-4</v>
      </c>
      <c r="G233" s="2"/>
      <c r="H233" s="6">
        <v>148.04</v>
      </c>
      <c r="I233" s="2"/>
      <c r="J233" s="7">
        <f t="shared" si="111"/>
        <v>3.0615413024029142E-4</v>
      </c>
      <c r="K233" s="2"/>
      <c r="L233" s="6">
        <f t="shared" si="112"/>
        <v>590.55000000000007</v>
      </c>
      <c r="M233" s="2"/>
      <c r="N233" s="7">
        <f t="shared" si="113"/>
        <v>3.9891245609294792</v>
      </c>
      <c r="O233" s="11"/>
      <c r="P233" s="6">
        <v>27015.71</v>
      </c>
      <c r="Q233" s="2"/>
      <c r="R233" s="7">
        <f t="shared" si="114"/>
        <v>2.3748835422310478E-3</v>
      </c>
      <c r="S233" s="2"/>
      <c r="T233" s="6">
        <v>5834.38</v>
      </c>
      <c r="U233" s="2"/>
      <c r="V233" s="7">
        <f t="shared" si="115"/>
        <v>1.1344463733680944E-3</v>
      </c>
      <c r="W233" s="2"/>
      <c r="X233" s="6">
        <f t="shared" si="116"/>
        <v>21181.329999999998</v>
      </c>
      <c r="Y233" s="2"/>
      <c r="Z233" s="7">
        <f t="shared" si="117"/>
        <v>3.6304337393176307</v>
      </c>
    </row>
    <row r="234" spans="1:26" s="24" customFormat="1" hidden="1" outlineLevel="2" x14ac:dyDescent="0.3">
      <c r="A234" s="28"/>
      <c r="B234" s="11" t="str">
        <f>CONCATENATE("          ", "6241", " - ", "OFFICE EXPENSE")</f>
        <v xml:space="preserve">          6241 - OFFICE EXPENSE</v>
      </c>
      <c r="C234" s="11"/>
      <c r="D234" s="6">
        <v>3619.51</v>
      </c>
      <c r="E234" s="2"/>
      <c r="F234" s="7">
        <f t="shared" si="110"/>
        <v>2.1316506388614994E-3</v>
      </c>
      <c r="G234" s="2"/>
      <c r="H234" s="6">
        <v>2093.0700000000002</v>
      </c>
      <c r="I234" s="2"/>
      <c r="J234" s="7">
        <f t="shared" si="111"/>
        <v>4.3285735300057204E-3</v>
      </c>
      <c r="K234" s="2"/>
      <c r="L234" s="6">
        <f t="shared" si="112"/>
        <v>1526.44</v>
      </c>
      <c r="M234" s="2"/>
      <c r="N234" s="7">
        <f t="shared" si="113"/>
        <v>0.72928282379471299</v>
      </c>
      <c r="O234" s="11"/>
      <c r="P234" s="6">
        <v>44819.59</v>
      </c>
      <c r="Q234" s="2"/>
      <c r="R234" s="7">
        <f t="shared" si="114"/>
        <v>3.9399781334839333E-3</v>
      </c>
      <c r="S234" s="2"/>
      <c r="T234" s="6">
        <v>26446.17</v>
      </c>
      <c r="U234" s="2"/>
      <c r="V234" s="7">
        <f t="shared" si="115"/>
        <v>5.1422364751655004E-3</v>
      </c>
      <c r="W234" s="2"/>
      <c r="X234" s="6">
        <f t="shared" si="116"/>
        <v>18373.419999999998</v>
      </c>
      <c r="Y234" s="2"/>
      <c r="Z234" s="7">
        <f t="shared" si="117"/>
        <v>0.69474785951992291</v>
      </c>
    </row>
    <row r="235" spans="1:26" s="24" customFormat="1" hidden="1" outlineLevel="2" x14ac:dyDescent="0.3">
      <c r="A235" s="28"/>
      <c r="B235" s="11" t="str">
        <f>CONCATENATE("          ", "6243", " - ", "PAPER SUPPLIES")</f>
        <v xml:space="preserve">          6243 - PAPER SUPPLIES</v>
      </c>
      <c r="C235" s="11"/>
      <c r="D235" s="6">
        <v>21319.1</v>
      </c>
      <c r="E235" s="2"/>
      <c r="F235" s="7">
        <f t="shared" si="110"/>
        <v>1.2555531863415816E-2</v>
      </c>
      <c r="G235" s="2"/>
      <c r="H235" s="6">
        <v>3777.57</v>
      </c>
      <c r="I235" s="2"/>
      <c r="J235" s="7">
        <f t="shared" si="111"/>
        <v>7.8122038487693718E-3</v>
      </c>
      <c r="K235" s="2"/>
      <c r="L235" s="6">
        <f t="shared" si="112"/>
        <v>17541.53</v>
      </c>
      <c r="M235" s="2"/>
      <c r="N235" s="7">
        <f t="shared" si="113"/>
        <v>4.6436015745571888</v>
      </c>
      <c r="O235" s="11"/>
      <c r="P235" s="6">
        <v>138082.04999999999</v>
      </c>
      <c r="Q235" s="2"/>
      <c r="R235" s="7">
        <f t="shared" si="114"/>
        <v>1.2138447889118021E-2</v>
      </c>
      <c r="S235" s="2"/>
      <c r="T235" s="6">
        <v>20439.560000000001</v>
      </c>
      <c r="U235" s="2"/>
      <c r="V235" s="7">
        <f t="shared" si="115"/>
        <v>3.9743014193863906E-3</v>
      </c>
      <c r="W235" s="2"/>
      <c r="X235" s="6">
        <f t="shared" si="116"/>
        <v>117642.48999999999</v>
      </c>
      <c r="Y235" s="2"/>
      <c r="Z235" s="7">
        <f t="shared" si="117"/>
        <v>5.7556273227016623</v>
      </c>
    </row>
    <row r="236" spans="1:26" s="24" customFormat="1" hidden="1" outlineLevel="2" x14ac:dyDescent="0.3">
      <c r="A236" s="28"/>
      <c r="B236" s="11" t="str">
        <f>CONCATENATE("          ", "6245", " - ", "PRINTING")</f>
        <v xml:space="preserve">          6245 - PRINTING</v>
      </c>
      <c r="C236" s="11"/>
      <c r="D236" s="6">
        <v>1046.49</v>
      </c>
      <c r="E236" s="2"/>
      <c r="F236" s="7">
        <f t="shared" si="110"/>
        <v>6.1631300288220506E-4</v>
      </c>
      <c r="G236" s="2"/>
      <c r="H236" s="6"/>
      <c r="I236" s="2"/>
      <c r="J236" s="7">
        <f t="shared" si="111"/>
        <v>0</v>
      </c>
      <c r="K236" s="2"/>
      <c r="L236" s="6">
        <f t="shared" si="112"/>
        <v>1046.49</v>
      </c>
      <c r="M236" s="2"/>
      <c r="N236" s="7">
        <f t="shared" si="113"/>
        <v>0</v>
      </c>
      <c r="O236" s="11"/>
      <c r="P236" s="6">
        <v>3182.98</v>
      </c>
      <c r="Q236" s="2"/>
      <c r="R236" s="7">
        <f t="shared" si="114"/>
        <v>2.7980781616513431E-4</v>
      </c>
      <c r="S236" s="2"/>
      <c r="T236" s="6">
        <v>508.27</v>
      </c>
      <c r="U236" s="2"/>
      <c r="V236" s="7">
        <f t="shared" si="115"/>
        <v>9.8828848685173282E-5</v>
      </c>
      <c r="W236" s="2"/>
      <c r="X236" s="6">
        <f t="shared" si="116"/>
        <v>2674.71</v>
      </c>
      <c r="Y236" s="2"/>
      <c r="Z236" s="7">
        <f t="shared" si="117"/>
        <v>5.2623802309795975</v>
      </c>
    </row>
    <row r="237" spans="1:26" s="24" customFormat="1" hidden="1" outlineLevel="2" x14ac:dyDescent="0.3">
      <c r="A237" s="28"/>
      <c r="B237" s="11" t="str">
        <f>CONCATENATE("          ", "6247", " - ", "STORE SUPPLIES")</f>
        <v xml:space="preserve">          6247 - STORE SUPPLIES</v>
      </c>
      <c r="C237" s="11"/>
      <c r="D237" s="6">
        <v>4589.4399999999996</v>
      </c>
      <c r="E237" s="2"/>
      <c r="F237" s="7">
        <f t="shared" si="110"/>
        <v>2.7028748941200654E-3</v>
      </c>
      <c r="G237" s="2"/>
      <c r="H237" s="6">
        <v>1850.54</v>
      </c>
      <c r="I237" s="2"/>
      <c r="J237" s="7">
        <f t="shared" si="111"/>
        <v>3.8270093500058695E-3</v>
      </c>
      <c r="K237" s="2"/>
      <c r="L237" s="6">
        <f t="shared" si="112"/>
        <v>2738.8999999999996</v>
      </c>
      <c r="M237" s="2"/>
      <c r="N237" s="7">
        <f t="shared" si="113"/>
        <v>1.4800544705869636</v>
      </c>
      <c r="O237" s="11"/>
      <c r="P237" s="6">
        <v>30576.45</v>
      </c>
      <c r="Q237" s="2"/>
      <c r="R237" s="7">
        <f t="shared" si="114"/>
        <v>2.6878992958116045E-3</v>
      </c>
      <c r="S237" s="2"/>
      <c r="T237" s="6">
        <v>30195.67</v>
      </c>
      <c r="U237" s="2"/>
      <c r="V237" s="7">
        <f t="shared" si="115"/>
        <v>5.8712953772157043E-3</v>
      </c>
      <c r="W237" s="2"/>
      <c r="X237" s="6">
        <f t="shared" si="116"/>
        <v>380.78000000000247</v>
      </c>
      <c r="Y237" s="2"/>
      <c r="Z237" s="7">
        <f t="shared" si="117"/>
        <v>1.2610417321423982E-2</v>
      </c>
    </row>
    <row r="238" spans="1:26" s="24" customFormat="1" hidden="1" outlineLevel="2" x14ac:dyDescent="0.3">
      <c r="A238" s="28"/>
      <c r="B238" s="11" t="str">
        <f>CONCATENATE("          ", "6248", " - ", "UNIFORMS")</f>
        <v xml:space="preserve">          6248 - UNIFORMS</v>
      </c>
      <c r="C238" s="11"/>
      <c r="D238" s="6"/>
      <c r="E238" s="2"/>
      <c r="F238" s="7">
        <f t="shared" si="110"/>
        <v>0</v>
      </c>
      <c r="G238" s="2"/>
      <c r="H238" s="6"/>
      <c r="I238" s="2"/>
      <c r="J238" s="7">
        <f t="shared" si="111"/>
        <v>0</v>
      </c>
      <c r="K238" s="2"/>
      <c r="L238" s="6">
        <f t="shared" si="112"/>
        <v>0</v>
      </c>
      <c r="M238" s="2"/>
      <c r="N238" s="7">
        <f t="shared" si="113"/>
        <v>0</v>
      </c>
      <c r="O238" s="11"/>
      <c r="P238" s="6">
        <v>5864.18</v>
      </c>
      <c r="Q238" s="2"/>
      <c r="R238" s="7">
        <f t="shared" si="114"/>
        <v>5.1550540669412226E-4</v>
      </c>
      <c r="S238" s="2"/>
      <c r="T238" s="6">
        <v>4500.59</v>
      </c>
      <c r="U238" s="2"/>
      <c r="V238" s="7">
        <f t="shared" si="115"/>
        <v>8.7510206800323455E-4</v>
      </c>
      <c r="W238" s="2"/>
      <c r="X238" s="6">
        <f t="shared" si="116"/>
        <v>1363.5900000000001</v>
      </c>
      <c r="Y238" s="2"/>
      <c r="Z238" s="7">
        <f t="shared" si="117"/>
        <v>0.30298027591937948</v>
      </c>
    </row>
    <row r="239" spans="1:26" s="29" customFormat="1" outlineLevel="1" collapsed="1" x14ac:dyDescent="0.3">
      <c r="A239" s="27"/>
      <c r="B239" s="14" t="str">
        <f>CONCATENATE("     ","Telephone/Data Lines                              ")</f>
        <v xml:space="preserve">     Telephone/Data Lines                              </v>
      </c>
      <c r="C239" s="14"/>
      <c r="D239" s="1">
        <f>SUM(OSRRefD22_23x_0)</f>
        <v>2527.56</v>
      </c>
      <c r="E239" s="1"/>
      <c r="F239" s="5">
        <f t="shared" ref="F239:F241" si="118">IF(D$12=0,0,D239/D$12)</f>
        <v>1.4885647197440456E-3</v>
      </c>
      <c r="G239" s="1"/>
      <c r="H239" s="1">
        <f>SUM(OSRRefH22_23x_0)</f>
        <v>3757.29</v>
      </c>
      <c r="I239" s="1"/>
      <c r="J239" s="5">
        <f t="shared" ref="J239:J241" si="119">IF(H$12=0,0,H239/H$12)</f>
        <v>7.7702637936405338E-3</v>
      </c>
      <c r="K239" s="1"/>
      <c r="L239" s="1">
        <f t="shared" ref="L239:L241" si="120">+D239-H239</f>
        <v>-1229.73</v>
      </c>
      <c r="M239" s="1"/>
      <c r="N239" s="5">
        <f t="shared" ref="N239:N241" si="121">IF(H239=0,0,L239/H239)</f>
        <v>-0.32729174484801549</v>
      </c>
      <c r="O239" s="14"/>
      <c r="P239" s="1">
        <f>SUM(OSRRefP22_23x_0)</f>
        <v>21111.5</v>
      </c>
      <c r="Q239" s="1"/>
      <c r="R239" s="5">
        <f t="shared" ref="R239:R241" si="122">IF(P$12=0,0,P239/P$12)</f>
        <v>1.8558591982890979E-3</v>
      </c>
      <c r="S239" s="1"/>
      <c r="T239" s="1">
        <f>SUM(OSRRefT22_23x_0)</f>
        <v>29428.2</v>
      </c>
      <c r="U239" s="1"/>
      <c r="V239" s="5">
        <f t="shared" ref="V239:V241" si="123">IF(T$12=0,0,T239/T$12)</f>
        <v>5.7220672573179933E-3</v>
      </c>
      <c r="W239" s="1"/>
      <c r="X239" s="1">
        <f t="shared" ref="X239:X241" si="124">+P239-T239</f>
        <v>-8316.7000000000007</v>
      </c>
      <c r="Y239" s="1"/>
      <c r="Z239" s="5">
        <f t="shared" ref="Z239:Z241" si="125">IF(T239=0,0,X239/T239)</f>
        <v>-0.28260987760039691</v>
      </c>
    </row>
    <row r="240" spans="1:26" s="24" customFormat="1" hidden="1" outlineLevel="2" x14ac:dyDescent="0.3">
      <c r="A240" s="28"/>
      <c r="B240" s="11" t="str">
        <f>CONCATENATE("          ", "6303", " - ", "DATA PHONE LINES")</f>
        <v xml:space="preserve">          6303 - DATA PHONE LINES</v>
      </c>
      <c r="C240" s="11"/>
      <c r="D240" s="6"/>
      <c r="E240" s="2"/>
      <c r="F240" s="7">
        <f t="shared" si="118"/>
        <v>0</v>
      </c>
      <c r="G240" s="2"/>
      <c r="H240" s="6"/>
      <c r="I240" s="2"/>
      <c r="J240" s="7">
        <f t="shared" si="119"/>
        <v>0</v>
      </c>
      <c r="K240" s="2"/>
      <c r="L240" s="6">
        <f t="shared" si="120"/>
        <v>0</v>
      </c>
      <c r="M240" s="2"/>
      <c r="N240" s="7">
        <f t="shared" si="121"/>
        <v>0</v>
      </c>
      <c r="O240" s="11"/>
      <c r="P240" s="6">
        <v>295</v>
      </c>
      <c r="Q240" s="2"/>
      <c r="R240" s="7">
        <f t="shared" si="122"/>
        <v>2.5932712668227453E-5</v>
      </c>
      <c r="S240" s="2"/>
      <c r="T240" s="6">
        <v>2065</v>
      </c>
      <c r="U240" s="2"/>
      <c r="V240" s="7">
        <f t="shared" si="123"/>
        <v>4.0152197165853353E-4</v>
      </c>
      <c r="W240" s="2"/>
      <c r="X240" s="6">
        <f t="shared" si="124"/>
        <v>-1770</v>
      </c>
      <c r="Y240" s="2"/>
      <c r="Z240" s="7">
        <f t="shared" si="125"/>
        <v>-0.8571428571428571</v>
      </c>
    </row>
    <row r="241" spans="1:26" s="24" customFormat="1" hidden="1" outlineLevel="2" x14ac:dyDescent="0.3">
      <c r="A241" s="28"/>
      <c r="B241" s="11" t="str">
        <f>CONCATENATE("          ", "6309", " - ", "TELEPHONE")</f>
        <v xml:space="preserve">          6309 - TELEPHONE</v>
      </c>
      <c r="C241" s="11"/>
      <c r="D241" s="6">
        <v>2527.56</v>
      </c>
      <c r="E241" s="2"/>
      <c r="F241" s="7">
        <f t="shared" si="118"/>
        <v>1.4885647197440456E-3</v>
      </c>
      <c r="G241" s="2"/>
      <c r="H241" s="6">
        <v>3757.29</v>
      </c>
      <c r="I241" s="2"/>
      <c r="J241" s="7">
        <f t="shared" si="119"/>
        <v>7.7702637936405338E-3</v>
      </c>
      <c r="K241" s="2"/>
      <c r="L241" s="6">
        <f t="shared" si="120"/>
        <v>-1229.73</v>
      </c>
      <c r="M241" s="2"/>
      <c r="N241" s="7">
        <f t="shared" si="121"/>
        <v>-0.32729174484801549</v>
      </c>
      <c r="O241" s="11"/>
      <c r="P241" s="6">
        <v>20816.5</v>
      </c>
      <c r="Q241" s="2"/>
      <c r="R241" s="7">
        <f t="shared" si="122"/>
        <v>1.8299264856208703E-3</v>
      </c>
      <c r="S241" s="2"/>
      <c r="T241" s="6">
        <v>27363.200000000001</v>
      </c>
      <c r="U241" s="2"/>
      <c r="V241" s="7">
        <f t="shared" si="123"/>
        <v>5.3205452856594599E-3</v>
      </c>
      <c r="W241" s="2"/>
      <c r="X241" s="6">
        <f t="shared" si="124"/>
        <v>-6546.7000000000007</v>
      </c>
      <c r="Y241" s="2"/>
      <c r="Z241" s="7">
        <f t="shared" si="125"/>
        <v>-0.23925198807157061</v>
      </c>
    </row>
    <row r="242" spans="1:26" s="29" customFormat="1" outlineLevel="1" collapsed="1" x14ac:dyDescent="0.3">
      <c r="A242" s="27"/>
      <c r="B242" s="14" t="str">
        <f>CONCATENATE("     ","Training                                          ")</f>
        <v xml:space="preserve">     Training                                          </v>
      </c>
      <c r="C242" s="14"/>
      <c r="D242" s="1">
        <f>SUM(OSRRefD22_24x_0)</f>
        <v>825</v>
      </c>
      <c r="E242" s="1"/>
      <c r="F242" s="5">
        <f t="shared" ref="F242:F247" si="126">IF(D$12=0,0,D242/D$12)</f>
        <v>4.8587012525472695E-4</v>
      </c>
      <c r="G242" s="1"/>
      <c r="H242" s="1">
        <f>SUM(OSRRefH22_24x_0)</f>
        <v>0</v>
      </c>
      <c r="I242" s="1"/>
      <c r="J242" s="5">
        <f t="shared" ref="J242:J247" si="127">IF(H$12=0,0,H242/H$12)</f>
        <v>0</v>
      </c>
      <c r="K242" s="1"/>
      <c r="L242" s="1">
        <f t="shared" ref="L242:L247" si="128">+D242-H242</f>
        <v>825</v>
      </c>
      <c r="M242" s="1"/>
      <c r="N242" s="5">
        <f t="shared" ref="N242:N247" si="129">IF(H242=0,0,L242/H242)</f>
        <v>0</v>
      </c>
      <c r="O242" s="14"/>
      <c r="P242" s="1">
        <f>SUM(OSRRefP22_24x_0)</f>
        <v>3665</v>
      </c>
      <c r="Q242" s="1"/>
      <c r="R242" s="5">
        <f t="shared" ref="R242:R247" si="130">IF(P$12=0,0,P242/P$12)</f>
        <v>3.2218098959001224E-4</v>
      </c>
      <c r="S242" s="1"/>
      <c r="T242" s="1">
        <f>SUM(OSRRefT22_24x_0)</f>
        <v>1380.63</v>
      </c>
      <c r="U242" s="1"/>
      <c r="V242" s="5">
        <f t="shared" ref="V242:V247" si="131">IF(T$12=0,0,T242/T$12)</f>
        <v>2.6845195144354538E-4</v>
      </c>
      <c r="W242" s="1"/>
      <c r="X242" s="1">
        <f t="shared" ref="X242:X247" si="132">+P242-T242</f>
        <v>2284.37</v>
      </c>
      <c r="Y242" s="1"/>
      <c r="Z242" s="5">
        <f t="shared" ref="Z242:Z247" si="133">IF(T242=0,0,X242/T242)</f>
        <v>1.654585225585421</v>
      </c>
    </row>
    <row r="243" spans="1:26" s="24" customFormat="1" hidden="1" outlineLevel="2" x14ac:dyDescent="0.3">
      <c r="A243" s="28"/>
      <c r="B243" s="11" t="str">
        <f>CONCATENATE("          ", "6376", " - ", "TRAINING")</f>
        <v xml:space="preserve">          6376 - TRAINING</v>
      </c>
      <c r="C243" s="11"/>
      <c r="D243" s="6">
        <v>825</v>
      </c>
      <c r="E243" s="2"/>
      <c r="F243" s="7">
        <f t="shared" si="126"/>
        <v>4.8587012525472695E-4</v>
      </c>
      <c r="G243" s="2"/>
      <c r="H243" s="6"/>
      <c r="I243" s="2"/>
      <c r="J243" s="7">
        <f t="shared" si="127"/>
        <v>0</v>
      </c>
      <c r="K243" s="2"/>
      <c r="L243" s="6">
        <f t="shared" si="128"/>
        <v>825</v>
      </c>
      <c r="M243" s="2"/>
      <c r="N243" s="7">
        <f t="shared" si="129"/>
        <v>0</v>
      </c>
      <c r="O243" s="11"/>
      <c r="P243" s="6">
        <v>3665</v>
      </c>
      <c r="Q243" s="2"/>
      <c r="R243" s="7">
        <f t="shared" si="130"/>
        <v>3.2218098959001224E-4</v>
      </c>
      <c r="S243" s="2"/>
      <c r="T243" s="6">
        <v>1380.63</v>
      </c>
      <c r="U243" s="2"/>
      <c r="V243" s="7">
        <f t="shared" si="131"/>
        <v>2.6845195144354538E-4</v>
      </c>
      <c r="W243" s="2"/>
      <c r="X243" s="6">
        <f t="shared" si="132"/>
        <v>2284.37</v>
      </c>
      <c r="Y243" s="2"/>
      <c r="Z243" s="7">
        <f t="shared" si="133"/>
        <v>1.654585225585421</v>
      </c>
    </row>
    <row r="244" spans="1:26" s="29" customFormat="1" outlineLevel="1" collapsed="1" x14ac:dyDescent="0.3">
      <c r="A244" s="27"/>
      <c r="B244" s="14" t="str">
        <f>CONCATENATE("     ","Travel                                            ")</f>
        <v xml:space="preserve">     Travel                                            </v>
      </c>
      <c r="C244" s="14"/>
      <c r="D244" s="1">
        <f>SUM(OSRRefD22_25x_0)</f>
        <v>24.4</v>
      </c>
      <c r="E244" s="1"/>
      <c r="F244" s="5">
        <f t="shared" si="126"/>
        <v>1.4369977037836772E-5</v>
      </c>
      <c r="G244" s="1"/>
      <c r="H244" s="1">
        <f>SUM(OSRRefH22_25x_0)</f>
        <v>0</v>
      </c>
      <c r="I244" s="1"/>
      <c r="J244" s="5">
        <f t="shared" si="127"/>
        <v>0</v>
      </c>
      <c r="K244" s="1"/>
      <c r="L244" s="1">
        <f t="shared" si="128"/>
        <v>24.4</v>
      </c>
      <c r="M244" s="1"/>
      <c r="N244" s="5">
        <f t="shared" si="129"/>
        <v>0</v>
      </c>
      <c r="O244" s="14"/>
      <c r="P244" s="1">
        <f>SUM(OSRRefP22_25x_0)</f>
        <v>1599.62</v>
      </c>
      <c r="Q244" s="1"/>
      <c r="R244" s="5">
        <f t="shared" si="130"/>
        <v>1.4061859606220338E-4</v>
      </c>
      <c r="S244" s="1"/>
      <c r="T244" s="1">
        <f>SUM(OSRRefT22_25x_0)</f>
        <v>1013.14</v>
      </c>
      <c r="U244" s="1"/>
      <c r="V244" s="5">
        <f t="shared" si="131"/>
        <v>1.9699659581894752E-4</v>
      </c>
      <c r="W244" s="1"/>
      <c r="X244" s="1">
        <f t="shared" si="132"/>
        <v>586.4799999999999</v>
      </c>
      <c r="Y244" s="1"/>
      <c r="Z244" s="5">
        <f t="shared" si="133"/>
        <v>0.57887360088437922</v>
      </c>
    </row>
    <row r="245" spans="1:26" s="24" customFormat="1" hidden="1" outlineLevel="2" x14ac:dyDescent="0.3">
      <c r="A245" s="28"/>
      <c r="B245" s="11" t="str">
        <f>CONCATENATE("          ", "6292", " - ", "TRAVEL/CONFERENCE")</f>
        <v xml:space="preserve">          6292 - TRAVEL/CONFERENCE</v>
      </c>
      <c r="C245" s="11"/>
      <c r="D245" s="6"/>
      <c r="E245" s="2"/>
      <c r="F245" s="7">
        <f t="shared" si="126"/>
        <v>0</v>
      </c>
      <c r="G245" s="2"/>
      <c r="H245" s="6"/>
      <c r="I245" s="2"/>
      <c r="J245" s="7">
        <f t="shared" si="127"/>
        <v>0</v>
      </c>
      <c r="K245" s="2"/>
      <c r="L245" s="6">
        <f t="shared" si="128"/>
        <v>0</v>
      </c>
      <c r="M245" s="2"/>
      <c r="N245" s="7">
        <f t="shared" si="129"/>
        <v>0</v>
      </c>
      <c r="O245" s="11"/>
      <c r="P245" s="6">
        <v>1108.5899999999999</v>
      </c>
      <c r="Q245" s="2"/>
      <c r="R245" s="7">
        <f t="shared" si="130"/>
        <v>9.7453376057187347E-5</v>
      </c>
      <c r="S245" s="2"/>
      <c r="T245" s="6">
        <v>299.16000000000003</v>
      </c>
      <c r="U245" s="2"/>
      <c r="V245" s="7">
        <f t="shared" si="131"/>
        <v>5.8169158857804791E-5</v>
      </c>
      <c r="W245" s="2"/>
      <c r="X245" s="6">
        <f t="shared" si="132"/>
        <v>809.42999999999984</v>
      </c>
      <c r="Y245" s="2"/>
      <c r="Z245" s="7">
        <f t="shared" si="133"/>
        <v>2.7056758924989963</v>
      </c>
    </row>
    <row r="246" spans="1:26" s="24" customFormat="1" hidden="1" outlineLevel="2" x14ac:dyDescent="0.3">
      <c r="A246" s="28"/>
      <c r="B246" s="11" t="str">
        <f>CONCATENATE("          ", "6294", " - ", "TRAVEL OPERATIONAL")</f>
        <v xml:space="preserve">          6294 - TRAVEL OPERATIONAL</v>
      </c>
      <c r="C246" s="11"/>
      <c r="D246" s="6">
        <v>24.4</v>
      </c>
      <c r="E246" s="2"/>
      <c r="F246" s="7">
        <f t="shared" si="126"/>
        <v>1.4369977037836772E-5</v>
      </c>
      <c r="G246" s="2"/>
      <c r="H246" s="6"/>
      <c r="I246" s="2"/>
      <c r="J246" s="7">
        <f t="shared" si="127"/>
        <v>0</v>
      </c>
      <c r="K246" s="2"/>
      <c r="L246" s="6">
        <f t="shared" si="128"/>
        <v>24.4</v>
      </c>
      <c r="M246" s="2"/>
      <c r="N246" s="7">
        <f t="shared" si="129"/>
        <v>0</v>
      </c>
      <c r="O246" s="11"/>
      <c r="P246" s="6">
        <v>239.93</v>
      </c>
      <c r="Q246" s="2"/>
      <c r="R246" s="7">
        <f t="shared" si="130"/>
        <v>2.1091646611823095E-5</v>
      </c>
      <c r="S246" s="2"/>
      <c r="T246" s="6">
        <v>321.88</v>
      </c>
      <c r="U246" s="2"/>
      <c r="V246" s="7">
        <f t="shared" si="131"/>
        <v>6.2586872754212474E-5</v>
      </c>
      <c r="W246" s="2"/>
      <c r="X246" s="6">
        <f t="shared" si="132"/>
        <v>-81.949999999999989</v>
      </c>
      <c r="Y246" s="2"/>
      <c r="Z246" s="7">
        <f t="shared" si="133"/>
        <v>-0.25459798682738904</v>
      </c>
    </row>
    <row r="247" spans="1:26" s="24" customFormat="1" hidden="1" outlineLevel="2" x14ac:dyDescent="0.3">
      <c r="A247" s="28"/>
      <c r="B247" s="11" t="str">
        <f>CONCATENATE("          ", "6298", " - ", "VEHICLE MILEAGE")</f>
        <v xml:space="preserve">          6298 - VEHICLE MILEAGE</v>
      </c>
      <c r="C247" s="11"/>
      <c r="D247" s="6"/>
      <c r="E247" s="2"/>
      <c r="F247" s="7">
        <f t="shared" si="126"/>
        <v>0</v>
      </c>
      <c r="G247" s="2"/>
      <c r="H247" s="6"/>
      <c r="I247" s="2"/>
      <c r="J247" s="7">
        <f t="shared" si="127"/>
        <v>0</v>
      </c>
      <c r="K247" s="2"/>
      <c r="L247" s="6">
        <f t="shared" si="128"/>
        <v>0</v>
      </c>
      <c r="M247" s="2"/>
      <c r="N247" s="7">
        <f t="shared" si="129"/>
        <v>0</v>
      </c>
      <c r="O247" s="11"/>
      <c r="P247" s="6">
        <v>251.1</v>
      </c>
      <c r="Q247" s="2"/>
      <c r="R247" s="7">
        <f t="shared" si="130"/>
        <v>2.2073573393192926E-5</v>
      </c>
      <c r="S247" s="2"/>
      <c r="T247" s="6">
        <v>392.1</v>
      </c>
      <c r="U247" s="2"/>
      <c r="V247" s="7">
        <f t="shared" si="131"/>
        <v>7.6240564206930269E-5</v>
      </c>
      <c r="W247" s="2"/>
      <c r="X247" s="6">
        <f t="shared" si="132"/>
        <v>-141.00000000000003</v>
      </c>
      <c r="Y247" s="2"/>
      <c r="Z247" s="7">
        <f t="shared" si="133"/>
        <v>-0.35960214231063509</v>
      </c>
    </row>
    <row r="248" spans="1:26" s="29" customFormat="1" outlineLevel="1" collapsed="1" x14ac:dyDescent="0.3">
      <c r="A248" s="27"/>
      <c r="B248" s="14" t="str">
        <f>CONCATENATE("     ","Utilities                                         ")</f>
        <v xml:space="preserve">     Utilities                                         </v>
      </c>
      <c r="C248" s="14"/>
      <c r="D248" s="1">
        <f>SUM(OSRRefD22_26x_0)</f>
        <v>8312.92</v>
      </c>
      <c r="E248" s="1"/>
      <c r="F248" s="5">
        <f t="shared" ref="F248:F249" si="134">IF(D$12=0,0,D248/D$12)</f>
        <v>4.8957569474333638E-3</v>
      </c>
      <c r="G248" s="1"/>
      <c r="H248" s="1">
        <f>SUM(OSRRefH22_26x_0)</f>
        <v>10971.61</v>
      </c>
      <c r="I248" s="1"/>
      <c r="J248" s="5">
        <f t="shared" ref="J248:J249" si="135">IF(H$12=0,0,H248/H$12)</f>
        <v>2.268983867120835E-2</v>
      </c>
      <c r="K248" s="1"/>
      <c r="L248" s="1">
        <f t="shared" ref="L248:L249" si="136">+D248-H248</f>
        <v>-2658.6900000000005</v>
      </c>
      <c r="M248" s="1"/>
      <c r="N248" s="5">
        <f t="shared" ref="N248:N249" si="137">IF(H248=0,0,L248/H248)</f>
        <v>-0.24232450843586315</v>
      </c>
      <c r="O248" s="14"/>
      <c r="P248" s="1">
        <f>SUM(OSRRefP22_26x_0)</f>
        <v>77346.509999999995</v>
      </c>
      <c r="Q248" s="1"/>
      <c r="R248" s="5">
        <f t="shared" ref="R248:R249" si="138">IF(P$12=0,0,P248/P$12)</f>
        <v>6.7993383719328173E-3</v>
      </c>
      <c r="S248" s="1"/>
      <c r="T248" s="1">
        <f>SUM(OSRRefT22_26x_0)</f>
        <v>41311.42</v>
      </c>
      <c r="U248" s="1"/>
      <c r="V248" s="5">
        <f t="shared" ref="V248:V249" si="139">IF(T$12=0,0,T248/T$12)</f>
        <v>8.0326599566168388E-3</v>
      </c>
      <c r="W248" s="1"/>
      <c r="X248" s="1">
        <f t="shared" ref="X248:X249" si="140">+P248-T248</f>
        <v>36035.089999999997</v>
      </c>
      <c r="Y248" s="1"/>
      <c r="Z248" s="5">
        <f t="shared" ref="Z248:Z249" si="141">IF(T248=0,0,X248/T248)</f>
        <v>0.87227914218392877</v>
      </c>
    </row>
    <row r="249" spans="1:26" s="24" customFormat="1" hidden="1" outlineLevel="2" x14ac:dyDescent="0.3">
      <c r="A249" s="28"/>
      <c r="B249" s="11" t="str">
        <f>CONCATENATE("          ", "6274", " - ", "UTILITIES")</f>
        <v xml:space="preserve">          6274 - UTILITIES</v>
      </c>
      <c r="C249" s="11"/>
      <c r="D249" s="6">
        <v>8312.92</v>
      </c>
      <c r="E249" s="2"/>
      <c r="F249" s="7">
        <f t="shared" si="134"/>
        <v>4.8957569474333638E-3</v>
      </c>
      <c r="G249" s="2"/>
      <c r="H249" s="6">
        <v>10971.61</v>
      </c>
      <c r="I249" s="2"/>
      <c r="J249" s="7">
        <f t="shared" si="135"/>
        <v>2.268983867120835E-2</v>
      </c>
      <c r="K249" s="2"/>
      <c r="L249" s="6">
        <f t="shared" si="136"/>
        <v>-2658.6900000000005</v>
      </c>
      <c r="M249" s="2"/>
      <c r="N249" s="7">
        <f t="shared" si="137"/>
        <v>-0.24232450843586315</v>
      </c>
      <c r="O249" s="11"/>
      <c r="P249" s="6">
        <v>77346.509999999995</v>
      </c>
      <c r="Q249" s="2"/>
      <c r="R249" s="7">
        <f t="shared" si="138"/>
        <v>6.7993383719328173E-3</v>
      </c>
      <c r="S249" s="2"/>
      <c r="T249" s="6">
        <v>41311.42</v>
      </c>
      <c r="U249" s="2"/>
      <c r="V249" s="7">
        <f t="shared" si="139"/>
        <v>8.0326599566168388E-3</v>
      </c>
      <c r="W249" s="2"/>
      <c r="X249" s="6">
        <f t="shared" si="140"/>
        <v>36035.089999999997</v>
      </c>
      <c r="Y249" s="2"/>
      <c r="Z249" s="7">
        <f t="shared" si="141"/>
        <v>0.87227914218392877</v>
      </c>
    </row>
    <row r="250" spans="1:26" s="53" customFormat="1" x14ac:dyDescent="0.3">
      <c r="A250" s="37"/>
      <c r="B250" s="37"/>
      <c r="C250" s="37"/>
      <c r="D250" s="1"/>
      <c r="E250" s="1"/>
      <c r="F250" s="5"/>
      <c r="G250" s="1"/>
      <c r="H250" s="1"/>
      <c r="I250" s="1"/>
      <c r="J250" s="5"/>
      <c r="K250" s="1"/>
      <c r="L250" s="1"/>
      <c r="M250" s="1"/>
      <c r="N250" s="5"/>
      <c r="O250" s="37"/>
      <c r="P250" s="1"/>
      <c r="Q250" s="1"/>
      <c r="R250" s="5"/>
      <c r="S250" s="1"/>
      <c r="T250" s="1"/>
      <c r="U250" s="1"/>
      <c r="V250" s="5"/>
      <c r="W250" s="1"/>
      <c r="X250" s="1"/>
      <c r="Y250" s="1"/>
      <c r="Z250" s="5"/>
    </row>
    <row r="251" spans="1:26" s="23" customFormat="1" collapsed="1" x14ac:dyDescent="0.3">
      <c r="A251" s="10"/>
      <c r="B251" s="25" t="s">
        <v>292</v>
      </c>
      <c r="C251" s="10"/>
      <c r="D251" s="4">
        <f>SUM(OSRRefD25x_0)</f>
        <v>119863.78</v>
      </c>
      <c r="E251" s="4"/>
      <c r="F251" s="12">
        <f t="shared" ref="F251:F259" si="142">IF(D$12=0,0,D251/D$12)</f>
        <v>7.059179369952126E-2</v>
      </c>
      <c r="G251" s="4"/>
      <c r="H251" s="4">
        <f>SUM(OSRRefH25x_0)</f>
        <v>30857.81</v>
      </c>
      <c r="I251" s="4"/>
      <c r="J251" s="12">
        <f t="shared" ref="J251:J259" si="143">IF(H$12=0,0,H251/H$12)</f>
        <v>6.3815495688125959E-2</v>
      </c>
      <c r="K251" s="4"/>
      <c r="L251" s="4">
        <f t="shared" ref="L251:L259" si="144">+D251-H251</f>
        <v>89005.97</v>
      </c>
      <c r="M251" s="4"/>
      <c r="N251" s="12">
        <f t="shared" ref="N251:N259" si="145">IF(H251=0,0,L251/H251)</f>
        <v>2.8843903698933917</v>
      </c>
      <c r="O251" s="10"/>
      <c r="P251" s="4">
        <f>SUM(OSRRefP25x_0)</f>
        <v>612855.65999999992</v>
      </c>
      <c r="Q251" s="4"/>
      <c r="R251" s="12">
        <f t="shared" ref="R251:R259" si="146">IF(P$12=0,0,P251/P$12)</f>
        <v>5.3874609280938623E-2</v>
      </c>
      <c r="S251" s="4"/>
      <c r="T251" s="4">
        <f>SUM(OSRRefT25x_0)</f>
        <v>561364.04</v>
      </c>
      <c r="U251" s="4"/>
      <c r="V251" s="12">
        <f t="shared" ref="V251:V259" si="147">IF(T$12=0,0,T251/T$12)</f>
        <v>0.10915254051283288</v>
      </c>
      <c r="W251" s="4"/>
      <c r="X251" s="4">
        <f t="shared" ref="X251:X259" si="148">+P251-T251</f>
        <v>51491.619999999879</v>
      </c>
      <c r="Y251" s="4"/>
      <c r="Z251" s="12">
        <f t="shared" ref="Z251:Z259" si="149">IF(T251=0,0,X251/T251)</f>
        <v>9.1725896799516898E-2</v>
      </c>
    </row>
    <row r="252" spans="1:26" s="24" customFormat="1" hidden="1" outlineLevel="1" x14ac:dyDescent="0.3">
      <c r="A252" s="44"/>
      <c r="B252" s="11" t="str">
        <f>CONCATENATE("          ", "4187", " - ", "NON-TAXABLE SALES-COMPUTER REP")</f>
        <v xml:space="preserve">          4187 - NON-TAXABLE SALES-COMPUTER REP</v>
      </c>
      <c r="C252" s="11"/>
      <c r="D252" s="2">
        <f>0</f>
        <v>0</v>
      </c>
      <c r="E252" s="2"/>
      <c r="F252" s="19">
        <f t="shared" si="142"/>
        <v>0</v>
      </c>
      <c r="G252" s="2"/>
      <c r="H252" s="2">
        <f>--471.29</f>
        <v>471.29</v>
      </c>
      <c r="I252" s="2"/>
      <c r="J252" s="19">
        <f t="shared" si="143"/>
        <v>9.7465131073322722E-4</v>
      </c>
      <c r="K252" s="2"/>
      <c r="L252" s="2">
        <f t="shared" si="144"/>
        <v>-471.29</v>
      </c>
      <c r="M252" s="2"/>
      <c r="N252" s="19">
        <f t="shared" si="145"/>
        <v>-1</v>
      </c>
      <c r="O252" s="11"/>
      <c r="P252" s="2">
        <f>0</f>
        <v>0</v>
      </c>
      <c r="Q252" s="2"/>
      <c r="R252" s="19">
        <f t="shared" si="146"/>
        <v>0</v>
      </c>
      <c r="S252" s="2"/>
      <c r="T252" s="2">
        <f>--1034.5</f>
        <v>1034.5</v>
      </c>
      <c r="U252" s="2"/>
      <c r="V252" s="19">
        <f t="shared" si="147"/>
        <v>2.0114986909479561E-4</v>
      </c>
      <c r="W252" s="2"/>
      <c r="X252" s="2">
        <f t="shared" si="148"/>
        <v>-1034.5</v>
      </c>
      <c r="Y252" s="2"/>
      <c r="Z252" s="19">
        <f t="shared" si="149"/>
        <v>-1</v>
      </c>
    </row>
    <row r="253" spans="1:26" s="24" customFormat="1" hidden="1" outlineLevel="1" x14ac:dyDescent="0.3">
      <c r="A253" s="44"/>
      <c r="B253" s="11" t="str">
        <f>CONCATENATE("          ", "9087", " - ", "")</f>
        <v xml:space="preserve">          9087 - </v>
      </c>
      <c r="C253" s="11"/>
      <c r="D253" s="2">
        <f>--730.08</f>
        <v>730.08</v>
      </c>
      <c r="E253" s="2"/>
      <c r="F253" s="19">
        <f t="shared" si="142"/>
        <v>4.2996855884360131E-4</v>
      </c>
      <c r="G253" s="2"/>
      <c r="H253" s="2">
        <f>0</f>
        <v>0</v>
      </c>
      <c r="I253" s="2"/>
      <c r="J253" s="19">
        <f t="shared" si="143"/>
        <v>0</v>
      </c>
      <c r="K253" s="2"/>
      <c r="L253" s="2">
        <f t="shared" si="144"/>
        <v>730.08</v>
      </c>
      <c r="M253" s="2"/>
      <c r="N253" s="19">
        <f t="shared" si="145"/>
        <v>0</v>
      </c>
      <c r="O253" s="11"/>
      <c r="P253" s="2">
        <f>--337.7</f>
        <v>337.7</v>
      </c>
      <c r="Q253" s="2"/>
      <c r="R253" s="19">
        <f t="shared" si="146"/>
        <v>2.9686362942577661E-5</v>
      </c>
      <c r="S253" s="2"/>
      <c r="T253" s="2">
        <f>0</f>
        <v>0</v>
      </c>
      <c r="U253" s="2"/>
      <c r="V253" s="19">
        <f t="shared" si="147"/>
        <v>0</v>
      </c>
      <c r="W253" s="2"/>
      <c r="X253" s="2">
        <f t="shared" si="148"/>
        <v>337.7</v>
      </c>
      <c r="Y253" s="2"/>
      <c r="Z253" s="19">
        <f t="shared" si="149"/>
        <v>0</v>
      </c>
    </row>
    <row r="254" spans="1:26" s="24" customFormat="1" hidden="1" outlineLevel="1" x14ac:dyDescent="0.3">
      <c r="A254" s="44"/>
      <c r="B254" s="11" t="str">
        <f>CONCATENATE("          ", "9150", " - ", "MISC. INCOME")</f>
        <v xml:space="preserve">          9150 - MISC. INCOME</v>
      </c>
      <c r="C254" s="11"/>
      <c r="D254" s="2">
        <f>--118202.01</f>
        <v>118202.01</v>
      </c>
      <c r="E254" s="2"/>
      <c r="F254" s="19">
        <f t="shared" si="142"/>
        <v>6.9613121701891503E-2</v>
      </c>
      <c r="G254" s="2"/>
      <c r="H254" s="2">
        <f>--19590.3</f>
        <v>19590.3</v>
      </c>
      <c r="I254" s="2"/>
      <c r="J254" s="19">
        <f t="shared" si="143"/>
        <v>4.0513721005447048E-2</v>
      </c>
      <c r="K254" s="2"/>
      <c r="L254" s="2">
        <f t="shared" si="144"/>
        <v>98611.709999999992</v>
      </c>
      <c r="M254" s="2"/>
      <c r="N254" s="19">
        <f t="shared" si="145"/>
        <v>5.0337008621613757</v>
      </c>
      <c r="O254" s="11"/>
      <c r="P254" s="2">
        <f>--368179.3</f>
        <v>368179.3</v>
      </c>
      <c r="Q254" s="2"/>
      <c r="R254" s="19">
        <f t="shared" si="146"/>
        <v>3.2365722024708866E-2</v>
      </c>
      <c r="S254" s="2"/>
      <c r="T254" s="2">
        <f>--220908.96</f>
        <v>220908.96</v>
      </c>
      <c r="U254" s="2"/>
      <c r="V254" s="19">
        <f t="shared" si="147"/>
        <v>4.2953898874690609E-2</v>
      </c>
      <c r="W254" s="2"/>
      <c r="X254" s="2">
        <f t="shared" si="148"/>
        <v>147270.34</v>
      </c>
      <c r="Y254" s="2"/>
      <c r="Z254" s="19">
        <f t="shared" si="149"/>
        <v>0.66665625513786309</v>
      </c>
    </row>
    <row r="255" spans="1:26" s="24" customFormat="1" hidden="1" outlineLevel="1" x14ac:dyDescent="0.3">
      <c r="A255" s="44"/>
      <c r="B255" s="11" t="str">
        <f>CONCATENATE("          ", "9151", " - ", "MISC. INCOME")</f>
        <v xml:space="preserve">          9151 - MISC. INCOME</v>
      </c>
      <c r="C255" s="11"/>
      <c r="D255" s="2">
        <f>0</f>
        <v>0</v>
      </c>
      <c r="E255" s="2"/>
      <c r="F255" s="19">
        <f t="shared" si="142"/>
        <v>0</v>
      </c>
      <c r="G255" s="2"/>
      <c r="H255" s="2">
        <f>0</f>
        <v>0</v>
      </c>
      <c r="I255" s="2"/>
      <c r="J255" s="19">
        <f t="shared" si="143"/>
        <v>0</v>
      </c>
      <c r="K255" s="2"/>
      <c r="L255" s="2">
        <f t="shared" si="144"/>
        <v>0</v>
      </c>
      <c r="M255" s="2"/>
      <c r="N255" s="19">
        <f t="shared" si="145"/>
        <v>0</v>
      </c>
      <c r="O255" s="11"/>
      <c r="P255" s="2">
        <f>--168463.36</f>
        <v>168463.35999999999</v>
      </c>
      <c r="Q255" s="2"/>
      <c r="R255" s="19">
        <f t="shared" si="146"/>
        <v>1.4809192915268344E-2</v>
      </c>
      <c r="S255" s="2"/>
      <c r="T255" s="2">
        <f>--147285.39</f>
        <v>147285.39000000001</v>
      </c>
      <c r="U255" s="2"/>
      <c r="V255" s="19">
        <f t="shared" si="147"/>
        <v>2.8638411713944822E-2</v>
      </c>
      <c r="W255" s="2"/>
      <c r="X255" s="2">
        <f t="shared" si="148"/>
        <v>21177.969999999972</v>
      </c>
      <c r="Y255" s="2"/>
      <c r="Z255" s="19">
        <f t="shared" si="149"/>
        <v>0.14378866770152809</v>
      </c>
    </row>
    <row r="256" spans="1:26" s="24" customFormat="1" hidden="1" outlineLevel="1" x14ac:dyDescent="0.3">
      <c r="A256" s="44"/>
      <c r="B256" s="11" t="str">
        <f>CONCATENATE("          ", "9152", " - ", "MISC. INCOME")</f>
        <v xml:space="preserve">          9152 - MISC. INCOME</v>
      </c>
      <c r="C256" s="11"/>
      <c r="D256" s="2">
        <f>--931.69</f>
        <v>931.69</v>
      </c>
      <c r="E256" s="2"/>
      <c r="F256" s="19">
        <f t="shared" si="142"/>
        <v>5.4870343878615346E-4</v>
      </c>
      <c r="G256" s="2"/>
      <c r="H256" s="2">
        <f>--479.7</f>
        <v>479.7</v>
      </c>
      <c r="I256" s="2"/>
      <c r="J256" s="19">
        <f t="shared" si="143"/>
        <v>9.9204361170134969E-4</v>
      </c>
      <c r="K256" s="2"/>
      <c r="L256" s="2">
        <f t="shared" si="144"/>
        <v>451.99000000000007</v>
      </c>
      <c r="M256" s="2"/>
      <c r="N256" s="19">
        <f t="shared" si="145"/>
        <v>0.94223473003960823</v>
      </c>
      <c r="O256" s="11"/>
      <c r="P256" s="2">
        <f>--3127.1</f>
        <v>3127.1</v>
      </c>
      <c r="Q256" s="2"/>
      <c r="R256" s="19">
        <f t="shared" si="146"/>
        <v>2.7489554503326802E-4</v>
      </c>
      <c r="S256" s="2"/>
      <c r="T256" s="2">
        <f>--3085.93</f>
        <v>3085.93</v>
      </c>
      <c r="U256" s="2"/>
      <c r="V256" s="19">
        <f t="shared" si="147"/>
        <v>6.0003326779671583E-4</v>
      </c>
      <c r="W256" s="2"/>
      <c r="X256" s="2">
        <f t="shared" si="148"/>
        <v>41.170000000000073</v>
      </c>
      <c r="Y256" s="2"/>
      <c r="Z256" s="19">
        <f t="shared" si="149"/>
        <v>1.3341196981136991E-2</v>
      </c>
    </row>
    <row r="257" spans="1:26" s="24" customFormat="1" hidden="1" outlineLevel="1" x14ac:dyDescent="0.3">
      <c r="A257" s="44"/>
      <c r="B257" s="11" t="str">
        <f>CONCATENATE("          ", "9160", " - ", "MISC. INCOME")</f>
        <v xml:space="preserve">          9160 - MISC. INCOME</v>
      </c>
      <c r="C257" s="11"/>
      <c r="D257" s="2">
        <f t="shared" ref="D257:D259" si="150">0</f>
        <v>0</v>
      </c>
      <c r="E257" s="2"/>
      <c r="F257" s="19">
        <f t="shared" si="142"/>
        <v>0</v>
      </c>
      <c r="G257" s="2"/>
      <c r="H257" s="2">
        <f>--10000</f>
        <v>10000</v>
      </c>
      <c r="I257" s="2"/>
      <c r="J257" s="19">
        <f t="shared" si="143"/>
        <v>2.068050055662601E-2</v>
      </c>
      <c r="K257" s="2"/>
      <c r="L257" s="2">
        <f t="shared" si="144"/>
        <v>-10000</v>
      </c>
      <c r="M257" s="2"/>
      <c r="N257" s="19">
        <f t="shared" si="145"/>
        <v>-1</v>
      </c>
      <c r="O257" s="11"/>
      <c r="P257" s="2">
        <f>0</f>
        <v>0</v>
      </c>
      <c r="Q257" s="2"/>
      <c r="R257" s="19">
        <f t="shared" si="146"/>
        <v>0</v>
      </c>
      <c r="S257" s="2"/>
      <c r="T257" s="2">
        <f>--12328.25</f>
        <v>12328.25</v>
      </c>
      <c r="U257" s="2"/>
      <c r="V257" s="19">
        <f t="shared" si="147"/>
        <v>2.397125059127998E-3</v>
      </c>
      <c r="W257" s="2"/>
      <c r="X257" s="2">
        <f t="shared" si="148"/>
        <v>-12328.25</v>
      </c>
      <c r="Y257" s="2"/>
      <c r="Z257" s="19">
        <f t="shared" si="149"/>
        <v>-1</v>
      </c>
    </row>
    <row r="258" spans="1:26" s="24" customFormat="1" hidden="1" outlineLevel="1" x14ac:dyDescent="0.3">
      <c r="A258" s="44"/>
      <c r="B258" s="11" t="str">
        <f>CONCATENATE("          ", "9163", " - ", "MISC. INCOME")</f>
        <v xml:space="preserve">          9163 - MISC. INCOME</v>
      </c>
      <c r="C258" s="11"/>
      <c r="D258" s="2">
        <f t="shared" si="150"/>
        <v>0</v>
      </c>
      <c r="E258" s="2"/>
      <c r="F258" s="19">
        <f t="shared" si="142"/>
        <v>0</v>
      </c>
      <c r="G258" s="2"/>
      <c r="H258" s="2">
        <f>0</f>
        <v>0</v>
      </c>
      <c r="I258" s="2"/>
      <c r="J258" s="19">
        <f t="shared" si="143"/>
        <v>0</v>
      </c>
      <c r="K258" s="2"/>
      <c r="L258" s="2">
        <f t="shared" si="144"/>
        <v>0</v>
      </c>
      <c r="M258" s="2"/>
      <c r="N258" s="19">
        <f t="shared" si="145"/>
        <v>0</v>
      </c>
      <c r="O258" s="11"/>
      <c r="P258" s="2">
        <f>--72748.2</f>
        <v>72748.2</v>
      </c>
      <c r="Q258" s="2"/>
      <c r="R258" s="19">
        <f t="shared" si="146"/>
        <v>6.3951124329855741E-3</v>
      </c>
      <c r="S258" s="2"/>
      <c r="T258" s="2">
        <f>--175405.84</f>
        <v>175405.84</v>
      </c>
      <c r="U258" s="2"/>
      <c r="V258" s="19">
        <f t="shared" si="147"/>
        <v>3.4106197926015137E-2</v>
      </c>
      <c r="W258" s="2"/>
      <c r="X258" s="2">
        <f t="shared" si="148"/>
        <v>-102657.64</v>
      </c>
      <c r="Y258" s="2"/>
      <c r="Z258" s="19">
        <f t="shared" si="149"/>
        <v>-0.58525782265858428</v>
      </c>
    </row>
    <row r="259" spans="1:26" s="24" customFormat="1" hidden="1" outlineLevel="1" x14ac:dyDescent="0.3">
      <c r="A259" s="44"/>
      <c r="B259" s="11" t="str">
        <f>CONCATENATE("          ", "9165", " - ", "OTHER INCOME")</f>
        <v xml:space="preserve">          9165 - OTHER INCOME</v>
      </c>
      <c r="C259" s="11"/>
      <c r="D259" s="2">
        <f t="shared" si="150"/>
        <v>0</v>
      </c>
      <c r="E259" s="2"/>
      <c r="F259" s="19">
        <f t="shared" si="142"/>
        <v>0</v>
      </c>
      <c r="G259" s="2"/>
      <c r="H259" s="2">
        <f>--316.52</f>
        <v>316.52</v>
      </c>
      <c r="I259" s="2"/>
      <c r="J259" s="19">
        <f t="shared" si="143"/>
        <v>6.5457920361832638E-4</v>
      </c>
      <c r="K259" s="2"/>
      <c r="L259" s="2">
        <f t="shared" si="144"/>
        <v>-316.52</v>
      </c>
      <c r="M259" s="2"/>
      <c r="N259" s="19">
        <f t="shared" si="145"/>
        <v>-1</v>
      </c>
      <c r="O259" s="11"/>
      <c r="P259" s="2">
        <f>0</f>
        <v>0</v>
      </c>
      <c r="Q259" s="2"/>
      <c r="R259" s="19">
        <f t="shared" si="146"/>
        <v>0</v>
      </c>
      <c r="S259" s="2"/>
      <c r="T259" s="2">
        <f>--1315.17</f>
        <v>1315.17</v>
      </c>
      <c r="U259" s="2"/>
      <c r="V259" s="19">
        <f t="shared" si="147"/>
        <v>2.5572380216278625E-4</v>
      </c>
      <c r="W259" s="2"/>
      <c r="X259" s="2">
        <f t="shared" si="148"/>
        <v>-1315.17</v>
      </c>
      <c r="Y259" s="2"/>
      <c r="Z259" s="19">
        <f t="shared" si="149"/>
        <v>-1</v>
      </c>
    </row>
    <row r="260" spans="1:26" x14ac:dyDescent="0.3">
      <c r="A260" s="9"/>
      <c r="B260" s="10"/>
      <c r="C260" s="10"/>
      <c r="D260" s="3"/>
      <c r="E260" s="3"/>
      <c r="F260" s="8"/>
      <c r="G260" s="3"/>
      <c r="H260" s="3"/>
      <c r="I260" s="3"/>
      <c r="J260" s="8"/>
      <c r="K260" s="3"/>
      <c r="L260" s="3"/>
      <c r="M260" s="3"/>
      <c r="N260" s="8"/>
      <c r="O260" s="10"/>
      <c r="P260" s="3"/>
      <c r="Q260" s="3"/>
      <c r="R260" s="8"/>
      <c r="S260" s="3"/>
      <c r="T260" s="3"/>
      <c r="U260" s="3"/>
      <c r="V260" s="8"/>
      <c r="W260" s="3"/>
      <c r="X260" s="3"/>
      <c r="Y260" s="3"/>
      <c r="Z260" s="8"/>
    </row>
    <row r="261" spans="1:26" s="23" customFormat="1" x14ac:dyDescent="0.3">
      <c r="A261" s="10"/>
      <c r="B261" s="26" t="s">
        <v>276</v>
      </c>
      <c r="C261" s="26"/>
      <c r="D261" s="20">
        <f>+D153-D155+D251</f>
        <v>201021.22000000041</v>
      </c>
      <c r="E261" s="13"/>
      <c r="F261" s="21">
        <f>IF(D$12=0,0,D261/D$12)</f>
        <v>0.11838812768516148</v>
      </c>
      <c r="G261" s="13"/>
      <c r="H261" s="20">
        <f>+H153-H155+H251</f>
        <v>-399384.99</v>
      </c>
      <c r="I261" s="13"/>
      <c r="J261" s="21">
        <f>IF(H$12=0,0,H261/H$12)</f>
        <v>-0.82594815080030726</v>
      </c>
      <c r="K261" s="15"/>
      <c r="L261" s="20">
        <f>+D261-H261</f>
        <v>600406.21000000043</v>
      </c>
      <c r="M261" s="15"/>
      <c r="N261" s="21">
        <f>IF(H261=0,0,L261/H261)</f>
        <v>-1.5033269277345662</v>
      </c>
      <c r="O261" s="25"/>
      <c r="P261" s="20">
        <f>+P153-P155+P251</f>
        <v>1067389.4000000001</v>
      </c>
      <c r="Q261" s="13"/>
      <c r="R261" s="21">
        <f>IF(P$12=0,0,P261/P$12)</f>
        <v>9.383153428919222E-2</v>
      </c>
      <c r="S261" s="13"/>
      <c r="T261" s="20">
        <f>+T153-T155+T251</f>
        <v>-1748813.3799999957</v>
      </c>
      <c r="U261" s="13"/>
      <c r="V261" s="21">
        <f>IF(T$12=0,0,T261/T$12)</f>
        <v>-0.3400421290074685</v>
      </c>
      <c r="W261" s="15"/>
      <c r="X261" s="20">
        <f>+P261-T261</f>
        <v>2816202.7799999956</v>
      </c>
      <c r="Y261" s="15"/>
      <c r="Z261" s="21">
        <f>IF(T261=0,0,X261/T261)</f>
        <v>-1.6103506595998267</v>
      </c>
    </row>
    <row r="262" spans="1:26" x14ac:dyDescent="0.3">
      <c r="A262" s="9"/>
      <c r="B262" s="10"/>
      <c r="C262" s="9"/>
      <c r="D262" s="3"/>
      <c r="E262" s="3"/>
      <c r="F262" s="8"/>
      <c r="G262" s="3"/>
      <c r="H262" s="3"/>
      <c r="I262" s="3"/>
      <c r="J262" s="8"/>
      <c r="K262" s="3"/>
      <c r="L262" s="3"/>
      <c r="M262" s="3"/>
      <c r="N262" s="8"/>
      <c r="P262" s="3"/>
      <c r="Q262" s="3"/>
      <c r="R262" s="8"/>
      <c r="S262" s="3"/>
      <c r="T262" s="3"/>
      <c r="U262" s="3"/>
      <c r="V262" s="8"/>
      <c r="W262" s="3"/>
      <c r="X262" s="3"/>
      <c r="Y262" s="3"/>
      <c r="Z262" s="8"/>
    </row>
    <row r="263" spans="1:26" s="23" customFormat="1" x14ac:dyDescent="0.3">
      <c r="A263" s="51"/>
      <c r="B263" s="10" t="s">
        <v>127</v>
      </c>
      <c r="C263" s="10"/>
      <c r="D263" s="4">
        <v>216572.45</v>
      </c>
      <c r="E263" s="4"/>
      <c r="F263" s="12">
        <f>IF(D$12=0,0,D263/D$12)</f>
        <v>0.12754676776754315</v>
      </c>
      <c r="G263" s="4"/>
      <c r="H263" s="4">
        <v>211174.95</v>
      </c>
      <c r="I263" s="4"/>
      <c r="J263" s="12">
        <f>IF(H$12=0,0,H263/H$12)</f>
        <v>0.43672036710204698</v>
      </c>
      <c r="K263" s="4"/>
      <c r="L263" s="4">
        <f>+D263-H263</f>
        <v>5397.5</v>
      </c>
      <c r="M263" s="4"/>
      <c r="N263" s="12">
        <f>IF(H263=0,0,L263/H263)</f>
        <v>2.5559376242305254E-2</v>
      </c>
      <c r="O263" s="10"/>
      <c r="P263" s="4">
        <v>1369289.3</v>
      </c>
      <c r="Q263" s="4"/>
      <c r="R263" s="12">
        <f>IF(P$12=0,0,P263/P$12)</f>
        <v>0.12037079992060441</v>
      </c>
      <c r="S263" s="4"/>
      <c r="T263" s="4">
        <v>951551.21</v>
      </c>
      <c r="U263" s="4"/>
      <c r="V263" s="12">
        <f>IF(T$12=0,0,T263/T$12)</f>
        <v>0.18502117093136236</v>
      </c>
      <c r="W263" s="4"/>
      <c r="X263" s="4">
        <f>+P263-T263</f>
        <v>417738.09000000008</v>
      </c>
      <c r="Y263" s="4"/>
      <c r="Z263" s="12">
        <f>IF(T263=0,0,X263/T263)</f>
        <v>0.43900747075924595</v>
      </c>
    </row>
    <row r="264" spans="1:26" x14ac:dyDescent="0.3">
      <c r="A264" s="9"/>
      <c r="B264" s="10"/>
      <c r="C264" s="10"/>
      <c r="D264" s="3"/>
      <c r="E264" s="3"/>
      <c r="F264" s="8"/>
      <c r="G264" s="3"/>
      <c r="H264" s="3"/>
      <c r="I264" s="3"/>
      <c r="J264" s="8"/>
      <c r="K264" s="3"/>
      <c r="L264" s="3"/>
      <c r="M264" s="3"/>
      <c r="N264" s="8"/>
      <c r="O264" s="10"/>
      <c r="P264" s="3"/>
      <c r="Q264" s="3"/>
      <c r="R264" s="8"/>
      <c r="S264" s="3"/>
      <c r="T264" s="3"/>
      <c r="U264" s="3"/>
      <c r="V264" s="8"/>
      <c r="W264" s="3"/>
      <c r="X264" s="3"/>
      <c r="Y264" s="3"/>
      <c r="Z264" s="8"/>
    </row>
    <row r="265" spans="1:26" s="23" customFormat="1" ht="15" thickBot="1" x14ac:dyDescent="0.35">
      <c r="A265" s="10"/>
      <c r="B265" s="26" t="s">
        <v>125</v>
      </c>
      <c r="C265" s="26"/>
      <c r="D265" s="32">
        <f>+D261-D263</f>
        <v>-15551.229999999603</v>
      </c>
      <c r="E265" s="13"/>
      <c r="F265" s="35">
        <f>IF(D$12=0,0,D265/D$12)</f>
        <v>-9.1586400823816666E-3</v>
      </c>
      <c r="G265" s="13"/>
      <c r="H265" s="32">
        <f>+H261-H263</f>
        <v>-610559.93999999994</v>
      </c>
      <c r="I265" s="13"/>
      <c r="J265" s="35">
        <f>IF(H$12=0,0,H265/H$12)</f>
        <v>-1.2626685179023542</v>
      </c>
      <c r="K265" s="15"/>
      <c r="L265" s="32">
        <f>D265-H265</f>
        <v>595008.71000000031</v>
      </c>
      <c r="M265" s="15"/>
      <c r="N265" s="35">
        <f>IF(H265=0,0,L265/H265)</f>
        <v>-0.97452956052111828</v>
      </c>
      <c r="O265" s="25"/>
      <c r="P265" s="32">
        <f>+P261-P263</f>
        <v>-301899.89999999991</v>
      </c>
      <c r="Q265" s="13"/>
      <c r="R265" s="35">
        <f>IF(P$12=0,0,P265/P$12)</f>
        <v>-2.65392656314122E-2</v>
      </c>
      <c r="S265" s="13"/>
      <c r="T265" s="32">
        <f>+T261-T263</f>
        <v>-2700364.5899999957</v>
      </c>
      <c r="U265" s="13"/>
      <c r="V265" s="35">
        <f>IF(T$12=0,0,T265/T$12)</f>
        <v>-0.52506329993883083</v>
      </c>
      <c r="W265" s="15"/>
      <c r="X265" s="32">
        <f>P265-T265</f>
        <v>2398464.6899999958</v>
      </c>
      <c r="Y265" s="15"/>
      <c r="Z265" s="35">
        <f>IF(T265=0,0,X265/T265)</f>
        <v>-0.88820031890582585</v>
      </c>
    </row>
    <row r="266" spans="1:26" ht="15" thickTop="1" x14ac:dyDescent="0.3">
      <c r="A266" s="9"/>
      <c r="B266" s="9"/>
      <c r="C266" s="9"/>
      <c r="D266" s="3"/>
      <c r="E266" s="3"/>
      <c r="F266" s="8"/>
      <c r="G266" s="3"/>
      <c r="H266" s="3"/>
      <c r="I266" s="3"/>
      <c r="J266" s="8"/>
      <c r="K266" s="3"/>
      <c r="L266" s="3"/>
      <c r="M266" s="3"/>
      <c r="N266" s="8"/>
      <c r="P266" s="3"/>
      <c r="Q266" s="3"/>
      <c r="R266" s="8"/>
      <c r="S266" s="3"/>
      <c r="T266" s="3"/>
      <c r="U266" s="3"/>
      <c r="V266" s="8"/>
      <c r="W266" s="3"/>
      <c r="X266" s="3"/>
      <c r="Y266" s="3"/>
      <c r="Z266" s="8"/>
    </row>
    <row r="267" spans="1:26" s="23" customFormat="1" x14ac:dyDescent="0.3">
      <c r="A267" s="51"/>
      <c r="B267" s="10" t="s">
        <v>183</v>
      </c>
      <c r="C267" s="10"/>
      <c r="D267" s="4">
        <f>--139580.48</f>
        <v>139580.48000000001</v>
      </c>
      <c r="E267" s="4"/>
      <c r="F267" s="12">
        <f t="shared" ref="F267:F268" si="151">IF(D$12=0,0,D267/D$12)</f>
        <v>8.2203618546321106E-2</v>
      </c>
      <c r="G267" s="4"/>
      <c r="H267" s="4">
        <f>--344647.12</f>
        <v>344647.12</v>
      </c>
      <c r="I267" s="4"/>
      <c r="J267" s="12">
        <f t="shared" ref="J267:J268" si="152">IF(H$12=0,0,H267/H$12)</f>
        <v>0.7127474956999551</v>
      </c>
      <c r="K267" s="4"/>
      <c r="L267" s="4">
        <f t="shared" ref="L267:L268" si="153">+D267-H267</f>
        <v>-205066.63999999998</v>
      </c>
      <c r="M267" s="4"/>
      <c r="N267" s="12">
        <f t="shared" ref="N267:N268" si="154">IF(H267=0,0,L267/H267)</f>
        <v>-0.59500465287509141</v>
      </c>
      <c r="O267" s="10"/>
      <c r="P267" s="4">
        <f>-85136.7</f>
        <v>-85136.7</v>
      </c>
      <c r="Q267" s="4"/>
      <c r="R267" s="12">
        <f t="shared" ref="R267:R268" si="155">IF(P$12=0,0,P267/P$12)</f>
        <v>-7.4841545038002713E-3</v>
      </c>
      <c r="S267" s="4"/>
      <c r="T267" s="4">
        <f>--1994053.3</f>
        <v>1994053.3</v>
      </c>
      <c r="U267" s="4"/>
      <c r="V267" s="12">
        <f t="shared" ref="V267:V268" si="156">IF(T$12=0,0,T267/T$12)</f>
        <v>0.38772697947128582</v>
      </c>
      <c r="W267" s="4"/>
      <c r="X267" s="4">
        <f t="shared" ref="X267:X268" si="157">+P267-T267</f>
        <v>-2079190</v>
      </c>
      <c r="Y267" s="4"/>
      <c r="Z267" s="12">
        <f t="shared" ref="Z267:Z268" si="158">IF(T267=0,0,X267/T267)</f>
        <v>-1.0426952980645001</v>
      </c>
    </row>
    <row r="268" spans="1:26" s="23" customFormat="1" x14ac:dyDescent="0.3">
      <c r="A268" s="51"/>
      <c r="B268" s="10" t="s">
        <v>81</v>
      </c>
      <c r="C268" s="10"/>
      <c r="D268" s="4">
        <f>--127617.83</f>
        <v>127617.83</v>
      </c>
      <c r="E268" s="4"/>
      <c r="F268" s="12">
        <f t="shared" si="151"/>
        <v>7.5158413390104789E-2</v>
      </c>
      <c r="G268" s="4"/>
      <c r="H268" s="4">
        <f>--50933.37</f>
        <v>50933.37</v>
      </c>
      <c r="I268" s="4"/>
      <c r="J268" s="12">
        <f t="shared" si="152"/>
        <v>0.10533275866358385</v>
      </c>
      <c r="K268" s="4"/>
      <c r="L268" s="4">
        <f t="shared" si="153"/>
        <v>76684.459999999992</v>
      </c>
      <c r="M268" s="4"/>
      <c r="N268" s="12">
        <f t="shared" si="154"/>
        <v>1.5055838637812498</v>
      </c>
      <c r="O268" s="10"/>
      <c r="P268" s="4">
        <f>--185407.7</f>
        <v>185407.7</v>
      </c>
      <c r="Q268" s="4"/>
      <c r="R268" s="12">
        <f t="shared" si="155"/>
        <v>1.6298727493481067E-2</v>
      </c>
      <c r="S268" s="4"/>
      <c r="T268" s="4">
        <f>--44510.83</f>
        <v>44510.83</v>
      </c>
      <c r="U268" s="4"/>
      <c r="V268" s="12">
        <f t="shared" si="156"/>
        <v>8.6547584608996624E-3</v>
      </c>
      <c r="W268" s="4"/>
      <c r="X268" s="4">
        <f t="shared" si="157"/>
        <v>140896.87</v>
      </c>
      <c r="Y268" s="4"/>
      <c r="Z268" s="12">
        <f t="shared" si="158"/>
        <v>3.1654514193512004</v>
      </c>
    </row>
    <row r="269" spans="1:26" x14ac:dyDescent="0.3">
      <c r="A269" s="9"/>
      <c r="B269" s="9"/>
      <c r="C269" s="9"/>
      <c r="D269" s="3"/>
      <c r="E269" s="3"/>
      <c r="F269" s="8"/>
      <c r="G269" s="3"/>
      <c r="H269" s="3"/>
      <c r="I269" s="3"/>
      <c r="J269" s="8"/>
      <c r="K269" s="3"/>
      <c r="L269" s="3"/>
      <c r="M269" s="3"/>
      <c r="N269" s="8"/>
      <c r="P269" s="3"/>
      <c r="Q269" s="3"/>
      <c r="R269" s="8"/>
      <c r="S269" s="3"/>
      <c r="T269" s="3"/>
      <c r="U269" s="3"/>
      <c r="V269" s="8"/>
      <c r="W269" s="3"/>
      <c r="X269" s="3"/>
      <c r="Y269" s="3"/>
      <c r="Z269" s="8"/>
    </row>
    <row r="270" spans="1:26" s="23" customFormat="1" ht="15" thickBot="1" x14ac:dyDescent="0.35">
      <c r="A270" s="10"/>
      <c r="B270" s="26" t="s">
        <v>293</v>
      </c>
      <c r="C270" s="26"/>
      <c r="D270" s="31">
        <f>SUM(D265:D269)</f>
        <v>251647.08000000042</v>
      </c>
      <c r="E270" s="13"/>
      <c r="F270" s="33">
        <f>IF(D$12=0,0,D270/D$12)</f>
        <v>0.14820339185404424</v>
      </c>
      <c r="G270" s="13"/>
      <c r="H270" s="31">
        <f>SUM(H265:H269)</f>
        <v>-214979.44999999995</v>
      </c>
      <c r="I270" s="13"/>
      <c r="J270" s="33">
        <f>IF(H$12=0,0,H270/H$12)</f>
        <v>-0.4445882635388152</v>
      </c>
      <c r="K270" s="15"/>
      <c r="L270" s="31">
        <f>+D270-H270</f>
        <v>466626.53000000038</v>
      </c>
      <c r="M270" s="15"/>
      <c r="N270" s="33">
        <f>IF(H270=0,0,L270/H270)</f>
        <v>-2.1705634189686527</v>
      </c>
      <c r="O270" s="25"/>
      <c r="P270" s="31">
        <f>SUM(P265:P269)</f>
        <v>-201628.89999999991</v>
      </c>
      <c r="Q270" s="13"/>
      <c r="R270" s="33">
        <f>IF(P$12=0,0,P270/P$12)</f>
        <v>-1.7724692641731401E-2</v>
      </c>
      <c r="S270" s="13"/>
      <c r="T270" s="31">
        <f>SUM(T265:T269)</f>
        <v>-661800.45999999566</v>
      </c>
      <c r="U270" s="13"/>
      <c r="V270" s="33">
        <f>IF(T$12=0,0,T270/T$12)</f>
        <v>-0.12868156200664538</v>
      </c>
      <c r="W270" s="15"/>
      <c r="X270" s="31">
        <f>+P270-T270</f>
        <v>460171.55999999575</v>
      </c>
      <c r="Y270" s="15"/>
      <c r="Z270" s="33">
        <f>IF(T270=0,0,X270/T270)</f>
        <v>-0.69533278958433897</v>
      </c>
    </row>
    <row r="271" spans="1:26" ht="15" thickTop="1" x14ac:dyDescent="0.3">
      <c r="A271" s="9"/>
      <c r="C271" s="9"/>
      <c r="D271" s="17"/>
      <c r="E271" s="17"/>
      <c r="G271" s="17"/>
      <c r="H271" s="17"/>
      <c r="I271" s="17"/>
      <c r="J271" s="43"/>
      <c r="K271" s="17"/>
      <c r="L271" s="17"/>
      <c r="M271" s="17"/>
      <c r="P271" s="17"/>
      <c r="Q271" s="17"/>
      <c r="R271" s="43"/>
      <c r="S271" s="17"/>
      <c r="T271" s="17"/>
      <c r="U271" s="17"/>
      <c r="V271" s="43"/>
      <c r="W271" s="17"/>
      <c r="X271" s="17"/>
    </row>
    <row r="272" spans="1:26" x14ac:dyDescent="0.3">
      <c r="A272" s="9"/>
      <c r="B272" s="60">
        <v>44575.854555127313</v>
      </c>
      <c r="D272" s="17"/>
      <c r="E272" s="17"/>
      <c r="G272" s="17"/>
      <c r="H272" s="17"/>
      <c r="I272" s="17"/>
      <c r="J272" s="43"/>
      <c r="K272" s="17"/>
      <c r="L272" s="17"/>
      <c r="M272" s="17"/>
      <c r="P272" s="17"/>
      <c r="Q272" s="17"/>
      <c r="R272" s="43"/>
      <c r="S272" s="17"/>
      <c r="T272" s="17"/>
      <c r="U272" s="17"/>
      <c r="V272" s="43"/>
      <c r="W272" s="17"/>
      <c r="X272" s="17"/>
    </row>
    <row r="273" spans="1:24" x14ac:dyDescent="0.3">
      <c r="A273" s="9"/>
      <c r="B273" s="57" t="s">
        <v>56</v>
      </c>
      <c r="D273" s="17"/>
      <c r="E273" s="17"/>
      <c r="G273" s="17"/>
      <c r="H273" s="17"/>
      <c r="I273" s="17"/>
      <c r="J273" s="43"/>
      <c r="K273" s="17"/>
      <c r="L273" s="17"/>
      <c r="M273" s="17"/>
      <c r="P273" s="17"/>
      <c r="Q273" s="17"/>
      <c r="R273" s="43"/>
      <c r="S273" s="17"/>
      <c r="T273" s="17"/>
      <c r="U273" s="17"/>
      <c r="V273" s="43"/>
      <c r="W273" s="17"/>
      <c r="X273" s="17"/>
    </row>
    <row r="274" spans="1:24" x14ac:dyDescent="0.3">
      <c r="A274" s="9"/>
      <c r="B274" s="59"/>
      <c r="D274" s="17"/>
      <c r="E274" s="17"/>
      <c r="G274" s="17"/>
      <c r="H274" s="17"/>
      <c r="I274" s="17"/>
      <c r="J274" s="43"/>
      <c r="K274" s="17"/>
      <c r="L274" s="17"/>
      <c r="M274" s="17"/>
      <c r="P274" s="17"/>
      <c r="Q274" s="17"/>
      <c r="R274" s="43"/>
      <c r="S274" s="17"/>
      <c r="T274" s="17"/>
      <c r="U274" s="17"/>
      <c r="V274" s="43"/>
      <c r="W274" s="17"/>
      <c r="X274" s="17"/>
    </row>
    <row r="275" spans="1:24" x14ac:dyDescent="0.3">
      <c r="D275" s="17"/>
      <c r="E275" s="17"/>
      <c r="G275" s="17"/>
      <c r="H275" s="17"/>
      <c r="I275" s="17"/>
      <c r="J275" s="43"/>
      <c r="K275" s="17"/>
      <c r="L275" s="17"/>
      <c r="M275" s="17"/>
      <c r="P275" s="17"/>
      <c r="Q275" s="17"/>
      <c r="R275" s="43"/>
      <c r="S275" s="17"/>
      <c r="T275" s="17"/>
      <c r="U275" s="17"/>
      <c r="V275" s="43"/>
      <c r="W275" s="17"/>
      <c r="X275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55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105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105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182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182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104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104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218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218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","100", " - ", "Corporate")</f>
        <v>Department 100 - Corporate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22">
        <f>SUM(0)</f>
        <v>0</v>
      </c>
      <c r="E18" s="22"/>
      <c r="F18" s="34">
        <f>IF(D$12=0,0,D18/D$12)</f>
        <v>0</v>
      </c>
      <c r="G18" s="22"/>
      <c r="H18" s="22">
        <f>SUM(0)</f>
        <v>0</v>
      </c>
      <c r="I18" s="22"/>
      <c r="J18" s="34">
        <f>IF(H$12=0,0,H18/H$12)</f>
        <v>0</v>
      </c>
      <c r="K18" s="4"/>
      <c r="L18" s="22">
        <f>+D18-H18</f>
        <v>0</v>
      </c>
      <c r="M18" s="4"/>
      <c r="N18" s="34">
        <f>IF(H18=0,0,L18/H18)</f>
        <v>0</v>
      </c>
      <c r="O18" s="10"/>
      <c r="P18" s="22">
        <f>SUM(0)</f>
        <v>0</v>
      </c>
      <c r="Q18" s="22"/>
      <c r="R18" s="34">
        <f>IF(P$12=0,0,P18/P$12)</f>
        <v>0</v>
      </c>
      <c r="S18" s="22"/>
      <c r="T18" s="22">
        <f>SUM(0)</f>
        <v>0</v>
      </c>
      <c r="U18" s="22"/>
      <c r="V18" s="34">
        <f>IF(T$12=0,0,T18/T$12)</f>
        <v>0</v>
      </c>
      <c r="W18" s="4"/>
      <c r="X18" s="22">
        <f>+P18-T18</f>
        <v>0</v>
      </c>
      <c r="Y18" s="4"/>
      <c r="Z18" s="34">
        <f>IF(T18=0,0,X18/T18)</f>
        <v>0</v>
      </c>
    </row>
    <row r="19" spans="1:26" s="53" customFormat="1" x14ac:dyDescent="0.3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292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3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">
      <c r="A22" s="10"/>
      <c r="B22" s="26" t="s">
        <v>276</v>
      </c>
      <c r="C22" s="26"/>
      <c r="D22" s="20">
        <f>+D16-D18+D20</f>
        <v>0</v>
      </c>
      <c r="E22" s="13"/>
      <c r="F22" s="21">
        <f>IF(D$12=0,0,D22/D$12)</f>
        <v>0</v>
      </c>
      <c r="G22" s="13"/>
      <c r="H22" s="20">
        <f>+H16-H18+H20</f>
        <v>0</v>
      </c>
      <c r="I22" s="13"/>
      <c r="J22" s="21">
        <f>IF(H$12=0,0,H22/H$12)</f>
        <v>0</v>
      </c>
      <c r="K22" s="15"/>
      <c r="L22" s="20">
        <f>+D22-H22</f>
        <v>0</v>
      </c>
      <c r="M22" s="15"/>
      <c r="N22" s="21">
        <f>IF(H22=0,0,L22/H22)</f>
        <v>0</v>
      </c>
      <c r="O22" s="25"/>
      <c r="P22" s="20">
        <f>+P16-P18+P20</f>
        <v>0</v>
      </c>
      <c r="Q22" s="13"/>
      <c r="R22" s="21">
        <f>IF(P$12=0,0,P22/P$12)</f>
        <v>0</v>
      </c>
      <c r="S22" s="13"/>
      <c r="T22" s="20">
        <f>+T16-T18+T20</f>
        <v>0</v>
      </c>
      <c r="U22" s="13"/>
      <c r="V22" s="21">
        <f>IF(T$12=0,0,T22/T$12)</f>
        <v>0</v>
      </c>
      <c r="W22" s="15"/>
      <c r="X22" s="20">
        <f>+P22-T22</f>
        <v>0</v>
      </c>
      <c r="Y22" s="15"/>
      <c r="Z22" s="21">
        <f>IF(T22=0,0,X22/T22)</f>
        <v>0</v>
      </c>
    </row>
    <row r="23" spans="1:26" x14ac:dyDescent="0.3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51"/>
      <c r="B24" s="10" t="s">
        <v>127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" thickBot="1" x14ac:dyDescent="0.35">
      <c r="A26" s="10"/>
      <c r="B26" s="26" t="s">
        <v>125</v>
      </c>
      <c r="C26" s="26"/>
      <c r="D26" s="32">
        <f>+D22-D24</f>
        <v>0</v>
      </c>
      <c r="E26" s="13"/>
      <c r="F26" s="35">
        <f>IF(D$12=0,0,D26/D$12)</f>
        <v>0</v>
      </c>
      <c r="G26" s="13"/>
      <c r="H26" s="32">
        <f>+H22-H24</f>
        <v>0</v>
      </c>
      <c r="I26" s="13"/>
      <c r="J26" s="35">
        <f>IF(H$12=0,0,H26/H$12)</f>
        <v>0</v>
      </c>
      <c r="K26" s="15"/>
      <c r="L26" s="32">
        <f>D26-H26</f>
        <v>0</v>
      </c>
      <c r="M26" s="15"/>
      <c r="N26" s="35">
        <f>IF(H26=0,0,L26/H26)</f>
        <v>0</v>
      </c>
      <c r="O26" s="25"/>
      <c r="P26" s="32">
        <f>+P22-P24</f>
        <v>0</v>
      </c>
      <c r="Q26" s="13"/>
      <c r="R26" s="35">
        <f>IF(P$12=0,0,P26/P$12)</f>
        <v>0</v>
      </c>
      <c r="S26" s="13"/>
      <c r="T26" s="32">
        <f>+T22-T24</f>
        <v>0</v>
      </c>
      <c r="U26" s="13"/>
      <c r="V26" s="35">
        <f>IF(T$12=0,0,T26/T$12)</f>
        <v>0</v>
      </c>
      <c r="W26" s="15"/>
      <c r="X26" s="32">
        <f>P26-T26</f>
        <v>0</v>
      </c>
      <c r="Y26" s="15"/>
      <c r="Z26" s="35">
        <f>IF(T26=0,0,X26/T26)</f>
        <v>0</v>
      </c>
    </row>
    <row r="27" spans="1:26" ht="15" thickTop="1" x14ac:dyDescent="0.3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51"/>
      <c r="B28" s="10" t="s">
        <v>183</v>
      </c>
      <c r="C28" s="10"/>
      <c r="D28" s="4">
        <f>--139580.48</f>
        <v>139580.48000000001</v>
      </c>
      <c r="E28" s="4"/>
      <c r="F28" s="12">
        <f t="shared" ref="F28:F29" si="0">IF(D$12=0,0,D28/D$12)</f>
        <v>0</v>
      </c>
      <c r="G28" s="4"/>
      <c r="H28" s="4">
        <f>--344647.12</f>
        <v>344647.12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-205066.63999999998</v>
      </c>
      <c r="M28" s="4"/>
      <c r="N28" s="12">
        <f t="shared" ref="N28:N29" si="3">IF(H28=0,0,L28/H28)</f>
        <v>-0.59500465287509141</v>
      </c>
      <c r="O28" s="10"/>
      <c r="P28" s="4">
        <f>-85136.7</f>
        <v>-85136.7</v>
      </c>
      <c r="Q28" s="4"/>
      <c r="R28" s="12">
        <f t="shared" ref="R28:R29" si="4">IF(P$12=0,0,P28/P$12)</f>
        <v>0</v>
      </c>
      <c r="S28" s="4"/>
      <c r="T28" s="4">
        <f>--1994053.3</f>
        <v>1994053.3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-2079190</v>
      </c>
      <c r="Y28" s="4"/>
      <c r="Z28" s="12">
        <f t="shared" ref="Z28:Z29" si="7">IF(T28=0,0,X28/T28)</f>
        <v>-1.0426952980645001</v>
      </c>
    </row>
    <row r="29" spans="1:26" s="23" customFormat="1" x14ac:dyDescent="0.3">
      <c r="A29" s="51"/>
      <c r="B29" s="10" t="s">
        <v>81</v>
      </c>
      <c r="C29" s="10"/>
      <c r="D29" s="4">
        <f>--127617.83</f>
        <v>127617.83</v>
      </c>
      <c r="E29" s="4"/>
      <c r="F29" s="12">
        <f t="shared" si="0"/>
        <v>0</v>
      </c>
      <c r="G29" s="4"/>
      <c r="H29" s="4">
        <f>--50933.37</f>
        <v>50933.37</v>
      </c>
      <c r="I29" s="4"/>
      <c r="J29" s="12">
        <f t="shared" si="1"/>
        <v>0</v>
      </c>
      <c r="K29" s="4"/>
      <c r="L29" s="4">
        <f t="shared" si="2"/>
        <v>76684.459999999992</v>
      </c>
      <c r="M29" s="4"/>
      <c r="N29" s="12">
        <f t="shared" si="3"/>
        <v>1.5055838637812498</v>
      </c>
      <c r="O29" s="10"/>
      <c r="P29" s="4">
        <f>--185407.7</f>
        <v>185407.7</v>
      </c>
      <c r="Q29" s="4"/>
      <c r="R29" s="12">
        <f t="shared" si="4"/>
        <v>0</v>
      </c>
      <c r="S29" s="4"/>
      <c r="T29" s="4">
        <f>--44510.83</f>
        <v>44510.83</v>
      </c>
      <c r="U29" s="4"/>
      <c r="V29" s="12">
        <f t="shared" si="5"/>
        <v>0</v>
      </c>
      <c r="W29" s="4"/>
      <c r="X29" s="4">
        <f t="shared" si="6"/>
        <v>140896.87</v>
      </c>
      <c r="Y29" s="4"/>
      <c r="Z29" s="12">
        <f t="shared" si="7"/>
        <v>3.1654514193512004</v>
      </c>
    </row>
    <row r="30" spans="1:26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293</v>
      </c>
      <c r="C31" s="26"/>
      <c r="D31" s="31">
        <f>SUM(D26:D30)</f>
        <v>267198.31</v>
      </c>
      <c r="E31" s="13"/>
      <c r="F31" s="33">
        <f>IF(D$12=0,0,D31/D$12)</f>
        <v>0</v>
      </c>
      <c r="G31" s="13"/>
      <c r="H31" s="31">
        <f>SUM(H26:H30)</f>
        <v>395580.49</v>
      </c>
      <c r="I31" s="13"/>
      <c r="J31" s="33">
        <f>IF(H$12=0,0,H31/H$12)</f>
        <v>0</v>
      </c>
      <c r="K31" s="15"/>
      <c r="L31" s="31">
        <f>+D31-H31</f>
        <v>-128382.18</v>
      </c>
      <c r="M31" s="15"/>
      <c r="N31" s="33">
        <f>IF(H31=0,0,L31/H31)</f>
        <v>-0.32454123306232824</v>
      </c>
      <c r="O31" s="25"/>
      <c r="P31" s="31">
        <f>SUM(P26:P30)</f>
        <v>100271.00000000001</v>
      </c>
      <c r="Q31" s="13"/>
      <c r="R31" s="33">
        <f>IF(P$12=0,0,P31/P$12)</f>
        <v>0</v>
      </c>
      <c r="S31" s="13"/>
      <c r="T31" s="31">
        <f>SUM(T26:T30)</f>
        <v>2038564.1300000001</v>
      </c>
      <c r="U31" s="13"/>
      <c r="V31" s="33">
        <f>IF(T$12=0,0,T31/T$12)</f>
        <v>0</v>
      </c>
      <c r="W31" s="15"/>
      <c r="X31" s="31">
        <f>+P31-T31</f>
        <v>-1938293.1300000001</v>
      </c>
      <c r="Y31" s="15"/>
      <c r="Z31" s="33">
        <f>IF(T31=0,0,X31/T31)</f>
        <v>-0.95081292831342035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3">
      <c r="A33" s="9"/>
      <c r="B33" s="60">
        <v>44575.854680405093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3">
      <c r="A34" s="9"/>
      <c r="B34" s="57" t="s">
        <v>56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3">
      <c r="A35" s="9"/>
      <c r="B35" s="59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3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312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138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22">
        <f>SUM(OSRRefD22x_0)</f>
        <v>216572.44999999998</v>
      </c>
      <c r="E18" s="22"/>
      <c r="F18" s="34">
        <f t="shared" ref="F18:F30" si="0">IF(D$12=0,0,D18/D$12)</f>
        <v>0</v>
      </c>
      <c r="G18" s="22"/>
      <c r="H18" s="22">
        <f>SUM(OSRRefH22x_0)</f>
        <v>211174.95</v>
      </c>
      <c r="I18" s="22"/>
      <c r="J18" s="34">
        <f t="shared" ref="J18:J30" si="1">IF(H$12=0,0,H18/H$12)</f>
        <v>0</v>
      </c>
      <c r="K18" s="4"/>
      <c r="L18" s="22">
        <f t="shared" ref="L18:L30" si="2">+D18-H18</f>
        <v>5397.4999999999709</v>
      </c>
      <c r="M18" s="4"/>
      <c r="N18" s="34">
        <f t="shared" ref="N18:N30" si="3">IF(H18=0,0,L18/H18)</f>
        <v>2.5559376242305115E-2</v>
      </c>
      <c r="O18" s="10"/>
      <c r="P18" s="22">
        <f>SUM(OSRRefP22x_0)</f>
        <v>1369289.3</v>
      </c>
      <c r="Q18" s="22"/>
      <c r="R18" s="34">
        <f t="shared" ref="R18:R30" si="4">IF(P$12=0,0,P18/P$12)</f>
        <v>0</v>
      </c>
      <c r="S18" s="22"/>
      <c r="T18" s="22">
        <f>SUM(OSRRefT22x_0)</f>
        <v>951551.21</v>
      </c>
      <c r="U18" s="22"/>
      <c r="V18" s="34">
        <f t="shared" ref="V18:V30" si="5">IF(T$12=0,0,T18/T$12)</f>
        <v>0</v>
      </c>
      <c r="W18" s="4"/>
      <c r="X18" s="22">
        <f t="shared" ref="X18:X30" si="6">+P18-T18</f>
        <v>417738.09000000008</v>
      </c>
      <c r="Y18" s="4"/>
      <c r="Z18" s="34">
        <f t="shared" ref="Z18:Z30" si="7">IF(T18=0,0,X18/T18)</f>
        <v>0.43900747075924595</v>
      </c>
    </row>
    <row r="19" spans="1:26" s="29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83904.01</v>
      </c>
      <c r="E19" s="1"/>
      <c r="F19" s="5">
        <f t="shared" si="0"/>
        <v>0</v>
      </c>
      <c r="G19" s="1"/>
      <c r="H19" s="1">
        <f>SUM(OSRRefH22_0x_0)</f>
        <v>78521.52</v>
      </c>
      <c r="I19" s="1"/>
      <c r="J19" s="5">
        <f t="shared" si="1"/>
        <v>0</v>
      </c>
      <c r="K19" s="1"/>
      <c r="L19" s="1">
        <f t="shared" si="2"/>
        <v>5382.4899999999907</v>
      </c>
      <c r="M19" s="1"/>
      <c r="N19" s="5">
        <f t="shared" si="3"/>
        <v>6.8547959845912179E-2</v>
      </c>
      <c r="O19" s="14"/>
      <c r="P19" s="1">
        <f>SUM(OSRRefP22_0x_0)</f>
        <v>492261.16</v>
      </c>
      <c r="Q19" s="1"/>
      <c r="R19" s="5">
        <f t="shared" si="4"/>
        <v>0</v>
      </c>
      <c r="S19" s="1"/>
      <c r="T19" s="1">
        <f>SUM(OSRRefT22_0x_0)</f>
        <v>105476.05999999995</v>
      </c>
      <c r="U19" s="1"/>
      <c r="V19" s="5">
        <f t="shared" si="5"/>
        <v>0</v>
      </c>
      <c r="W19" s="1"/>
      <c r="X19" s="1">
        <f t="shared" si="6"/>
        <v>386785.10000000003</v>
      </c>
      <c r="Y19" s="1"/>
      <c r="Z19" s="5">
        <f t="shared" si="7"/>
        <v>3.6670416016677168</v>
      </c>
    </row>
    <row r="20" spans="1:26" s="24" customFormat="1" hidden="1" outlineLevel="2" x14ac:dyDescent="0.3">
      <c r="A20" s="28"/>
      <c r="B20" s="11" t="str">
        <f>CONCATENATE("          ", "6111", " - ", "F.I.C.A.")</f>
        <v xml:space="preserve">          6111 - F.I.C.A.</v>
      </c>
      <c r="C20" s="11"/>
      <c r="D20" s="6">
        <v>6803.77</v>
      </c>
      <c r="E20" s="2"/>
      <c r="F20" s="7">
        <f t="shared" si="0"/>
        <v>0</v>
      </c>
      <c r="G20" s="2"/>
      <c r="H20" s="6">
        <v>5976.26</v>
      </c>
      <c r="I20" s="2"/>
      <c r="J20" s="7">
        <f t="shared" si="1"/>
        <v>0</v>
      </c>
      <c r="K20" s="2"/>
      <c r="L20" s="6">
        <f t="shared" si="2"/>
        <v>827.51000000000022</v>
      </c>
      <c r="M20" s="2"/>
      <c r="N20" s="7">
        <f t="shared" si="3"/>
        <v>0.13846619792311582</v>
      </c>
      <c r="O20" s="11"/>
      <c r="P20" s="6">
        <v>45846.15</v>
      </c>
      <c r="Q20" s="2"/>
      <c r="R20" s="7">
        <f t="shared" si="4"/>
        <v>0</v>
      </c>
      <c r="S20" s="2"/>
      <c r="T20" s="6">
        <v>47834.33</v>
      </c>
      <c r="U20" s="2"/>
      <c r="V20" s="7">
        <f t="shared" si="5"/>
        <v>0</v>
      </c>
      <c r="W20" s="2"/>
      <c r="X20" s="6">
        <f t="shared" si="6"/>
        <v>-1988.1800000000003</v>
      </c>
      <c r="Y20" s="2"/>
      <c r="Z20" s="7">
        <f t="shared" si="7"/>
        <v>-4.1563872641259957E-2</v>
      </c>
    </row>
    <row r="21" spans="1:26" s="24" customFormat="1" hidden="1" outlineLevel="2" x14ac:dyDescent="0.3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1492.1</v>
      </c>
      <c r="E21" s="2"/>
      <c r="F21" s="7">
        <f t="shared" si="0"/>
        <v>0</v>
      </c>
      <c r="G21" s="2"/>
      <c r="H21" s="6">
        <v>1162.5899999999999</v>
      </c>
      <c r="I21" s="2"/>
      <c r="J21" s="7">
        <f t="shared" si="1"/>
        <v>0</v>
      </c>
      <c r="K21" s="2"/>
      <c r="L21" s="6">
        <f t="shared" si="2"/>
        <v>329.51</v>
      </c>
      <c r="M21" s="2"/>
      <c r="N21" s="7">
        <f t="shared" si="3"/>
        <v>0.28342751958988122</v>
      </c>
      <c r="O21" s="11"/>
      <c r="P21" s="6">
        <v>9444.2999999999993</v>
      </c>
      <c r="Q21" s="2"/>
      <c r="R21" s="7">
        <f t="shared" si="4"/>
        <v>0</v>
      </c>
      <c r="S21" s="2"/>
      <c r="T21" s="6">
        <v>4707.0200000000004</v>
      </c>
      <c r="U21" s="2"/>
      <c r="V21" s="7">
        <f t="shared" si="5"/>
        <v>0</v>
      </c>
      <c r="W21" s="2"/>
      <c r="X21" s="6">
        <f t="shared" si="6"/>
        <v>4737.2799999999988</v>
      </c>
      <c r="Y21" s="2"/>
      <c r="Z21" s="7">
        <f t="shared" si="7"/>
        <v>1.0064286958627748</v>
      </c>
    </row>
    <row r="22" spans="1:26" s="24" customFormat="1" hidden="1" outlineLevel="2" x14ac:dyDescent="0.3">
      <c r="A22" s="28"/>
      <c r="B22" s="11" t="str">
        <f>CONCATENATE("          ", "6113", " - ", "GROUP INSURANCE")</f>
        <v xml:space="preserve">          6113 - GROUP INSURANCE</v>
      </c>
      <c r="C22" s="11"/>
      <c r="D22" s="6">
        <v>22410.55</v>
      </c>
      <c r="E22" s="2"/>
      <c r="F22" s="7">
        <f t="shared" si="0"/>
        <v>0</v>
      </c>
      <c r="G22" s="2"/>
      <c r="H22" s="6">
        <v>23241.89</v>
      </c>
      <c r="I22" s="2"/>
      <c r="J22" s="7">
        <f t="shared" si="1"/>
        <v>0</v>
      </c>
      <c r="K22" s="2"/>
      <c r="L22" s="6">
        <f t="shared" si="2"/>
        <v>-831.34000000000015</v>
      </c>
      <c r="M22" s="2"/>
      <c r="N22" s="7">
        <f t="shared" si="3"/>
        <v>-3.5769035994921247E-2</v>
      </c>
      <c r="O22" s="11"/>
      <c r="P22" s="6">
        <v>134796.74</v>
      </c>
      <c r="Q22" s="2"/>
      <c r="R22" s="7">
        <f t="shared" si="4"/>
        <v>0</v>
      </c>
      <c r="S22" s="2"/>
      <c r="T22" s="6">
        <v>137967.78</v>
      </c>
      <c r="U22" s="2"/>
      <c r="V22" s="7">
        <f t="shared" si="5"/>
        <v>0</v>
      </c>
      <c r="W22" s="2"/>
      <c r="X22" s="6">
        <f t="shared" si="6"/>
        <v>-3171.0400000000081</v>
      </c>
      <c r="Y22" s="2"/>
      <c r="Z22" s="7">
        <f t="shared" si="7"/>
        <v>-2.2983916969599772E-2</v>
      </c>
    </row>
    <row r="23" spans="1:26" s="24" customFormat="1" hidden="1" outlineLevel="2" x14ac:dyDescent="0.3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263.31</v>
      </c>
      <c r="E23" s="2"/>
      <c r="F23" s="7">
        <f t="shared" si="0"/>
        <v>0</v>
      </c>
      <c r="G23" s="2"/>
      <c r="H23" s="6"/>
      <c r="I23" s="2"/>
      <c r="J23" s="7">
        <f t="shared" si="1"/>
        <v>0</v>
      </c>
      <c r="K23" s="2"/>
      <c r="L23" s="6">
        <f t="shared" si="2"/>
        <v>263.31</v>
      </c>
      <c r="M23" s="2"/>
      <c r="N23" s="7">
        <f t="shared" si="3"/>
        <v>0</v>
      </c>
      <c r="O23" s="11"/>
      <c r="P23" s="6">
        <v>1664.55</v>
      </c>
      <c r="Q23" s="2"/>
      <c r="R23" s="7">
        <f t="shared" si="4"/>
        <v>0</v>
      </c>
      <c r="S23" s="2"/>
      <c r="T23" s="6">
        <v>1570.72</v>
      </c>
      <c r="U23" s="2"/>
      <c r="V23" s="7">
        <f t="shared" si="5"/>
        <v>0</v>
      </c>
      <c r="W23" s="2"/>
      <c r="X23" s="6">
        <f t="shared" si="6"/>
        <v>93.829999999999927</v>
      </c>
      <c r="Y23" s="2"/>
      <c r="Z23" s="7">
        <f t="shared" si="7"/>
        <v>5.9736935927472701E-2</v>
      </c>
    </row>
    <row r="24" spans="1:26" s="24" customFormat="1" hidden="1" outlineLevel="2" x14ac:dyDescent="0.3">
      <c r="A24" s="28"/>
      <c r="B24" s="11" t="str">
        <f>CONCATENATE("          ", "6115", " - ", "P.E.R.S.")</f>
        <v xml:space="preserve">          6115 - P.E.R.S.</v>
      </c>
      <c r="C24" s="11"/>
      <c r="D24" s="6">
        <v>7738.29</v>
      </c>
      <c r="E24" s="2"/>
      <c r="F24" s="7">
        <f t="shared" si="0"/>
        <v>0</v>
      </c>
      <c r="G24" s="2"/>
      <c r="H24" s="6">
        <v>7443.75</v>
      </c>
      <c r="I24" s="2"/>
      <c r="J24" s="7">
        <f t="shared" si="1"/>
        <v>0</v>
      </c>
      <c r="K24" s="2"/>
      <c r="L24" s="6">
        <f t="shared" si="2"/>
        <v>294.53999999999996</v>
      </c>
      <c r="M24" s="2"/>
      <c r="N24" s="7">
        <f t="shared" si="3"/>
        <v>3.9568765743073046E-2</v>
      </c>
      <c r="O24" s="11"/>
      <c r="P24" s="6">
        <v>49217.36</v>
      </c>
      <c r="Q24" s="2"/>
      <c r="R24" s="7">
        <f t="shared" si="4"/>
        <v>0</v>
      </c>
      <c r="S24" s="2"/>
      <c r="T24" s="6">
        <v>55305.279999999999</v>
      </c>
      <c r="U24" s="2"/>
      <c r="V24" s="7">
        <f t="shared" si="5"/>
        <v>0</v>
      </c>
      <c r="W24" s="2"/>
      <c r="X24" s="6">
        <f t="shared" si="6"/>
        <v>-6087.9199999999983</v>
      </c>
      <c r="Y24" s="2"/>
      <c r="Z24" s="7">
        <f t="shared" si="7"/>
        <v>-0.11007845905490395</v>
      </c>
    </row>
    <row r="25" spans="1:26" s="24" customFormat="1" hidden="1" outlineLevel="2" x14ac:dyDescent="0.3">
      <c r="A25" s="28"/>
      <c r="B25" s="11" t="str">
        <f>CONCATENATE("          ", "6116", " - ", "EDUCATIONAL BENEFITS")</f>
        <v xml:space="preserve">          6116 - EDUCATIONAL BENEFITS</v>
      </c>
      <c r="C25" s="11"/>
      <c r="D25" s="6">
        <v>2636</v>
      </c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2636</v>
      </c>
      <c r="M25" s="2"/>
      <c r="N25" s="7">
        <f t="shared" si="3"/>
        <v>0</v>
      </c>
      <c r="O25" s="11"/>
      <c r="P25" s="6">
        <v>2636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2636</v>
      </c>
      <c r="Y25" s="2"/>
      <c r="Z25" s="7">
        <f t="shared" si="7"/>
        <v>0</v>
      </c>
    </row>
    <row r="26" spans="1:26" s="24" customFormat="1" hidden="1" outlineLevel="2" x14ac:dyDescent="0.3">
      <c r="A26" s="28"/>
      <c r="B26" s="11" t="str">
        <f>CONCATENATE("          ", "6117", " - ", "RETIREMENT STAFF HOURLY")</f>
        <v xml:space="preserve">          6117 - RETIREMENT STAFF HOURLY</v>
      </c>
      <c r="C26" s="11"/>
      <c r="D26" s="6">
        <v>654.36</v>
      </c>
      <c r="E26" s="2"/>
      <c r="F26" s="7">
        <f t="shared" si="0"/>
        <v>0</v>
      </c>
      <c r="G26" s="2"/>
      <c r="H26" s="6">
        <v>590.65</v>
      </c>
      <c r="I26" s="2"/>
      <c r="J26" s="7">
        <f t="shared" si="1"/>
        <v>0</v>
      </c>
      <c r="K26" s="2"/>
      <c r="L26" s="6">
        <f t="shared" si="2"/>
        <v>63.710000000000036</v>
      </c>
      <c r="M26" s="2"/>
      <c r="N26" s="7">
        <f t="shared" si="3"/>
        <v>0.10786421738762388</v>
      </c>
      <c r="O26" s="11"/>
      <c r="P26" s="6">
        <v>3781.36</v>
      </c>
      <c r="Q26" s="2"/>
      <c r="R26" s="7">
        <f t="shared" si="4"/>
        <v>0</v>
      </c>
      <c r="S26" s="2"/>
      <c r="T26" s="6">
        <v>4758.09</v>
      </c>
      <c r="U26" s="2"/>
      <c r="V26" s="7">
        <f t="shared" si="5"/>
        <v>0</v>
      </c>
      <c r="W26" s="2"/>
      <c r="X26" s="6">
        <f t="shared" si="6"/>
        <v>-976.73</v>
      </c>
      <c r="Y26" s="2"/>
      <c r="Z26" s="7">
        <f t="shared" si="7"/>
        <v>-0.20527774800392595</v>
      </c>
    </row>
    <row r="27" spans="1:26" s="24" customFormat="1" hidden="1" outlineLevel="2" x14ac:dyDescent="0.3">
      <c r="A27" s="28"/>
      <c r="B27" s="11" t="str">
        <f>CONCATENATE("          ", "6118", " - ", "VACATION")</f>
        <v xml:space="preserve">          6118 - VACATION</v>
      </c>
      <c r="C27" s="11"/>
      <c r="D27" s="6">
        <v>7317.15</v>
      </c>
      <c r="E27" s="2"/>
      <c r="F27" s="7">
        <f t="shared" si="0"/>
        <v>0</v>
      </c>
      <c r="G27" s="2"/>
      <c r="H27" s="6">
        <v>5615.14</v>
      </c>
      <c r="I27" s="2"/>
      <c r="J27" s="7">
        <f t="shared" si="1"/>
        <v>0</v>
      </c>
      <c r="K27" s="2"/>
      <c r="L27" s="6">
        <f t="shared" si="2"/>
        <v>1702.0099999999993</v>
      </c>
      <c r="M27" s="2"/>
      <c r="N27" s="7">
        <f t="shared" si="3"/>
        <v>0.3031108752408665</v>
      </c>
      <c r="O27" s="11"/>
      <c r="P27" s="6">
        <v>42343</v>
      </c>
      <c r="Q27" s="2"/>
      <c r="R27" s="7">
        <f t="shared" si="4"/>
        <v>0</v>
      </c>
      <c r="S27" s="2"/>
      <c r="T27" s="6">
        <v>39469.82</v>
      </c>
      <c r="U27" s="2"/>
      <c r="V27" s="7">
        <f t="shared" si="5"/>
        <v>0</v>
      </c>
      <c r="W27" s="2"/>
      <c r="X27" s="6">
        <f t="shared" si="6"/>
        <v>2873.1800000000003</v>
      </c>
      <c r="Y27" s="2"/>
      <c r="Z27" s="7">
        <f t="shared" si="7"/>
        <v>7.279435274850507E-2</v>
      </c>
    </row>
    <row r="28" spans="1:26" s="24" customFormat="1" hidden="1" outlineLevel="2" x14ac:dyDescent="0.3">
      <c r="A28" s="28"/>
      <c r="B28" s="11" t="str">
        <f>CONCATENATE("          ", "6119", " - ", "SICK LEAVE")</f>
        <v xml:space="preserve">          6119 - SICK LEAVE</v>
      </c>
      <c r="C28" s="11"/>
      <c r="D28" s="6">
        <v>4523.7</v>
      </c>
      <c r="E28" s="2"/>
      <c r="F28" s="7">
        <f t="shared" si="0"/>
        <v>0</v>
      </c>
      <c r="G28" s="2"/>
      <c r="H28" s="6">
        <v>4003.52</v>
      </c>
      <c r="I28" s="2"/>
      <c r="J28" s="7">
        <f t="shared" si="1"/>
        <v>0</v>
      </c>
      <c r="K28" s="2"/>
      <c r="L28" s="6">
        <f t="shared" si="2"/>
        <v>520.17999999999984</v>
      </c>
      <c r="M28" s="2"/>
      <c r="N28" s="7">
        <f t="shared" si="3"/>
        <v>0.12993066101830386</v>
      </c>
      <c r="O28" s="11"/>
      <c r="P28" s="6">
        <v>28079.34</v>
      </c>
      <c r="Q28" s="2"/>
      <c r="R28" s="7">
        <f t="shared" si="4"/>
        <v>0</v>
      </c>
      <c r="S28" s="2"/>
      <c r="T28" s="6">
        <v>26797.78</v>
      </c>
      <c r="U28" s="2"/>
      <c r="V28" s="7">
        <f t="shared" si="5"/>
        <v>0</v>
      </c>
      <c r="W28" s="2"/>
      <c r="X28" s="6">
        <f t="shared" si="6"/>
        <v>1281.5600000000013</v>
      </c>
      <c r="Y28" s="2"/>
      <c r="Z28" s="7">
        <f t="shared" si="7"/>
        <v>4.7823364472728759E-2</v>
      </c>
    </row>
    <row r="29" spans="1:26" s="24" customFormat="1" hidden="1" outlineLevel="2" x14ac:dyDescent="0.3">
      <c r="A29" s="28"/>
      <c r="B29" s="11" t="str">
        <f>CONCATENATE("          ", "6120", " - ", "RETIREES HEALTH INSURANCE")</f>
        <v xml:space="preserve">          6120 - RETIREES HEALTH INSURANCE</v>
      </c>
      <c r="C29" s="11"/>
      <c r="D29" s="6">
        <v>28675.06</v>
      </c>
      <c r="E29" s="2"/>
      <c r="F29" s="7">
        <f t="shared" si="0"/>
        <v>0</v>
      </c>
      <c r="G29" s="2"/>
      <c r="H29" s="6">
        <v>29918.37</v>
      </c>
      <c r="I29" s="2"/>
      <c r="J29" s="7">
        <f t="shared" si="1"/>
        <v>0</v>
      </c>
      <c r="K29" s="2"/>
      <c r="L29" s="6">
        <f t="shared" si="2"/>
        <v>-1243.3099999999977</v>
      </c>
      <c r="M29" s="2"/>
      <c r="N29" s="7">
        <f t="shared" si="3"/>
        <v>-4.1556742563181009E-2</v>
      </c>
      <c r="O29" s="11"/>
      <c r="P29" s="6">
        <v>165716.35999999999</v>
      </c>
      <c r="Q29" s="2"/>
      <c r="R29" s="7">
        <f t="shared" si="4"/>
        <v>0</v>
      </c>
      <c r="S29" s="2"/>
      <c r="T29" s="6">
        <v>-217338.28</v>
      </c>
      <c r="U29" s="2"/>
      <c r="V29" s="7">
        <f t="shared" si="5"/>
        <v>0</v>
      </c>
      <c r="W29" s="2"/>
      <c r="X29" s="6">
        <f t="shared" si="6"/>
        <v>383054.64</v>
      </c>
      <c r="Y29" s="2"/>
      <c r="Z29" s="7">
        <f t="shared" si="7"/>
        <v>-1.7624812343228262</v>
      </c>
    </row>
    <row r="30" spans="1:26" s="24" customFormat="1" hidden="1" outlineLevel="2" x14ac:dyDescent="0.3">
      <c r="A30" s="28"/>
      <c r="B30" s="11" t="str">
        <f>CONCATENATE("          ", "6156", " - ", "EMPLOYEE MEALS")</f>
        <v xml:space="preserve">          6156 - EMPLOYEE MEALS</v>
      </c>
      <c r="C30" s="11"/>
      <c r="D30" s="6">
        <v>1389.72</v>
      </c>
      <c r="E30" s="2"/>
      <c r="F30" s="7">
        <f t="shared" si="0"/>
        <v>0</v>
      </c>
      <c r="G30" s="2"/>
      <c r="H30" s="6">
        <v>569.35</v>
      </c>
      <c r="I30" s="2"/>
      <c r="J30" s="7">
        <f t="shared" si="1"/>
        <v>0</v>
      </c>
      <c r="K30" s="2"/>
      <c r="L30" s="6">
        <f t="shared" si="2"/>
        <v>820.37</v>
      </c>
      <c r="M30" s="2"/>
      <c r="N30" s="7">
        <f t="shared" si="3"/>
        <v>1.4408887327654343</v>
      </c>
      <c r="O30" s="11"/>
      <c r="P30" s="6">
        <v>8736</v>
      </c>
      <c r="Q30" s="2"/>
      <c r="R30" s="7">
        <f t="shared" si="4"/>
        <v>0</v>
      </c>
      <c r="S30" s="2"/>
      <c r="T30" s="6">
        <v>4403.5200000000004</v>
      </c>
      <c r="U30" s="2"/>
      <c r="V30" s="7">
        <f t="shared" si="5"/>
        <v>0</v>
      </c>
      <c r="W30" s="2"/>
      <c r="X30" s="6">
        <f t="shared" si="6"/>
        <v>4332.4799999999996</v>
      </c>
      <c r="Y30" s="2"/>
      <c r="Z30" s="7">
        <f t="shared" si="7"/>
        <v>0.98386745149335053</v>
      </c>
    </row>
    <row r="31" spans="1:26" s="29" customFormat="1" outlineLevel="1" collapsed="1" x14ac:dyDescent="0.3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96856.360000000015</v>
      </c>
      <c r="E31" s="1"/>
      <c r="F31" s="5">
        <f t="shared" ref="F31:F37" si="8">IF(D$12=0,0,D31/D$12)</f>
        <v>0</v>
      </c>
      <c r="G31" s="1"/>
      <c r="H31" s="1">
        <f>SUM(OSRRefH22_1x_0)</f>
        <v>87998.749999999985</v>
      </c>
      <c r="I31" s="1"/>
      <c r="J31" s="5">
        <f t="shared" ref="J31:J37" si="9">IF(H$12=0,0,H31/H$12)</f>
        <v>0</v>
      </c>
      <c r="K31" s="1"/>
      <c r="L31" s="1">
        <f t="shared" ref="L31:L37" si="10">+D31-H31</f>
        <v>8857.6100000000297</v>
      </c>
      <c r="M31" s="1"/>
      <c r="N31" s="5">
        <f t="shared" ref="N31:N37" si="11">IF(H31=0,0,L31/H31)</f>
        <v>0.100656088864899</v>
      </c>
      <c r="O31" s="14"/>
      <c r="P31" s="1">
        <f>SUM(OSRRefP22_1x_0)</f>
        <v>564522.87</v>
      </c>
      <c r="Q31" s="1"/>
      <c r="R31" s="5">
        <f t="shared" ref="R31:R37" si="12">IF(P$12=0,0,P31/P$12)</f>
        <v>0</v>
      </c>
      <c r="S31" s="1"/>
      <c r="T31" s="1">
        <f>SUM(OSRRefT22_1x_0)</f>
        <v>543945.34</v>
      </c>
      <c r="U31" s="1"/>
      <c r="V31" s="5">
        <f t="shared" ref="V31:V37" si="13">IF(T$12=0,0,T31/T$12)</f>
        <v>0</v>
      </c>
      <c r="W31" s="1"/>
      <c r="X31" s="1">
        <f t="shared" ref="X31:X37" si="14">+P31-T31</f>
        <v>20577.530000000028</v>
      </c>
      <c r="Y31" s="1"/>
      <c r="Z31" s="5">
        <f t="shared" ref="Z31:Z37" si="15">IF(T31=0,0,X31/T31)</f>
        <v>3.7830143006648477E-2</v>
      </c>
    </row>
    <row r="32" spans="1:26" s="24" customFormat="1" hidden="1" outlineLevel="2" x14ac:dyDescent="0.3">
      <c r="A32" s="28"/>
      <c r="B32" s="11" t="str">
        <f>CONCATENATE("          ", "6001", " - ", "ADMINISTRATIVE SALARIES")</f>
        <v xml:space="preserve">          6001 - ADMINISTRATIVE SALARIES</v>
      </c>
      <c r="C32" s="11"/>
      <c r="D32" s="6">
        <v>24698.68</v>
      </c>
      <c r="E32" s="2"/>
      <c r="F32" s="7">
        <f t="shared" si="8"/>
        <v>0</v>
      </c>
      <c r="G32" s="2"/>
      <c r="H32" s="6">
        <v>24034.959999999999</v>
      </c>
      <c r="I32" s="2"/>
      <c r="J32" s="7">
        <f t="shared" si="9"/>
        <v>0</v>
      </c>
      <c r="K32" s="2"/>
      <c r="L32" s="6">
        <f t="shared" si="10"/>
        <v>663.72000000000116</v>
      </c>
      <c r="M32" s="2"/>
      <c r="N32" s="7">
        <f t="shared" si="11"/>
        <v>2.7614774478509688E-2</v>
      </c>
      <c r="O32" s="11"/>
      <c r="P32" s="6">
        <v>116600.07</v>
      </c>
      <c r="Q32" s="2"/>
      <c r="R32" s="7">
        <f t="shared" si="12"/>
        <v>0</v>
      </c>
      <c r="S32" s="2"/>
      <c r="T32" s="6">
        <v>147976.54999999999</v>
      </c>
      <c r="U32" s="2"/>
      <c r="V32" s="7">
        <f t="shared" si="13"/>
        <v>0</v>
      </c>
      <c r="W32" s="2"/>
      <c r="X32" s="6">
        <f t="shared" si="14"/>
        <v>-31376.479999999981</v>
      </c>
      <c r="Y32" s="2"/>
      <c r="Z32" s="7">
        <f t="shared" si="15"/>
        <v>-0.21203683962087225</v>
      </c>
    </row>
    <row r="33" spans="1:26" s="24" customFormat="1" hidden="1" outlineLevel="2" x14ac:dyDescent="0.3">
      <c r="A33" s="28"/>
      <c r="B33" s="11" t="str">
        <f>CONCATENATE("          ", "6002", " - ", "STAFF SALARIES")</f>
        <v xml:space="preserve">          6002 - STAFF SALARIES</v>
      </c>
      <c r="C33" s="11"/>
      <c r="D33" s="6">
        <v>47735.14</v>
      </c>
      <c r="E33" s="2"/>
      <c r="F33" s="7">
        <f t="shared" si="8"/>
        <v>0</v>
      </c>
      <c r="G33" s="2"/>
      <c r="H33" s="6">
        <v>43397.52</v>
      </c>
      <c r="I33" s="2"/>
      <c r="J33" s="7">
        <f t="shared" si="9"/>
        <v>0</v>
      </c>
      <c r="K33" s="2"/>
      <c r="L33" s="6">
        <f t="shared" si="10"/>
        <v>4337.6200000000026</v>
      </c>
      <c r="M33" s="2"/>
      <c r="N33" s="7">
        <f t="shared" si="11"/>
        <v>9.9950872768766574E-2</v>
      </c>
      <c r="O33" s="11"/>
      <c r="P33" s="6">
        <v>300189.76</v>
      </c>
      <c r="Q33" s="2"/>
      <c r="R33" s="7">
        <f t="shared" si="12"/>
        <v>0</v>
      </c>
      <c r="S33" s="2"/>
      <c r="T33" s="6">
        <v>287432.07</v>
      </c>
      <c r="U33" s="2"/>
      <c r="V33" s="7">
        <f t="shared" si="13"/>
        <v>0</v>
      </c>
      <c r="W33" s="2"/>
      <c r="X33" s="6">
        <f t="shared" si="14"/>
        <v>12757.690000000002</v>
      </c>
      <c r="Y33" s="2"/>
      <c r="Z33" s="7">
        <f t="shared" si="15"/>
        <v>4.4385061138097787E-2</v>
      </c>
    </row>
    <row r="34" spans="1:26" s="24" customFormat="1" hidden="1" outlineLevel="2" x14ac:dyDescent="0.3">
      <c r="A34" s="28"/>
      <c r="B34" s="11" t="str">
        <f>CONCATENATE("          ", "6004", " - ", "STAFF HOURLY")</f>
        <v xml:space="preserve">          6004 - STAFF HOURLY</v>
      </c>
      <c r="C34" s="11"/>
      <c r="D34" s="6">
        <v>19331.689999999999</v>
      </c>
      <c r="E34" s="2"/>
      <c r="F34" s="7">
        <f t="shared" si="8"/>
        <v>0</v>
      </c>
      <c r="G34" s="2"/>
      <c r="H34" s="6">
        <v>14243.95</v>
      </c>
      <c r="I34" s="2"/>
      <c r="J34" s="7">
        <f t="shared" si="9"/>
        <v>0</v>
      </c>
      <c r="K34" s="2"/>
      <c r="L34" s="6">
        <f t="shared" si="10"/>
        <v>5087.739999999998</v>
      </c>
      <c r="M34" s="2"/>
      <c r="N34" s="7">
        <f t="shared" si="11"/>
        <v>0.35718603336855281</v>
      </c>
      <c r="O34" s="11"/>
      <c r="P34" s="6">
        <v>120970.06</v>
      </c>
      <c r="Q34" s="2"/>
      <c r="R34" s="7">
        <f t="shared" si="12"/>
        <v>0</v>
      </c>
      <c r="S34" s="2"/>
      <c r="T34" s="6">
        <v>108617.58</v>
      </c>
      <c r="U34" s="2"/>
      <c r="V34" s="7">
        <f t="shared" si="13"/>
        <v>0</v>
      </c>
      <c r="W34" s="2"/>
      <c r="X34" s="6">
        <f t="shared" si="14"/>
        <v>12352.479999999996</v>
      </c>
      <c r="Y34" s="2"/>
      <c r="Z34" s="7">
        <f t="shared" si="15"/>
        <v>0.11372450021442197</v>
      </c>
    </row>
    <row r="35" spans="1:26" s="24" customFormat="1" hidden="1" outlineLevel="2" x14ac:dyDescent="0.3">
      <c r="A35" s="28"/>
      <c r="B35" s="11" t="str">
        <f>CONCATENATE("          ", "6005", " - ", "TEMPORARY WAGES-HOURLY")</f>
        <v xml:space="preserve">          6005 - TEMPORARY WAGES-HOURLY</v>
      </c>
      <c r="C35" s="11"/>
      <c r="D35" s="6">
        <v>2315.02</v>
      </c>
      <c r="E35" s="2"/>
      <c r="F35" s="7">
        <f t="shared" si="8"/>
        <v>0</v>
      </c>
      <c r="G35" s="2"/>
      <c r="H35" s="6">
        <v>5217.28</v>
      </c>
      <c r="I35" s="2"/>
      <c r="J35" s="7">
        <f t="shared" si="9"/>
        <v>0</v>
      </c>
      <c r="K35" s="2"/>
      <c r="L35" s="6">
        <f t="shared" si="10"/>
        <v>-2902.2599999999998</v>
      </c>
      <c r="M35" s="2"/>
      <c r="N35" s="7">
        <f t="shared" si="11"/>
        <v>-0.55627836727183511</v>
      </c>
      <c r="O35" s="11"/>
      <c r="P35" s="6">
        <v>12222.16</v>
      </c>
      <c r="Q35" s="2"/>
      <c r="R35" s="7">
        <f t="shared" si="12"/>
        <v>0</v>
      </c>
      <c r="S35" s="2"/>
      <c r="T35" s="6">
        <v>36531.53</v>
      </c>
      <c r="U35" s="2"/>
      <c r="V35" s="7">
        <f t="shared" si="13"/>
        <v>0</v>
      </c>
      <c r="W35" s="2"/>
      <c r="X35" s="6">
        <f t="shared" si="14"/>
        <v>-24309.37</v>
      </c>
      <c r="Y35" s="2"/>
      <c r="Z35" s="7">
        <f t="shared" si="15"/>
        <v>-0.66543531026485891</v>
      </c>
    </row>
    <row r="36" spans="1:26" s="24" customFormat="1" hidden="1" outlineLevel="2" x14ac:dyDescent="0.3">
      <c r="A36" s="28"/>
      <c r="B36" s="11" t="str">
        <f>CONCATENATE("          ", "6007", " - ", "STUDENT HOURLY")</f>
        <v xml:space="preserve">          6007 - STUDENT HOURLY</v>
      </c>
      <c r="C36" s="11"/>
      <c r="D36" s="6">
        <v>566.26</v>
      </c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566.26</v>
      </c>
      <c r="M36" s="2"/>
      <c r="N36" s="7">
        <f t="shared" si="11"/>
        <v>0</v>
      </c>
      <c r="O36" s="11"/>
      <c r="P36" s="6">
        <v>3065.62</v>
      </c>
      <c r="Q36" s="2"/>
      <c r="R36" s="7">
        <f t="shared" si="12"/>
        <v>0</v>
      </c>
      <c r="S36" s="2"/>
      <c r="T36" s="6">
        <v>-44841.01</v>
      </c>
      <c r="U36" s="2"/>
      <c r="V36" s="7">
        <f t="shared" si="13"/>
        <v>0</v>
      </c>
      <c r="W36" s="2"/>
      <c r="X36" s="6">
        <f t="shared" si="14"/>
        <v>47906.630000000005</v>
      </c>
      <c r="Y36" s="2"/>
      <c r="Z36" s="7">
        <f t="shared" si="15"/>
        <v>-1.0683664351003692</v>
      </c>
    </row>
    <row r="37" spans="1:26" s="24" customFormat="1" hidden="1" outlineLevel="2" x14ac:dyDescent="0.3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6">
        <v>2209.5700000000002</v>
      </c>
      <c r="E37" s="2"/>
      <c r="F37" s="7">
        <f t="shared" si="8"/>
        <v>0</v>
      </c>
      <c r="G37" s="2"/>
      <c r="H37" s="6">
        <v>1105.04</v>
      </c>
      <c r="I37" s="2"/>
      <c r="J37" s="7">
        <f t="shared" si="9"/>
        <v>0</v>
      </c>
      <c r="K37" s="2"/>
      <c r="L37" s="6">
        <f t="shared" si="10"/>
        <v>1104.5300000000002</v>
      </c>
      <c r="M37" s="2"/>
      <c r="N37" s="7">
        <f t="shared" si="11"/>
        <v>0.99953847824513165</v>
      </c>
      <c r="O37" s="11"/>
      <c r="P37" s="6">
        <v>11475.2</v>
      </c>
      <c r="Q37" s="2"/>
      <c r="R37" s="7">
        <f t="shared" si="12"/>
        <v>0</v>
      </c>
      <c r="S37" s="2"/>
      <c r="T37" s="6">
        <v>8228.6200000000008</v>
      </c>
      <c r="U37" s="2"/>
      <c r="V37" s="7">
        <f t="shared" si="13"/>
        <v>0</v>
      </c>
      <c r="W37" s="2"/>
      <c r="X37" s="6">
        <f t="shared" si="14"/>
        <v>3246.58</v>
      </c>
      <c r="Y37" s="2"/>
      <c r="Z37" s="7">
        <f t="shared" si="15"/>
        <v>0.39454732385260222</v>
      </c>
    </row>
    <row r="38" spans="1:26" s="29" customFormat="1" outlineLevel="1" collapsed="1" x14ac:dyDescent="0.3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1780.99</v>
      </c>
      <c r="E38" s="1"/>
      <c r="F38" s="5">
        <f t="shared" ref="F38:F54" si="16">IF(D$12=0,0,D38/D$12)</f>
        <v>0</v>
      </c>
      <c r="G38" s="1"/>
      <c r="H38" s="1">
        <f>SUM(OSRRefH22_2x_0)</f>
        <v>173.21</v>
      </c>
      <c r="I38" s="1"/>
      <c r="J38" s="5">
        <f t="shared" ref="J38:J54" si="17">IF(H$12=0,0,H38/H$12)</f>
        <v>0</v>
      </c>
      <c r="K38" s="1"/>
      <c r="L38" s="1">
        <f t="shared" ref="L38:L54" si="18">+D38-H38</f>
        <v>1607.78</v>
      </c>
      <c r="M38" s="1"/>
      <c r="N38" s="5">
        <f t="shared" ref="N38:N54" si="19">IF(H38=0,0,L38/H38)</f>
        <v>9.2822585301079616</v>
      </c>
      <c r="O38" s="14"/>
      <c r="P38" s="1">
        <f>SUM(OSRRefP22_2x_0)</f>
        <v>3403.53</v>
      </c>
      <c r="Q38" s="1"/>
      <c r="R38" s="5">
        <f t="shared" ref="R38:R54" si="20">IF(P$12=0,0,P38/P$12)</f>
        <v>0</v>
      </c>
      <c r="S38" s="1"/>
      <c r="T38" s="1">
        <f>SUM(OSRRefT22_2x_0)</f>
        <v>932.85</v>
      </c>
      <c r="U38" s="1"/>
      <c r="V38" s="5">
        <f t="shared" ref="V38:V54" si="21">IF(T$12=0,0,T38/T$12)</f>
        <v>0</v>
      </c>
      <c r="W38" s="1"/>
      <c r="X38" s="1">
        <f t="shared" ref="X38:X54" si="22">+P38-T38</f>
        <v>2470.6800000000003</v>
      </c>
      <c r="Y38" s="1"/>
      <c r="Z38" s="5">
        <f t="shared" ref="Z38:Z54" si="23">IF(T38=0,0,X38/T38)</f>
        <v>2.6485287023637243</v>
      </c>
    </row>
    <row r="39" spans="1:26" s="24" customFormat="1" hidden="1" outlineLevel="2" x14ac:dyDescent="0.3">
      <c r="A39" s="28"/>
      <c r="B39" s="11" t="str">
        <f>CONCATENATE("          ", "6362", " - ", "ADVERTISING EXPENSE")</f>
        <v xml:space="preserve">          6362 - ADVERTISING EXPENSE</v>
      </c>
      <c r="C39" s="11"/>
      <c r="D39" s="6">
        <v>1780.99</v>
      </c>
      <c r="E39" s="2"/>
      <c r="F39" s="7">
        <f t="shared" si="16"/>
        <v>0</v>
      </c>
      <c r="G39" s="2"/>
      <c r="H39" s="6">
        <v>173.21</v>
      </c>
      <c r="I39" s="2"/>
      <c r="J39" s="7">
        <f t="shared" si="17"/>
        <v>0</v>
      </c>
      <c r="K39" s="2"/>
      <c r="L39" s="6">
        <f t="shared" si="18"/>
        <v>1607.78</v>
      </c>
      <c r="M39" s="2"/>
      <c r="N39" s="7">
        <f t="shared" si="19"/>
        <v>9.2822585301079616</v>
      </c>
      <c r="O39" s="11"/>
      <c r="P39" s="6">
        <v>3403.53</v>
      </c>
      <c r="Q39" s="2"/>
      <c r="R39" s="7">
        <f t="shared" si="20"/>
        <v>0</v>
      </c>
      <c r="S39" s="2"/>
      <c r="T39" s="6">
        <v>932.85</v>
      </c>
      <c r="U39" s="2"/>
      <c r="V39" s="7">
        <f t="shared" si="21"/>
        <v>0</v>
      </c>
      <c r="W39" s="2"/>
      <c r="X39" s="6">
        <f t="shared" si="22"/>
        <v>2470.6800000000003</v>
      </c>
      <c r="Y39" s="2"/>
      <c r="Z39" s="7">
        <f t="shared" si="23"/>
        <v>2.6485287023637243</v>
      </c>
    </row>
    <row r="40" spans="1:26" s="29" customFormat="1" outlineLevel="1" collapsed="1" x14ac:dyDescent="0.3">
      <c r="A40" s="27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SUM(OSRRefD22_3x_0)</f>
        <v>119.71</v>
      </c>
      <c r="E40" s="1"/>
      <c r="F40" s="5">
        <f t="shared" si="16"/>
        <v>0</v>
      </c>
      <c r="G40" s="1"/>
      <c r="H40" s="1">
        <f>SUM(OSRRefH22_3x_0)</f>
        <v>7</v>
      </c>
      <c r="I40" s="1"/>
      <c r="J40" s="5">
        <f t="shared" si="17"/>
        <v>0</v>
      </c>
      <c r="K40" s="1"/>
      <c r="L40" s="1">
        <f t="shared" si="18"/>
        <v>112.71</v>
      </c>
      <c r="M40" s="1"/>
      <c r="N40" s="5">
        <f t="shared" si="19"/>
        <v>16.101428571428571</v>
      </c>
      <c r="O40" s="14"/>
      <c r="P40" s="1">
        <f>SUM(OSRRefP22_3x_0)</f>
        <v>5598.93</v>
      </c>
      <c r="Q40" s="1"/>
      <c r="R40" s="5">
        <f t="shared" si="20"/>
        <v>0</v>
      </c>
      <c r="S40" s="1"/>
      <c r="T40" s="1">
        <f>SUM(OSRRefT22_3x_0)</f>
        <v>2904.58</v>
      </c>
      <c r="U40" s="1"/>
      <c r="V40" s="5">
        <f t="shared" si="21"/>
        <v>0</v>
      </c>
      <c r="W40" s="1"/>
      <c r="X40" s="1">
        <f t="shared" si="22"/>
        <v>2694.3500000000004</v>
      </c>
      <c r="Y40" s="1"/>
      <c r="Z40" s="5">
        <f t="shared" si="23"/>
        <v>0.92762120513120672</v>
      </c>
    </row>
    <row r="41" spans="1:26" s="24" customFormat="1" hidden="1" outlineLevel="2" x14ac:dyDescent="0.3">
      <c r="A41" s="28"/>
      <c r="B41" s="11" t="str">
        <f>CONCATENATE("          ", "6381", " - ", "BANK/CREDIT CARD FEES")</f>
        <v xml:space="preserve">          6381 - BANK/CREDIT CARD FEES</v>
      </c>
      <c r="C41" s="11"/>
      <c r="D41" s="6">
        <v>119.71</v>
      </c>
      <c r="E41" s="2"/>
      <c r="F41" s="7">
        <f t="shared" si="16"/>
        <v>0</v>
      </c>
      <c r="G41" s="2"/>
      <c r="H41" s="6">
        <v>7</v>
      </c>
      <c r="I41" s="2"/>
      <c r="J41" s="7">
        <f t="shared" si="17"/>
        <v>0</v>
      </c>
      <c r="K41" s="2"/>
      <c r="L41" s="6">
        <f t="shared" si="18"/>
        <v>112.71</v>
      </c>
      <c r="M41" s="2"/>
      <c r="N41" s="7">
        <f t="shared" si="19"/>
        <v>16.101428571428571</v>
      </c>
      <c r="O41" s="11"/>
      <c r="P41" s="6">
        <v>5598.93</v>
      </c>
      <c r="Q41" s="2"/>
      <c r="R41" s="7">
        <f t="shared" si="20"/>
        <v>0</v>
      </c>
      <c r="S41" s="2"/>
      <c r="T41" s="6">
        <v>2904.58</v>
      </c>
      <c r="U41" s="2"/>
      <c r="V41" s="7">
        <f t="shared" si="21"/>
        <v>0</v>
      </c>
      <c r="W41" s="2"/>
      <c r="X41" s="6">
        <f t="shared" si="22"/>
        <v>2694.3500000000004</v>
      </c>
      <c r="Y41" s="2"/>
      <c r="Z41" s="7">
        <f t="shared" si="23"/>
        <v>0.92762120513120672</v>
      </c>
    </row>
    <row r="42" spans="1:26" s="29" customFormat="1" outlineLevel="1" collapsed="1" x14ac:dyDescent="0.3">
      <c r="A42" s="27"/>
      <c r="B42" s="14" t="str">
        <f>CONCATENATE("     ","Board                                             ")</f>
        <v xml:space="preserve">     Board                                             </v>
      </c>
      <c r="C42" s="14"/>
      <c r="D42" s="1">
        <f>SUM(OSRRefD22_4x_0)</f>
        <v>1336.68</v>
      </c>
      <c r="E42" s="1"/>
      <c r="F42" s="5">
        <f t="shared" si="16"/>
        <v>0</v>
      </c>
      <c r="G42" s="1"/>
      <c r="H42" s="1">
        <f>SUM(OSRRefH22_4x_0)</f>
        <v>714.82</v>
      </c>
      <c r="I42" s="1"/>
      <c r="J42" s="5">
        <f t="shared" si="17"/>
        <v>0</v>
      </c>
      <c r="K42" s="1"/>
      <c r="L42" s="1">
        <f t="shared" si="18"/>
        <v>621.86</v>
      </c>
      <c r="M42" s="1"/>
      <c r="N42" s="5">
        <f t="shared" si="19"/>
        <v>0.86995327495033714</v>
      </c>
      <c r="O42" s="14"/>
      <c r="P42" s="1">
        <f>SUM(OSRRefP22_4x_0)</f>
        <v>7656.51</v>
      </c>
      <c r="Q42" s="1"/>
      <c r="R42" s="5">
        <f t="shared" si="20"/>
        <v>0</v>
      </c>
      <c r="S42" s="1"/>
      <c r="T42" s="1">
        <f>SUM(OSRRefT22_4x_0)</f>
        <v>7836.99</v>
      </c>
      <c r="U42" s="1"/>
      <c r="V42" s="5">
        <f t="shared" si="21"/>
        <v>0</v>
      </c>
      <c r="W42" s="1"/>
      <c r="X42" s="1">
        <f t="shared" si="22"/>
        <v>-180.47999999999956</v>
      </c>
      <c r="Y42" s="1"/>
      <c r="Z42" s="5">
        <f t="shared" si="23"/>
        <v>-2.3029249750222927E-2</v>
      </c>
    </row>
    <row r="43" spans="1:26" s="24" customFormat="1" hidden="1" outlineLevel="2" x14ac:dyDescent="0.3">
      <c r="A43" s="28"/>
      <c r="B43" s="11" t="str">
        <f>CONCATENATE("          ", "6397", " - ", "BOARD EXPENSES")</f>
        <v xml:space="preserve">          6397 - BOARD EXPENSES</v>
      </c>
      <c r="C43" s="11"/>
      <c r="D43" s="6">
        <v>1336.68</v>
      </c>
      <c r="E43" s="2"/>
      <c r="F43" s="7">
        <f t="shared" si="16"/>
        <v>0</v>
      </c>
      <c r="G43" s="2"/>
      <c r="H43" s="6">
        <v>714.82</v>
      </c>
      <c r="I43" s="2"/>
      <c r="J43" s="7">
        <f t="shared" si="17"/>
        <v>0</v>
      </c>
      <c r="K43" s="2"/>
      <c r="L43" s="6">
        <f t="shared" si="18"/>
        <v>621.86</v>
      </c>
      <c r="M43" s="2"/>
      <c r="N43" s="7">
        <f t="shared" si="19"/>
        <v>0.86995327495033714</v>
      </c>
      <c r="O43" s="11"/>
      <c r="P43" s="6">
        <v>7656.51</v>
      </c>
      <c r="Q43" s="2"/>
      <c r="R43" s="7">
        <f t="shared" si="20"/>
        <v>0</v>
      </c>
      <c r="S43" s="2"/>
      <c r="T43" s="6">
        <v>7836.99</v>
      </c>
      <c r="U43" s="2"/>
      <c r="V43" s="7">
        <f t="shared" si="21"/>
        <v>0</v>
      </c>
      <c r="W43" s="2"/>
      <c r="X43" s="6">
        <f t="shared" si="22"/>
        <v>-180.47999999999956</v>
      </c>
      <c r="Y43" s="2"/>
      <c r="Z43" s="7">
        <f t="shared" si="23"/>
        <v>-2.3029249750222927E-2</v>
      </c>
    </row>
    <row r="44" spans="1:26" s="29" customFormat="1" outlineLevel="1" collapsed="1" x14ac:dyDescent="0.3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4014.64</v>
      </c>
      <c r="E44" s="1"/>
      <c r="F44" s="5">
        <f t="shared" si="16"/>
        <v>0</v>
      </c>
      <c r="G44" s="1"/>
      <c r="H44" s="1">
        <f>SUM(OSRRefH22_5x_0)</f>
        <v>7139.05</v>
      </c>
      <c r="I44" s="1"/>
      <c r="J44" s="5">
        <f t="shared" si="17"/>
        <v>0</v>
      </c>
      <c r="K44" s="1"/>
      <c r="L44" s="1">
        <f t="shared" si="18"/>
        <v>-3124.4100000000003</v>
      </c>
      <c r="M44" s="1"/>
      <c r="N44" s="5">
        <f t="shared" si="19"/>
        <v>-0.43765066780594059</v>
      </c>
      <c r="O44" s="14"/>
      <c r="P44" s="1">
        <f>SUM(OSRRefP22_5x_0)</f>
        <v>32960.28</v>
      </c>
      <c r="Q44" s="1"/>
      <c r="R44" s="5">
        <f t="shared" si="20"/>
        <v>0</v>
      </c>
      <c r="S44" s="1"/>
      <c r="T44" s="1">
        <f>SUM(OSRRefT22_5x_0)</f>
        <v>44404.82</v>
      </c>
      <c r="U44" s="1"/>
      <c r="V44" s="5">
        <f t="shared" si="21"/>
        <v>0</v>
      </c>
      <c r="W44" s="1"/>
      <c r="X44" s="1">
        <f t="shared" si="22"/>
        <v>-11444.54</v>
      </c>
      <c r="Y44" s="1"/>
      <c r="Z44" s="5">
        <f t="shared" si="23"/>
        <v>-0.25773193090299656</v>
      </c>
    </row>
    <row r="45" spans="1:26" s="24" customFormat="1" hidden="1" outlineLevel="2" x14ac:dyDescent="0.3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4014.64</v>
      </c>
      <c r="E45" s="2"/>
      <c r="F45" s="7">
        <f t="shared" si="16"/>
        <v>0</v>
      </c>
      <c r="G45" s="2"/>
      <c r="H45" s="6">
        <v>7139.05</v>
      </c>
      <c r="I45" s="2"/>
      <c r="J45" s="7">
        <f t="shared" si="17"/>
        <v>0</v>
      </c>
      <c r="K45" s="2"/>
      <c r="L45" s="6">
        <f t="shared" si="18"/>
        <v>-3124.4100000000003</v>
      </c>
      <c r="M45" s="2"/>
      <c r="N45" s="7">
        <f t="shared" si="19"/>
        <v>-0.43765066780594059</v>
      </c>
      <c r="O45" s="11"/>
      <c r="P45" s="6">
        <v>32960.28</v>
      </c>
      <c r="Q45" s="2"/>
      <c r="R45" s="7">
        <f t="shared" si="20"/>
        <v>0</v>
      </c>
      <c r="S45" s="2"/>
      <c r="T45" s="6">
        <v>44404.82</v>
      </c>
      <c r="U45" s="2"/>
      <c r="V45" s="7">
        <f t="shared" si="21"/>
        <v>0</v>
      </c>
      <c r="W45" s="2"/>
      <c r="X45" s="6">
        <f t="shared" si="22"/>
        <v>-11444.54</v>
      </c>
      <c r="Y45" s="2"/>
      <c r="Z45" s="7">
        <f t="shared" si="23"/>
        <v>-0.25773193090299656</v>
      </c>
    </row>
    <row r="46" spans="1:26" s="29" customFormat="1" outlineLevel="1" collapsed="1" x14ac:dyDescent="0.3">
      <c r="A46" s="27"/>
      <c r="B46" s="14" t="str">
        <f>CONCATENATE("     ","Donations                                         ")</f>
        <v xml:space="preserve">     Donations                                         </v>
      </c>
      <c r="C46" s="14"/>
      <c r="D46" s="1">
        <f>SUM(OSRRefD22_6x_0)</f>
        <v>300</v>
      </c>
      <c r="E46" s="1"/>
      <c r="F46" s="5">
        <f t="shared" si="16"/>
        <v>0</v>
      </c>
      <c r="G46" s="1"/>
      <c r="H46" s="1">
        <f>SUM(OSRRefH22_6x_0)</f>
        <v>0</v>
      </c>
      <c r="I46" s="1"/>
      <c r="J46" s="5">
        <f t="shared" si="17"/>
        <v>0</v>
      </c>
      <c r="K46" s="1"/>
      <c r="L46" s="1">
        <f t="shared" si="18"/>
        <v>300</v>
      </c>
      <c r="M46" s="1"/>
      <c r="N46" s="5">
        <f t="shared" si="19"/>
        <v>0</v>
      </c>
      <c r="O46" s="14"/>
      <c r="P46" s="1">
        <f>SUM(OSRRefP22_6x_0)</f>
        <v>25300</v>
      </c>
      <c r="Q46" s="1"/>
      <c r="R46" s="5">
        <f t="shared" si="20"/>
        <v>0</v>
      </c>
      <c r="S46" s="1"/>
      <c r="T46" s="1">
        <f>SUM(OSRRefT22_6x_0)</f>
        <v>25000</v>
      </c>
      <c r="U46" s="1"/>
      <c r="V46" s="5">
        <f t="shared" si="21"/>
        <v>0</v>
      </c>
      <c r="W46" s="1"/>
      <c r="X46" s="1">
        <f t="shared" si="22"/>
        <v>300</v>
      </c>
      <c r="Y46" s="1"/>
      <c r="Z46" s="5">
        <f t="shared" si="23"/>
        <v>1.2E-2</v>
      </c>
    </row>
    <row r="47" spans="1:26" s="24" customFormat="1" hidden="1" outlineLevel="2" x14ac:dyDescent="0.3">
      <c r="A47" s="28"/>
      <c r="B47" s="11" t="str">
        <f>CONCATENATE("          ", "6399", " - ", "DONATION-ON CAMPUS")</f>
        <v xml:space="preserve">          6399 - DONATION-ON CAMPUS</v>
      </c>
      <c r="C47" s="11"/>
      <c r="D47" s="6">
        <v>300</v>
      </c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300</v>
      </c>
      <c r="M47" s="2"/>
      <c r="N47" s="7">
        <f t="shared" si="19"/>
        <v>0</v>
      </c>
      <c r="O47" s="11"/>
      <c r="P47" s="6">
        <v>25300</v>
      </c>
      <c r="Q47" s="2"/>
      <c r="R47" s="7">
        <f t="shared" si="20"/>
        <v>0</v>
      </c>
      <c r="S47" s="2"/>
      <c r="T47" s="6">
        <v>25000</v>
      </c>
      <c r="U47" s="2"/>
      <c r="V47" s="7">
        <f t="shared" si="21"/>
        <v>0</v>
      </c>
      <c r="W47" s="2"/>
      <c r="X47" s="6">
        <f t="shared" si="22"/>
        <v>300</v>
      </c>
      <c r="Y47" s="2"/>
      <c r="Z47" s="7">
        <f t="shared" si="23"/>
        <v>1.2E-2</v>
      </c>
    </row>
    <row r="48" spans="1:26" s="29" customFormat="1" outlineLevel="1" collapsed="1" x14ac:dyDescent="0.3">
      <c r="A48" s="27"/>
      <c r="B48" s="14" t="str">
        <f>CONCATENATE("     ","Employees' Appreciation                           ")</f>
        <v xml:space="preserve">     Employees' Appreciation                           </v>
      </c>
      <c r="C48" s="14"/>
      <c r="D48" s="1">
        <f>SUM(OSRRefD22_7x_0)</f>
        <v>8.02</v>
      </c>
      <c r="E48" s="1"/>
      <c r="F48" s="5">
        <f t="shared" si="16"/>
        <v>0</v>
      </c>
      <c r="G48" s="1"/>
      <c r="H48" s="1">
        <f>SUM(OSRRefH22_7x_0)</f>
        <v>0</v>
      </c>
      <c r="I48" s="1"/>
      <c r="J48" s="5">
        <f t="shared" si="17"/>
        <v>0</v>
      </c>
      <c r="K48" s="1"/>
      <c r="L48" s="1">
        <f t="shared" si="18"/>
        <v>8.02</v>
      </c>
      <c r="M48" s="1"/>
      <c r="N48" s="5">
        <f t="shared" si="19"/>
        <v>0</v>
      </c>
      <c r="O48" s="14"/>
      <c r="P48" s="1">
        <f>SUM(OSRRefP22_7x_0)</f>
        <v>8.02</v>
      </c>
      <c r="Q48" s="1"/>
      <c r="R48" s="5">
        <f t="shared" si="20"/>
        <v>0</v>
      </c>
      <c r="S48" s="1"/>
      <c r="T48" s="1">
        <f>SUM(OSRRefT22_7x_0)</f>
        <v>81.56</v>
      </c>
      <c r="U48" s="1"/>
      <c r="V48" s="5">
        <f t="shared" si="21"/>
        <v>0</v>
      </c>
      <c r="W48" s="1"/>
      <c r="X48" s="1">
        <f t="shared" si="22"/>
        <v>-73.540000000000006</v>
      </c>
      <c r="Y48" s="1"/>
      <c r="Z48" s="5">
        <f t="shared" si="23"/>
        <v>-0.90166748406081421</v>
      </c>
    </row>
    <row r="49" spans="1:26" s="24" customFormat="1" hidden="1" outlineLevel="2" x14ac:dyDescent="0.3">
      <c r="A49" s="28"/>
      <c r="B49" s="11" t="str">
        <f>CONCATENATE("          ", "6277", " - ", "EMPLOYEE APPRECIATION")</f>
        <v xml:space="preserve">          6277 - EMPLOYEE APPRECIATION</v>
      </c>
      <c r="C49" s="11"/>
      <c r="D49" s="6">
        <v>8.02</v>
      </c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8.02</v>
      </c>
      <c r="M49" s="2"/>
      <c r="N49" s="7">
        <f t="shared" si="19"/>
        <v>0</v>
      </c>
      <c r="O49" s="11"/>
      <c r="P49" s="6">
        <v>8.02</v>
      </c>
      <c r="Q49" s="2"/>
      <c r="R49" s="7">
        <f t="shared" si="20"/>
        <v>0</v>
      </c>
      <c r="S49" s="2"/>
      <c r="T49" s="6">
        <v>81.56</v>
      </c>
      <c r="U49" s="2"/>
      <c r="V49" s="7">
        <f t="shared" si="21"/>
        <v>0</v>
      </c>
      <c r="W49" s="2"/>
      <c r="X49" s="6">
        <f t="shared" si="22"/>
        <v>-73.540000000000006</v>
      </c>
      <c r="Y49" s="2"/>
      <c r="Z49" s="7">
        <f t="shared" si="23"/>
        <v>-0.90166748406081421</v>
      </c>
    </row>
    <row r="50" spans="1:26" s="29" customFormat="1" outlineLevel="1" collapsed="1" x14ac:dyDescent="0.3">
      <c r="A50" s="27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SUM(OSRRefD22_8x_0)</f>
        <v>208.97</v>
      </c>
      <c r="E50" s="1"/>
      <c r="F50" s="5">
        <f t="shared" si="16"/>
        <v>0</v>
      </c>
      <c r="G50" s="1"/>
      <c r="H50" s="1">
        <f>SUM(OSRRefH22_8x_0)</f>
        <v>208.97</v>
      </c>
      <c r="I50" s="1"/>
      <c r="J50" s="5">
        <f t="shared" si="17"/>
        <v>0</v>
      </c>
      <c r="K50" s="1"/>
      <c r="L50" s="1">
        <f t="shared" si="18"/>
        <v>0</v>
      </c>
      <c r="M50" s="1"/>
      <c r="N50" s="5">
        <f t="shared" si="19"/>
        <v>0</v>
      </c>
      <c r="O50" s="14"/>
      <c r="P50" s="1">
        <f>SUM(OSRRefP22_8x_0)</f>
        <v>1253.82</v>
      </c>
      <c r="Q50" s="1"/>
      <c r="R50" s="5">
        <f t="shared" si="20"/>
        <v>0</v>
      </c>
      <c r="S50" s="1"/>
      <c r="T50" s="1">
        <f>SUM(OSRRefT22_8x_0)</f>
        <v>1253.82</v>
      </c>
      <c r="U50" s="1"/>
      <c r="V50" s="5">
        <f t="shared" si="21"/>
        <v>0</v>
      </c>
      <c r="W50" s="1"/>
      <c r="X50" s="1">
        <f t="shared" si="22"/>
        <v>0</v>
      </c>
      <c r="Y50" s="1"/>
      <c r="Z50" s="5">
        <f t="shared" si="23"/>
        <v>0</v>
      </c>
    </row>
    <row r="51" spans="1:26" s="24" customFormat="1" hidden="1" outlineLevel="2" x14ac:dyDescent="0.3">
      <c r="A51" s="28"/>
      <c r="B51" s="11" t="str">
        <f>CONCATENATE("          ", "6351", " - ", "EQUIPMENT RENTAL")</f>
        <v xml:space="preserve">          6351 - EQUIPMENT RENTAL</v>
      </c>
      <c r="C51" s="11"/>
      <c r="D51" s="6">
        <v>208.97</v>
      </c>
      <c r="E51" s="2"/>
      <c r="F51" s="7">
        <f t="shared" si="16"/>
        <v>0</v>
      </c>
      <c r="G51" s="2"/>
      <c r="H51" s="6">
        <v>208.97</v>
      </c>
      <c r="I51" s="2"/>
      <c r="J51" s="7">
        <f t="shared" si="17"/>
        <v>0</v>
      </c>
      <c r="K51" s="2"/>
      <c r="L51" s="6">
        <f t="shared" si="18"/>
        <v>0</v>
      </c>
      <c r="M51" s="2"/>
      <c r="N51" s="7">
        <f t="shared" si="19"/>
        <v>0</v>
      </c>
      <c r="O51" s="11"/>
      <c r="P51" s="6">
        <v>1253.82</v>
      </c>
      <c r="Q51" s="2"/>
      <c r="R51" s="7">
        <f t="shared" si="20"/>
        <v>0</v>
      </c>
      <c r="S51" s="2"/>
      <c r="T51" s="6">
        <v>1253.82</v>
      </c>
      <c r="U51" s="2"/>
      <c r="V51" s="7">
        <f t="shared" si="21"/>
        <v>0</v>
      </c>
      <c r="W51" s="2"/>
      <c r="X51" s="6">
        <f t="shared" si="22"/>
        <v>0</v>
      </c>
      <c r="Y51" s="2"/>
      <c r="Z51" s="7">
        <f t="shared" si="23"/>
        <v>0</v>
      </c>
    </row>
    <row r="52" spans="1:26" s="29" customFormat="1" outlineLevel="1" collapsed="1" x14ac:dyDescent="0.3">
      <c r="A52" s="27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SUM(OSRRefD22_9x_0)</f>
        <v>154.88999999999999</v>
      </c>
      <c r="E52" s="1"/>
      <c r="F52" s="5">
        <f t="shared" si="16"/>
        <v>0</v>
      </c>
      <c r="G52" s="1"/>
      <c r="H52" s="1">
        <f>SUM(OSRRefH22_9x_0)</f>
        <v>97.5</v>
      </c>
      <c r="I52" s="1"/>
      <c r="J52" s="5">
        <f t="shared" si="17"/>
        <v>0</v>
      </c>
      <c r="K52" s="1"/>
      <c r="L52" s="1">
        <f t="shared" si="18"/>
        <v>57.389999999999986</v>
      </c>
      <c r="M52" s="1"/>
      <c r="N52" s="5">
        <f t="shared" si="19"/>
        <v>0.58861538461538443</v>
      </c>
      <c r="O52" s="14"/>
      <c r="P52" s="1">
        <f>SUM(OSRRefP22_9x_0)</f>
        <v>1018.01</v>
      </c>
      <c r="Q52" s="1"/>
      <c r="R52" s="5">
        <f t="shared" si="20"/>
        <v>0</v>
      </c>
      <c r="S52" s="1"/>
      <c r="T52" s="1">
        <f>SUM(OSRRefT22_9x_0)</f>
        <v>781.17</v>
      </c>
      <c r="U52" s="1"/>
      <c r="V52" s="5">
        <f t="shared" si="21"/>
        <v>0</v>
      </c>
      <c r="W52" s="1"/>
      <c r="X52" s="1">
        <f t="shared" si="22"/>
        <v>236.84000000000003</v>
      </c>
      <c r="Y52" s="1"/>
      <c r="Z52" s="5">
        <f t="shared" si="23"/>
        <v>0.30318624627161828</v>
      </c>
    </row>
    <row r="53" spans="1:26" s="24" customFormat="1" hidden="1" outlineLevel="2" x14ac:dyDescent="0.3">
      <c r="A53" s="28"/>
      <c r="B53" s="11" t="str">
        <f>CONCATENATE("          ", "6305", " - ", "FREIGHT OUT")</f>
        <v xml:space="preserve">          6305 - FREIGHT OUT</v>
      </c>
      <c r="C53" s="11"/>
      <c r="D53" s="6"/>
      <c r="E53" s="2"/>
      <c r="F53" s="7">
        <f t="shared" si="16"/>
        <v>0</v>
      </c>
      <c r="G53" s="2"/>
      <c r="H53" s="6"/>
      <c r="I53" s="2"/>
      <c r="J53" s="7">
        <f t="shared" si="17"/>
        <v>0</v>
      </c>
      <c r="K53" s="2"/>
      <c r="L53" s="6">
        <f t="shared" si="18"/>
        <v>0</v>
      </c>
      <c r="M53" s="2"/>
      <c r="N53" s="7">
        <f t="shared" si="19"/>
        <v>0</v>
      </c>
      <c r="O53" s="11"/>
      <c r="P53" s="6"/>
      <c r="Q53" s="2"/>
      <c r="R53" s="7">
        <f t="shared" si="20"/>
        <v>0</v>
      </c>
      <c r="S53" s="2"/>
      <c r="T53" s="6">
        <v>5.41</v>
      </c>
      <c r="U53" s="2"/>
      <c r="V53" s="7">
        <f t="shared" si="21"/>
        <v>0</v>
      </c>
      <c r="W53" s="2"/>
      <c r="X53" s="6">
        <f t="shared" si="22"/>
        <v>-5.41</v>
      </c>
      <c r="Y53" s="2"/>
      <c r="Z53" s="7">
        <f t="shared" si="23"/>
        <v>-1</v>
      </c>
    </row>
    <row r="54" spans="1:26" s="24" customFormat="1" hidden="1" outlineLevel="2" x14ac:dyDescent="0.3">
      <c r="A54" s="28"/>
      <c r="B54" s="11" t="str">
        <f>CONCATENATE("          ", "6307", " - ", "POSTAGE")</f>
        <v xml:space="preserve">          6307 - POSTAGE</v>
      </c>
      <c r="C54" s="11"/>
      <c r="D54" s="6">
        <v>154.88999999999999</v>
      </c>
      <c r="E54" s="2"/>
      <c r="F54" s="7">
        <f t="shared" si="16"/>
        <v>0</v>
      </c>
      <c r="G54" s="2"/>
      <c r="H54" s="6">
        <v>97.5</v>
      </c>
      <c r="I54" s="2"/>
      <c r="J54" s="7">
        <f t="shared" si="17"/>
        <v>0</v>
      </c>
      <c r="K54" s="2"/>
      <c r="L54" s="6">
        <f t="shared" si="18"/>
        <v>57.389999999999986</v>
      </c>
      <c r="M54" s="2"/>
      <c r="N54" s="7">
        <f t="shared" si="19"/>
        <v>0.58861538461538443</v>
      </c>
      <c r="O54" s="11"/>
      <c r="P54" s="6">
        <v>1018.01</v>
      </c>
      <c r="Q54" s="2"/>
      <c r="R54" s="7">
        <f t="shared" si="20"/>
        <v>0</v>
      </c>
      <c r="S54" s="2"/>
      <c r="T54" s="6">
        <v>775.76</v>
      </c>
      <c r="U54" s="2"/>
      <c r="V54" s="7">
        <f t="shared" si="21"/>
        <v>0</v>
      </c>
      <c r="W54" s="2"/>
      <c r="X54" s="6">
        <f t="shared" si="22"/>
        <v>242.25</v>
      </c>
      <c r="Y54" s="2"/>
      <c r="Z54" s="7">
        <f t="shared" si="23"/>
        <v>0.31227441476745388</v>
      </c>
    </row>
    <row r="55" spans="1:26" s="29" customFormat="1" outlineLevel="1" collapsed="1" x14ac:dyDescent="0.3">
      <c r="A55" s="27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SUM(OSRRefD22_10x_0)</f>
        <v>189.5</v>
      </c>
      <c r="E55" s="1"/>
      <c r="F55" s="5">
        <f t="shared" ref="F55:F62" si="24">IF(D$12=0,0,D55/D$12)</f>
        <v>0</v>
      </c>
      <c r="G55" s="1"/>
      <c r="H55" s="1">
        <f>SUM(OSRRefH22_10x_0)</f>
        <v>0</v>
      </c>
      <c r="I55" s="1"/>
      <c r="J55" s="5">
        <f t="shared" ref="J55:J62" si="25">IF(H$12=0,0,H55/H$12)</f>
        <v>0</v>
      </c>
      <c r="K55" s="1"/>
      <c r="L55" s="1">
        <f t="shared" ref="L55:L62" si="26">+D55-H55</f>
        <v>189.5</v>
      </c>
      <c r="M55" s="1"/>
      <c r="N55" s="5">
        <f t="shared" ref="N55:N62" si="27">IF(H55=0,0,L55/H55)</f>
        <v>0</v>
      </c>
      <c r="O55" s="14"/>
      <c r="P55" s="1">
        <f>SUM(OSRRefP22_10x_0)</f>
        <v>1773.68</v>
      </c>
      <c r="Q55" s="1"/>
      <c r="R55" s="5">
        <f t="shared" ref="R55:R62" si="28">IF(P$12=0,0,P55/P$12)</f>
        <v>0</v>
      </c>
      <c r="S55" s="1"/>
      <c r="T55" s="1">
        <f>SUM(OSRRefT22_10x_0)</f>
        <v>166.54</v>
      </c>
      <c r="U55" s="1"/>
      <c r="V55" s="5">
        <f t="shared" ref="V55:V62" si="29">IF(T$12=0,0,T55/T$12)</f>
        <v>0</v>
      </c>
      <c r="W55" s="1"/>
      <c r="X55" s="1">
        <f t="shared" ref="X55:X62" si="30">+P55-T55</f>
        <v>1607.14</v>
      </c>
      <c r="Y55" s="1"/>
      <c r="Z55" s="5">
        <f t="shared" ref="Z55:Z62" si="31">IF(T55=0,0,X55/T55)</f>
        <v>9.6501741323405792</v>
      </c>
    </row>
    <row r="56" spans="1:26" s="24" customFormat="1" hidden="1" outlineLevel="2" x14ac:dyDescent="0.3">
      <c r="A56" s="28"/>
      <c r="B56" s="11" t="str">
        <f>CONCATENATE("          ", "6279", " - ", "GENERAL EXPENSE")</f>
        <v xml:space="preserve">          6279 - GENERAL EXPENSE</v>
      </c>
      <c r="C56" s="11"/>
      <c r="D56" s="6">
        <v>189.5</v>
      </c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189.5</v>
      </c>
      <c r="M56" s="2"/>
      <c r="N56" s="7">
        <f t="shared" si="27"/>
        <v>0</v>
      </c>
      <c r="O56" s="11"/>
      <c r="P56" s="6">
        <v>1773.68</v>
      </c>
      <c r="Q56" s="2"/>
      <c r="R56" s="7">
        <f t="shared" si="28"/>
        <v>0</v>
      </c>
      <c r="S56" s="2"/>
      <c r="T56" s="6">
        <v>166.54</v>
      </c>
      <c r="U56" s="2"/>
      <c r="V56" s="7">
        <f t="shared" si="29"/>
        <v>0</v>
      </c>
      <c r="W56" s="2"/>
      <c r="X56" s="6">
        <f t="shared" si="30"/>
        <v>1607.14</v>
      </c>
      <c r="Y56" s="2"/>
      <c r="Z56" s="7">
        <f t="shared" si="31"/>
        <v>9.6501741323405792</v>
      </c>
    </row>
    <row r="57" spans="1:26" s="29" customFormat="1" outlineLevel="1" collapsed="1" x14ac:dyDescent="0.3">
      <c r="A57" s="27"/>
      <c r="B57" s="14" t="str">
        <f>CONCATENATE("     ","Insurance                                         ")</f>
        <v xml:space="preserve">     Insurance                                         </v>
      </c>
      <c r="C57" s="14"/>
      <c r="D57" s="1">
        <f>SUM(OSRRefD22_11x_0)</f>
        <v>535.05999999999995</v>
      </c>
      <c r="E57" s="1"/>
      <c r="F57" s="5">
        <f t="shared" si="24"/>
        <v>0</v>
      </c>
      <c r="G57" s="1"/>
      <c r="H57" s="1">
        <f>SUM(OSRRefH22_11x_0)</f>
        <v>393.67</v>
      </c>
      <c r="I57" s="1"/>
      <c r="J57" s="5">
        <f t="shared" si="25"/>
        <v>0</v>
      </c>
      <c r="K57" s="1"/>
      <c r="L57" s="1">
        <f t="shared" si="26"/>
        <v>141.38999999999993</v>
      </c>
      <c r="M57" s="1"/>
      <c r="N57" s="5">
        <f t="shared" si="27"/>
        <v>0.35915868620926139</v>
      </c>
      <c r="O57" s="14"/>
      <c r="P57" s="1">
        <f>SUM(OSRRefP22_11x_0)</f>
        <v>3210.36</v>
      </c>
      <c r="Q57" s="1"/>
      <c r="R57" s="5">
        <f t="shared" si="28"/>
        <v>0</v>
      </c>
      <c r="S57" s="1"/>
      <c r="T57" s="1">
        <f>SUM(OSRRefT22_11x_0)</f>
        <v>2362.02</v>
      </c>
      <c r="U57" s="1"/>
      <c r="V57" s="5">
        <f t="shared" si="29"/>
        <v>0</v>
      </c>
      <c r="W57" s="1"/>
      <c r="X57" s="1">
        <f t="shared" si="30"/>
        <v>848.34000000000015</v>
      </c>
      <c r="Y57" s="1"/>
      <c r="Z57" s="5">
        <f t="shared" si="31"/>
        <v>0.35915868620926161</v>
      </c>
    </row>
    <row r="58" spans="1:26" s="24" customFormat="1" hidden="1" outlineLevel="2" x14ac:dyDescent="0.3">
      <c r="A58" s="28"/>
      <c r="B58" s="11" t="str">
        <f>CONCATENATE("          ", "6314", " - ", "LIABILITY INSURANCE")</f>
        <v xml:space="preserve">          6314 - LIABILITY INSURANCE</v>
      </c>
      <c r="C58" s="11"/>
      <c r="D58" s="6">
        <v>535.05999999999995</v>
      </c>
      <c r="E58" s="2"/>
      <c r="F58" s="7">
        <f t="shared" si="24"/>
        <v>0</v>
      </c>
      <c r="G58" s="2"/>
      <c r="H58" s="6">
        <v>393.67</v>
      </c>
      <c r="I58" s="2"/>
      <c r="J58" s="7">
        <f t="shared" si="25"/>
        <v>0</v>
      </c>
      <c r="K58" s="2"/>
      <c r="L58" s="6">
        <f t="shared" si="26"/>
        <v>141.38999999999993</v>
      </c>
      <c r="M58" s="2"/>
      <c r="N58" s="7">
        <f t="shared" si="27"/>
        <v>0.35915868620926139</v>
      </c>
      <c r="O58" s="11"/>
      <c r="P58" s="6">
        <v>3210.36</v>
      </c>
      <c r="Q58" s="2"/>
      <c r="R58" s="7">
        <f t="shared" si="28"/>
        <v>0</v>
      </c>
      <c r="S58" s="2"/>
      <c r="T58" s="6">
        <v>2362.02</v>
      </c>
      <c r="U58" s="2"/>
      <c r="V58" s="7">
        <f t="shared" si="29"/>
        <v>0</v>
      </c>
      <c r="W58" s="2"/>
      <c r="X58" s="6">
        <f t="shared" si="30"/>
        <v>848.34000000000015</v>
      </c>
      <c r="Y58" s="2"/>
      <c r="Z58" s="7">
        <f t="shared" si="31"/>
        <v>0.35915868620926161</v>
      </c>
    </row>
    <row r="59" spans="1:26" s="29" customFormat="1" outlineLevel="1" collapsed="1" x14ac:dyDescent="0.3">
      <c r="A59" s="27"/>
      <c r="B59" s="14" t="str">
        <f>CONCATENATE("     ","Professional Services                             ")</f>
        <v xml:space="preserve">     Professional Services                             </v>
      </c>
      <c r="C59" s="14"/>
      <c r="D59" s="1">
        <f>SUM(OSRRefD22_12x_0)</f>
        <v>693.21</v>
      </c>
      <c r="E59" s="1"/>
      <c r="F59" s="5">
        <f t="shared" si="24"/>
        <v>0</v>
      </c>
      <c r="G59" s="1"/>
      <c r="H59" s="1">
        <f>SUM(OSRRefH22_12x_0)</f>
        <v>13804.86</v>
      </c>
      <c r="I59" s="1"/>
      <c r="J59" s="5">
        <f t="shared" si="25"/>
        <v>0</v>
      </c>
      <c r="K59" s="1"/>
      <c r="L59" s="1">
        <f t="shared" si="26"/>
        <v>-13111.650000000001</v>
      </c>
      <c r="M59" s="1"/>
      <c r="N59" s="5">
        <f t="shared" si="27"/>
        <v>-0.94978507569073511</v>
      </c>
      <c r="O59" s="14"/>
      <c r="P59" s="1">
        <f>SUM(OSRRefP22_12x_0)</f>
        <v>83008.08</v>
      </c>
      <c r="Q59" s="1"/>
      <c r="R59" s="5">
        <f t="shared" si="28"/>
        <v>0</v>
      </c>
      <c r="S59" s="1"/>
      <c r="T59" s="1">
        <f>SUM(OSRRefT22_12x_0)</f>
        <v>78693.320000000007</v>
      </c>
      <c r="U59" s="1"/>
      <c r="V59" s="5">
        <f t="shared" si="29"/>
        <v>0</v>
      </c>
      <c r="W59" s="1"/>
      <c r="X59" s="1">
        <f t="shared" si="30"/>
        <v>4314.7599999999948</v>
      </c>
      <c r="Y59" s="1"/>
      <c r="Z59" s="5">
        <f t="shared" si="31"/>
        <v>5.4830066897673072E-2</v>
      </c>
    </row>
    <row r="60" spans="1:26" s="24" customFormat="1" hidden="1" outlineLevel="2" x14ac:dyDescent="0.3">
      <c r="A60" s="28"/>
      <c r="B60" s="11" t="str">
        <f>CONCATENATE("          ", "6331", " - ", "INDIRECT COSTS-AUXILIARY ORGAN")</f>
        <v xml:space="preserve">          6331 - INDIRECT COSTS-AUXILIARY ORGAN</v>
      </c>
      <c r="C60" s="11"/>
      <c r="D60" s="6"/>
      <c r="E60" s="2"/>
      <c r="F60" s="7">
        <f t="shared" si="24"/>
        <v>0</v>
      </c>
      <c r="G60" s="2"/>
      <c r="H60" s="6">
        <v>12850</v>
      </c>
      <c r="I60" s="2"/>
      <c r="J60" s="7">
        <f t="shared" si="25"/>
        <v>0</v>
      </c>
      <c r="K60" s="2"/>
      <c r="L60" s="6">
        <f t="shared" si="26"/>
        <v>-12850</v>
      </c>
      <c r="M60" s="2"/>
      <c r="N60" s="7">
        <f t="shared" si="27"/>
        <v>-1</v>
      </c>
      <c r="O60" s="11"/>
      <c r="P60" s="6">
        <v>69175.5</v>
      </c>
      <c r="Q60" s="2"/>
      <c r="R60" s="7">
        <f t="shared" si="28"/>
        <v>0</v>
      </c>
      <c r="S60" s="2"/>
      <c r="T60" s="6">
        <v>69246.5</v>
      </c>
      <c r="U60" s="2"/>
      <c r="V60" s="7">
        <f t="shared" si="29"/>
        <v>0</v>
      </c>
      <c r="W60" s="2"/>
      <c r="X60" s="6">
        <f t="shared" si="30"/>
        <v>-71</v>
      </c>
      <c r="Y60" s="2"/>
      <c r="Z60" s="7">
        <f t="shared" si="31"/>
        <v>-1.0253225794805514E-3</v>
      </c>
    </row>
    <row r="61" spans="1:26" s="24" customFormat="1" hidden="1" outlineLevel="2" x14ac:dyDescent="0.3">
      <c r="A61" s="28"/>
      <c r="B61" s="11" t="str">
        <f>CONCATENATE("          ", "6334", " - ", "LEGAL COUNCIL EXPENSE")</f>
        <v xml:space="preserve">          6334 - LEGAL COUNCIL EXPENSE</v>
      </c>
      <c r="C61" s="11"/>
      <c r="D61" s="6"/>
      <c r="E61" s="2"/>
      <c r="F61" s="7">
        <f t="shared" si="24"/>
        <v>0</v>
      </c>
      <c r="G61" s="2"/>
      <c r="H61" s="6">
        <v>954.86</v>
      </c>
      <c r="I61" s="2"/>
      <c r="J61" s="7">
        <f t="shared" si="25"/>
        <v>0</v>
      </c>
      <c r="K61" s="2"/>
      <c r="L61" s="6">
        <f t="shared" si="26"/>
        <v>-954.86</v>
      </c>
      <c r="M61" s="2"/>
      <c r="N61" s="7">
        <f t="shared" si="27"/>
        <v>-1</v>
      </c>
      <c r="O61" s="11"/>
      <c r="P61" s="6">
        <v>3455</v>
      </c>
      <c r="Q61" s="2"/>
      <c r="R61" s="7">
        <f t="shared" si="28"/>
        <v>0</v>
      </c>
      <c r="S61" s="2"/>
      <c r="T61" s="6">
        <v>5029.24</v>
      </c>
      <c r="U61" s="2"/>
      <c r="V61" s="7">
        <f t="shared" si="29"/>
        <v>0</v>
      </c>
      <c r="W61" s="2"/>
      <c r="X61" s="6">
        <f t="shared" si="30"/>
        <v>-1574.2399999999998</v>
      </c>
      <c r="Y61" s="2"/>
      <c r="Z61" s="7">
        <f t="shared" si="31"/>
        <v>-0.31301747381314071</v>
      </c>
    </row>
    <row r="62" spans="1:26" s="24" customFormat="1" hidden="1" outlineLevel="2" x14ac:dyDescent="0.3">
      <c r="A62" s="28"/>
      <c r="B62" s="11" t="str">
        <f>CONCATENATE("          ", "6336", " - ", "PROFESSIONAL SERVICES")</f>
        <v xml:space="preserve">          6336 - PROFESSIONAL SERVICES</v>
      </c>
      <c r="C62" s="11"/>
      <c r="D62" s="6">
        <v>693.21</v>
      </c>
      <c r="E62" s="2"/>
      <c r="F62" s="7">
        <f t="shared" si="24"/>
        <v>0</v>
      </c>
      <c r="G62" s="2"/>
      <c r="H62" s="6"/>
      <c r="I62" s="2"/>
      <c r="J62" s="7">
        <f t="shared" si="25"/>
        <v>0</v>
      </c>
      <c r="K62" s="2"/>
      <c r="L62" s="6">
        <f t="shared" si="26"/>
        <v>693.21</v>
      </c>
      <c r="M62" s="2"/>
      <c r="N62" s="7">
        <f t="shared" si="27"/>
        <v>0</v>
      </c>
      <c r="O62" s="11"/>
      <c r="P62" s="6">
        <v>10377.58</v>
      </c>
      <c r="Q62" s="2"/>
      <c r="R62" s="7">
        <f t="shared" si="28"/>
        <v>0</v>
      </c>
      <c r="S62" s="2"/>
      <c r="T62" s="6">
        <v>4417.58</v>
      </c>
      <c r="U62" s="2"/>
      <c r="V62" s="7">
        <f t="shared" si="29"/>
        <v>0</v>
      </c>
      <c r="W62" s="2"/>
      <c r="X62" s="6">
        <f t="shared" si="30"/>
        <v>5960</v>
      </c>
      <c r="Y62" s="2"/>
      <c r="Z62" s="7">
        <f t="shared" si="31"/>
        <v>1.3491549671992358</v>
      </c>
    </row>
    <row r="63" spans="1:26" s="29" customFormat="1" outlineLevel="1" collapsed="1" x14ac:dyDescent="0.3">
      <c r="A63" s="27"/>
      <c r="B63" s="14" t="str">
        <f>CONCATENATE("     ","Repair and Maintenance                            ")</f>
        <v xml:space="preserve">     Repair and Maintenance                            </v>
      </c>
      <c r="C63" s="14"/>
      <c r="D63" s="1">
        <f>SUM(OSRRefD22_13x_0)</f>
        <v>22454.78</v>
      </c>
      <c r="E63" s="1"/>
      <c r="F63" s="5">
        <f t="shared" ref="F63:F67" si="32">IF(D$12=0,0,D63/D$12)</f>
        <v>0</v>
      </c>
      <c r="G63" s="1"/>
      <c r="H63" s="1">
        <f>SUM(OSRRefH22_13x_0)</f>
        <v>17905.829999999998</v>
      </c>
      <c r="I63" s="1"/>
      <c r="J63" s="5">
        <f t="shared" ref="J63:J67" si="33">IF(H$12=0,0,H63/H$12)</f>
        <v>0</v>
      </c>
      <c r="K63" s="1"/>
      <c r="L63" s="1">
        <f t="shared" ref="L63:L67" si="34">+D63-H63</f>
        <v>4548.9500000000007</v>
      </c>
      <c r="M63" s="1"/>
      <c r="N63" s="5">
        <f t="shared" ref="N63:N67" si="35">IF(H63=0,0,L63/H63)</f>
        <v>0.25404854173193875</v>
      </c>
      <c r="O63" s="14"/>
      <c r="P63" s="1">
        <f>SUM(OSRRefP22_13x_0)</f>
        <v>113879.94</v>
      </c>
      <c r="Q63" s="1"/>
      <c r="R63" s="5">
        <f t="shared" ref="R63:R67" si="36">IF(P$12=0,0,P63/P$12)</f>
        <v>0</v>
      </c>
      <c r="S63" s="1"/>
      <c r="T63" s="1">
        <f>SUM(OSRRefT22_13x_0)</f>
        <v>116821.90999999999</v>
      </c>
      <c r="U63" s="1"/>
      <c r="V63" s="5">
        <f t="shared" ref="V63:V67" si="37">IF(T$12=0,0,T63/T$12)</f>
        <v>0</v>
      </c>
      <c r="W63" s="1"/>
      <c r="X63" s="1">
        <f t="shared" ref="X63:X67" si="38">+P63-T63</f>
        <v>-2941.9699999999866</v>
      </c>
      <c r="Y63" s="1"/>
      <c r="Z63" s="5">
        <f t="shared" ref="Z63:Z67" si="39">IF(T63=0,0,X63/T63)</f>
        <v>-2.5183375276093215E-2</v>
      </c>
    </row>
    <row r="64" spans="1:26" s="24" customFormat="1" hidden="1" outlineLevel="2" x14ac:dyDescent="0.3">
      <c r="A64" s="28"/>
      <c r="B64" s="11" t="str">
        <f>CONCATENATE("          ", "6371", " - ", "COMPUTER SOFTWARE MAINTENANCE")</f>
        <v xml:space="preserve">          6371 - COMPUTER SOFTWARE MAINTENANCE</v>
      </c>
      <c r="C64" s="11"/>
      <c r="D64" s="6">
        <v>8214.92</v>
      </c>
      <c r="E64" s="2"/>
      <c r="F64" s="7">
        <f t="shared" si="32"/>
        <v>0</v>
      </c>
      <c r="G64" s="2"/>
      <c r="H64" s="6">
        <v>2990.93</v>
      </c>
      <c r="I64" s="2"/>
      <c r="J64" s="7">
        <f t="shared" si="33"/>
        <v>0</v>
      </c>
      <c r="K64" s="2"/>
      <c r="L64" s="6">
        <f t="shared" si="34"/>
        <v>5223.99</v>
      </c>
      <c r="M64" s="2"/>
      <c r="N64" s="7">
        <f t="shared" si="35"/>
        <v>1.7466105860050218</v>
      </c>
      <c r="O64" s="11"/>
      <c r="P64" s="6">
        <v>36402.33</v>
      </c>
      <c r="Q64" s="2"/>
      <c r="R64" s="7">
        <f t="shared" si="36"/>
        <v>0</v>
      </c>
      <c r="S64" s="2"/>
      <c r="T64" s="6">
        <v>26193.61</v>
      </c>
      <c r="U64" s="2"/>
      <c r="V64" s="7">
        <f t="shared" si="37"/>
        <v>0</v>
      </c>
      <c r="W64" s="2"/>
      <c r="X64" s="6">
        <f t="shared" si="38"/>
        <v>10208.720000000001</v>
      </c>
      <c r="Y64" s="2"/>
      <c r="Z64" s="7">
        <f t="shared" si="39"/>
        <v>0.38974085664404412</v>
      </c>
    </row>
    <row r="65" spans="1:26" s="24" customFormat="1" hidden="1" outlineLevel="2" x14ac:dyDescent="0.3">
      <c r="A65" s="28"/>
      <c r="B65" s="11" t="str">
        <f>CONCATENATE("          ", "6372", " - ", "COMPUTER HARDWARE MAINTENANCE")</f>
        <v xml:space="preserve">          6372 - COMPUTER HARDWARE MAINTENANCE</v>
      </c>
      <c r="C65" s="11"/>
      <c r="D65" s="6">
        <v>3752.4</v>
      </c>
      <c r="E65" s="2"/>
      <c r="F65" s="7">
        <f t="shared" si="32"/>
        <v>0</v>
      </c>
      <c r="G65" s="2"/>
      <c r="H65" s="6"/>
      <c r="I65" s="2"/>
      <c r="J65" s="7">
        <f t="shared" si="33"/>
        <v>0</v>
      </c>
      <c r="K65" s="2"/>
      <c r="L65" s="6">
        <f t="shared" si="34"/>
        <v>3752.4</v>
      </c>
      <c r="M65" s="2"/>
      <c r="N65" s="7">
        <f t="shared" si="35"/>
        <v>0</v>
      </c>
      <c r="O65" s="11"/>
      <c r="P65" s="6">
        <v>4760.47</v>
      </c>
      <c r="Q65" s="2"/>
      <c r="R65" s="7">
        <f t="shared" si="36"/>
        <v>0</v>
      </c>
      <c r="S65" s="2"/>
      <c r="T65" s="6"/>
      <c r="U65" s="2"/>
      <c r="V65" s="7">
        <f t="shared" si="37"/>
        <v>0</v>
      </c>
      <c r="W65" s="2"/>
      <c r="X65" s="6">
        <f t="shared" si="38"/>
        <v>4760.47</v>
      </c>
      <c r="Y65" s="2"/>
      <c r="Z65" s="7">
        <f t="shared" si="39"/>
        <v>0</v>
      </c>
    </row>
    <row r="66" spans="1:26" s="24" customFormat="1" hidden="1" outlineLevel="2" x14ac:dyDescent="0.3">
      <c r="A66" s="28"/>
      <c r="B66" s="11" t="str">
        <f>CONCATENATE("          ", "6373", " - ", "MAINTENANCE CONTRACTS")</f>
        <v xml:space="preserve">          6373 - MAINTENANCE CONTRACTS</v>
      </c>
      <c r="C66" s="11"/>
      <c r="D66" s="6">
        <v>10487.46</v>
      </c>
      <c r="E66" s="2"/>
      <c r="F66" s="7">
        <f t="shared" si="32"/>
        <v>0</v>
      </c>
      <c r="G66" s="2"/>
      <c r="H66" s="6">
        <v>14914.9</v>
      </c>
      <c r="I66" s="2"/>
      <c r="J66" s="7">
        <f t="shared" si="33"/>
        <v>0</v>
      </c>
      <c r="K66" s="2"/>
      <c r="L66" s="6">
        <f t="shared" si="34"/>
        <v>-4427.4400000000005</v>
      </c>
      <c r="M66" s="2"/>
      <c r="N66" s="7">
        <f t="shared" si="35"/>
        <v>-0.2968467773836902</v>
      </c>
      <c r="O66" s="11"/>
      <c r="P66" s="6">
        <v>70877.87</v>
      </c>
      <c r="Q66" s="2"/>
      <c r="R66" s="7">
        <f t="shared" si="36"/>
        <v>0</v>
      </c>
      <c r="S66" s="2"/>
      <c r="T66" s="6">
        <v>88458.01</v>
      </c>
      <c r="U66" s="2"/>
      <c r="V66" s="7">
        <f t="shared" si="37"/>
        <v>0</v>
      </c>
      <c r="W66" s="2"/>
      <c r="X66" s="6">
        <f t="shared" si="38"/>
        <v>-17580.14</v>
      </c>
      <c r="Y66" s="2"/>
      <c r="Z66" s="7">
        <f t="shared" si="39"/>
        <v>-0.19873994452283067</v>
      </c>
    </row>
    <row r="67" spans="1:26" s="24" customFormat="1" hidden="1" outlineLevel="2" x14ac:dyDescent="0.3">
      <c r="A67" s="28"/>
      <c r="B67" s="11" t="str">
        <f>CONCATENATE("          ", "6375", " - ", "OUTSIDE REPAIRS &amp; MAINTENANCE")</f>
        <v xml:space="preserve">          6375 - OUTSIDE REPAIRS &amp; MAINTENANCE</v>
      </c>
      <c r="C67" s="11"/>
      <c r="D67" s="6"/>
      <c r="E67" s="2"/>
      <c r="F67" s="7">
        <f t="shared" si="32"/>
        <v>0</v>
      </c>
      <c r="G67" s="2"/>
      <c r="H67" s="6"/>
      <c r="I67" s="2"/>
      <c r="J67" s="7">
        <f t="shared" si="33"/>
        <v>0</v>
      </c>
      <c r="K67" s="2"/>
      <c r="L67" s="6">
        <f t="shared" si="34"/>
        <v>0</v>
      </c>
      <c r="M67" s="2"/>
      <c r="N67" s="7">
        <f t="shared" si="35"/>
        <v>0</v>
      </c>
      <c r="O67" s="11"/>
      <c r="P67" s="6">
        <v>1839.27</v>
      </c>
      <c r="Q67" s="2"/>
      <c r="R67" s="7">
        <f t="shared" si="36"/>
        <v>0</v>
      </c>
      <c r="S67" s="2"/>
      <c r="T67" s="6">
        <v>2170.29</v>
      </c>
      <c r="U67" s="2"/>
      <c r="V67" s="7">
        <f t="shared" si="37"/>
        <v>0</v>
      </c>
      <c r="W67" s="2"/>
      <c r="X67" s="6">
        <f t="shared" si="38"/>
        <v>-331.02</v>
      </c>
      <c r="Y67" s="2"/>
      <c r="Z67" s="7">
        <f t="shared" si="39"/>
        <v>-0.15252339549092517</v>
      </c>
    </row>
    <row r="68" spans="1:26" s="29" customFormat="1" outlineLevel="1" collapsed="1" x14ac:dyDescent="0.3">
      <c r="A68" s="27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SUM(OSRRefD22_14x_0)</f>
        <v>657.38</v>
      </c>
      <c r="E68" s="1"/>
      <c r="F68" s="5">
        <f t="shared" ref="F68:F77" si="40">IF(D$12=0,0,D68/D$12)</f>
        <v>0</v>
      </c>
      <c r="G68" s="1"/>
      <c r="H68" s="1">
        <f>SUM(OSRRefH22_14x_0)</f>
        <v>512.48</v>
      </c>
      <c r="I68" s="1"/>
      <c r="J68" s="5">
        <f t="shared" ref="J68:J77" si="41">IF(H$12=0,0,H68/H$12)</f>
        <v>0</v>
      </c>
      <c r="K68" s="1"/>
      <c r="L68" s="1">
        <f t="shared" ref="L68:L77" si="42">+D68-H68</f>
        <v>144.89999999999998</v>
      </c>
      <c r="M68" s="1"/>
      <c r="N68" s="5">
        <f t="shared" ref="N68:N77" si="43">IF(H68=0,0,L68/H68)</f>
        <v>0.28274274118014359</v>
      </c>
      <c r="O68" s="14"/>
      <c r="P68" s="1">
        <f>SUM(OSRRefP22_14x_0)</f>
        <v>3997.41</v>
      </c>
      <c r="Q68" s="1"/>
      <c r="R68" s="5">
        <f t="shared" ref="R68:R77" si="44">IF(P$12=0,0,P68/P$12)</f>
        <v>0</v>
      </c>
      <c r="S68" s="1"/>
      <c r="T68" s="1">
        <f>SUM(OSRRefT22_14x_0)</f>
        <v>3074.88</v>
      </c>
      <c r="U68" s="1"/>
      <c r="V68" s="5">
        <f t="shared" ref="V68:V77" si="45">IF(T$12=0,0,T68/T$12)</f>
        <v>0</v>
      </c>
      <c r="W68" s="1"/>
      <c r="X68" s="1">
        <f t="shared" ref="X68:X77" si="46">+P68-T68</f>
        <v>922.52999999999975</v>
      </c>
      <c r="Y68" s="1"/>
      <c r="Z68" s="5">
        <f t="shared" ref="Z68:Z77" si="47">IF(T68=0,0,X68/T68)</f>
        <v>0.30002146425226339</v>
      </c>
    </row>
    <row r="69" spans="1:26" s="24" customFormat="1" hidden="1" outlineLevel="2" x14ac:dyDescent="0.3">
      <c r="A69" s="28"/>
      <c r="B69" s="11" t="str">
        <f>CONCATENATE("          ", "6281", " - ", "STORAGE FEE")</f>
        <v xml:space="preserve">          6281 - STORAGE FEE</v>
      </c>
      <c r="C69" s="11"/>
      <c r="D69" s="6">
        <v>657.38</v>
      </c>
      <c r="E69" s="2"/>
      <c r="F69" s="7">
        <f t="shared" si="40"/>
        <v>0</v>
      </c>
      <c r="G69" s="2"/>
      <c r="H69" s="6">
        <v>512.48</v>
      </c>
      <c r="I69" s="2"/>
      <c r="J69" s="7">
        <f t="shared" si="41"/>
        <v>0</v>
      </c>
      <c r="K69" s="2"/>
      <c r="L69" s="6">
        <f t="shared" si="42"/>
        <v>144.89999999999998</v>
      </c>
      <c r="M69" s="2"/>
      <c r="N69" s="7">
        <f t="shared" si="43"/>
        <v>0.28274274118014359</v>
      </c>
      <c r="O69" s="11"/>
      <c r="P69" s="6">
        <v>3997.41</v>
      </c>
      <c r="Q69" s="2"/>
      <c r="R69" s="7">
        <f t="shared" si="44"/>
        <v>0</v>
      </c>
      <c r="S69" s="2"/>
      <c r="T69" s="6">
        <v>3074.88</v>
      </c>
      <c r="U69" s="2"/>
      <c r="V69" s="7">
        <f t="shared" si="45"/>
        <v>0</v>
      </c>
      <c r="W69" s="2"/>
      <c r="X69" s="6">
        <f t="shared" si="46"/>
        <v>922.52999999999975</v>
      </c>
      <c r="Y69" s="2"/>
      <c r="Z69" s="7">
        <f t="shared" si="47"/>
        <v>0.30002146425226339</v>
      </c>
    </row>
    <row r="70" spans="1:26" s="29" customFormat="1" outlineLevel="1" collapsed="1" x14ac:dyDescent="0.3">
      <c r="A70" s="27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1">
        <f>SUM(OSRRefD22_15x_0)</f>
        <v>795</v>
      </c>
      <c r="E70" s="1"/>
      <c r="F70" s="5">
        <f t="shared" si="40"/>
        <v>0</v>
      </c>
      <c r="G70" s="1"/>
      <c r="H70" s="1">
        <f>SUM(OSRRefH22_15x_0)</f>
        <v>0</v>
      </c>
      <c r="I70" s="1"/>
      <c r="J70" s="5">
        <f t="shared" si="41"/>
        <v>0</v>
      </c>
      <c r="K70" s="1"/>
      <c r="L70" s="1">
        <f t="shared" si="42"/>
        <v>795</v>
      </c>
      <c r="M70" s="1"/>
      <c r="N70" s="5">
        <f t="shared" si="43"/>
        <v>0</v>
      </c>
      <c r="O70" s="14"/>
      <c r="P70" s="1">
        <f>SUM(OSRRefP22_15x_0)</f>
        <v>2452</v>
      </c>
      <c r="Q70" s="1"/>
      <c r="R70" s="5">
        <f t="shared" si="44"/>
        <v>0</v>
      </c>
      <c r="S70" s="1"/>
      <c r="T70" s="1">
        <f>SUM(OSRRefT22_15x_0)</f>
        <v>2259.9899999999998</v>
      </c>
      <c r="U70" s="1"/>
      <c r="V70" s="5">
        <f t="shared" si="45"/>
        <v>0</v>
      </c>
      <c r="W70" s="1"/>
      <c r="X70" s="1">
        <f t="shared" si="46"/>
        <v>192.01000000000022</v>
      </c>
      <c r="Y70" s="1"/>
      <c r="Z70" s="5">
        <f t="shared" si="47"/>
        <v>8.496055292280065E-2</v>
      </c>
    </row>
    <row r="71" spans="1:26" s="24" customFormat="1" hidden="1" outlineLevel="2" x14ac:dyDescent="0.3">
      <c r="A71" s="28"/>
      <c r="B71" s="11" t="str">
        <f>CONCATENATE("          ", "6258", " - ", "MEMBERSHIP DUES")</f>
        <v xml:space="preserve">          6258 - MEMBERSHIP DUES</v>
      </c>
      <c r="C71" s="11"/>
      <c r="D71" s="6">
        <v>795</v>
      </c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795</v>
      </c>
      <c r="M71" s="2"/>
      <c r="N71" s="7">
        <f t="shared" si="43"/>
        <v>0</v>
      </c>
      <c r="O71" s="11"/>
      <c r="P71" s="6">
        <v>2452</v>
      </c>
      <c r="Q71" s="2"/>
      <c r="R71" s="7">
        <f t="shared" si="44"/>
        <v>0</v>
      </c>
      <c r="S71" s="2"/>
      <c r="T71" s="6">
        <v>2259.9899999999998</v>
      </c>
      <c r="U71" s="2"/>
      <c r="V71" s="7">
        <f t="shared" si="45"/>
        <v>0</v>
      </c>
      <c r="W71" s="2"/>
      <c r="X71" s="6">
        <f t="shared" si="46"/>
        <v>192.01000000000022</v>
      </c>
      <c r="Y71" s="2"/>
      <c r="Z71" s="7">
        <f t="shared" si="47"/>
        <v>8.496055292280065E-2</v>
      </c>
    </row>
    <row r="72" spans="1:26" s="29" customFormat="1" outlineLevel="1" collapsed="1" x14ac:dyDescent="0.3">
      <c r="A72" s="27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SUM(OSRRefD22_16x_0)</f>
        <v>896.77</v>
      </c>
      <c r="E72" s="1"/>
      <c r="F72" s="5">
        <f t="shared" si="40"/>
        <v>0</v>
      </c>
      <c r="G72" s="1"/>
      <c r="H72" s="1">
        <f>SUM(OSRRefH22_16x_0)</f>
        <v>308.95</v>
      </c>
      <c r="I72" s="1"/>
      <c r="J72" s="5">
        <f t="shared" si="41"/>
        <v>0</v>
      </c>
      <c r="K72" s="1"/>
      <c r="L72" s="1">
        <f t="shared" si="42"/>
        <v>587.81999999999994</v>
      </c>
      <c r="M72" s="1"/>
      <c r="N72" s="5">
        <f t="shared" si="43"/>
        <v>1.9026379673086258</v>
      </c>
      <c r="O72" s="14"/>
      <c r="P72" s="1">
        <f>SUM(OSRRefP22_16x_0)</f>
        <v>11406.460000000001</v>
      </c>
      <c r="Q72" s="1"/>
      <c r="R72" s="5">
        <f t="shared" si="44"/>
        <v>0</v>
      </c>
      <c r="S72" s="1"/>
      <c r="T72" s="1">
        <f>SUM(OSRRefT22_16x_0)</f>
        <v>-73.579999999999956</v>
      </c>
      <c r="U72" s="1"/>
      <c r="V72" s="5">
        <f t="shared" si="45"/>
        <v>0</v>
      </c>
      <c r="W72" s="1"/>
      <c r="X72" s="1">
        <f t="shared" si="46"/>
        <v>11480.04</v>
      </c>
      <c r="Y72" s="1"/>
      <c r="Z72" s="5">
        <f t="shared" si="47"/>
        <v>-156.02120141342766</v>
      </c>
    </row>
    <row r="73" spans="1:26" s="24" customFormat="1" hidden="1" outlineLevel="2" x14ac:dyDescent="0.3">
      <c r="A73" s="28"/>
      <c r="B73" s="11" t="str">
        <f>CONCATENATE("          ", "6234", " - ", "EXPENDABLE SUPPLIES &amp; EQUIPMEN")</f>
        <v xml:space="preserve">          6234 - EXPENDABLE SUPPLIES &amp; EQUIPMEN</v>
      </c>
      <c r="C73" s="11"/>
      <c r="D73" s="6"/>
      <c r="E73" s="2"/>
      <c r="F73" s="7">
        <f t="shared" si="40"/>
        <v>0</v>
      </c>
      <c r="G73" s="2"/>
      <c r="H73" s="6"/>
      <c r="I73" s="2"/>
      <c r="J73" s="7">
        <f t="shared" si="41"/>
        <v>0</v>
      </c>
      <c r="K73" s="2"/>
      <c r="L73" s="6">
        <f t="shared" si="42"/>
        <v>0</v>
      </c>
      <c r="M73" s="2"/>
      <c r="N73" s="7">
        <f t="shared" si="43"/>
        <v>0</v>
      </c>
      <c r="O73" s="11"/>
      <c r="P73" s="6">
        <v>26.1</v>
      </c>
      <c r="Q73" s="2"/>
      <c r="R73" s="7">
        <f t="shared" si="44"/>
        <v>0</v>
      </c>
      <c r="S73" s="2"/>
      <c r="T73" s="6"/>
      <c r="U73" s="2"/>
      <c r="V73" s="7">
        <f t="shared" si="45"/>
        <v>0</v>
      </c>
      <c r="W73" s="2"/>
      <c r="X73" s="6">
        <f t="shared" si="46"/>
        <v>26.1</v>
      </c>
      <c r="Y73" s="2"/>
      <c r="Z73" s="7">
        <f t="shared" si="47"/>
        <v>0</v>
      </c>
    </row>
    <row r="74" spans="1:26" s="24" customFormat="1" hidden="1" outlineLevel="2" x14ac:dyDescent="0.3">
      <c r="A74" s="28"/>
      <c r="B74" s="11" t="str">
        <f>CONCATENATE("          ", "6235", " - ", "COVID-19 EXPENSES")</f>
        <v xml:space="preserve">          6235 - COVID-19 EXPENSES</v>
      </c>
      <c r="C74" s="11"/>
      <c r="D74" s="6"/>
      <c r="E74" s="2"/>
      <c r="F74" s="7">
        <f t="shared" si="40"/>
        <v>0</v>
      </c>
      <c r="G74" s="2"/>
      <c r="H74" s="6"/>
      <c r="I74" s="2"/>
      <c r="J74" s="7">
        <f t="shared" si="41"/>
        <v>0</v>
      </c>
      <c r="K74" s="2"/>
      <c r="L74" s="6">
        <f t="shared" si="42"/>
        <v>0</v>
      </c>
      <c r="M74" s="2"/>
      <c r="N74" s="7">
        <f t="shared" si="43"/>
        <v>0</v>
      </c>
      <c r="O74" s="11"/>
      <c r="P74" s="6">
        <v>2447.77</v>
      </c>
      <c r="Q74" s="2"/>
      <c r="R74" s="7">
        <f t="shared" si="44"/>
        <v>0</v>
      </c>
      <c r="S74" s="2"/>
      <c r="T74" s="6">
        <v>810.3</v>
      </c>
      <c r="U74" s="2"/>
      <c r="V74" s="7">
        <f t="shared" si="45"/>
        <v>0</v>
      </c>
      <c r="W74" s="2"/>
      <c r="X74" s="6">
        <f t="shared" si="46"/>
        <v>1637.47</v>
      </c>
      <c r="Y74" s="2"/>
      <c r="Z74" s="7">
        <f t="shared" si="47"/>
        <v>2.0208194495865732</v>
      </c>
    </row>
    <row r="75" spans="1:26" s="24" customFormat="1" hidden="1" outlineLevel="2" x14ac:dyDescent="0.3">
      <c r="A75" s="28"/>
      <c r="B75" s="11" t="str">
        <f>CONCATENATE("          ", "6241", " - ", "OFFICE EXPENSE")</f>
        <v xml:space="preserve">          6241 - OFFICE EXPENSE</v>
      </c>
      <c r="C75" s="11"/>
      <c r="D75" s="6">
        <v>896.77</v>
      </c>
      <c r="E75" s="2"/>
      <c r="F75" s="7">
        <f t="shared" si="40"/>
        <v>0</v>
      </c>
      <c r="G75" s="2"/>
      <c r="H75" s="6">
        <v>308.95</v>
      </c>
      <c r="I75" s="2"/>
      <c r="J75" s="7">
        <f t="shared" si="41"/>
        <v>0</v>
      </c>
      <c r="K75" s="2"/>
      <c r="L75" s="6">
        <f t="shared" si="42"/>
        <v>587.81999999999994</v>
      </c>
      <c r="M75" s="2"/>
      <c r="N75" s="7">
        <f t="shared" si="43"/>
        <v>1.9026379673086258</v>
      </c>
      <c r="O75" s="11"/>
      <c r="P75" s="6">
        <v>5547.9</v>
      </c>
      <c r="Q75" s="2"/>
      <c r="R75" s="7">
        <f t="shared" si="44"/>
        <v>0</v>
      </c>
      <c r="S75" s="2"/>
      <c r="T75" s="6">
        <v>-1106.5899999999999</v>
      </c>
      <c r="U75" s="2"/>
      <c r="V75" s="7">
        <f t="shared" si="45"/>
        <v>0</v>
      </c>
      <c r="W75" s="2"/>
      <c r="X75" s="6">
        <f t="shared" si="46"/>
        <v>6654.49</v>
      </c>
      <c r="Y75" s="2"/>
      <c r="Z75" s="7">
        <f t="shared" si="47"/>
        <v>-6.0135099720763794</v>
      </c>
    </row>
    <row r="76" spans="1:26" s="24" customFormat="1" hidden="1" outlineLevel="2" x14ac:dyDescent="0.3">
      <c r="A76" s="28"/>
      <c r="B76" s="11" t="str">
        <f>CONCATENATE("          ", "6244", " - ", "SAFETY SUPPLY EXPENSE")</f>
        <v xml:space="preserve">          6244 - SAFETY SUPPLY EXPENSE</v>
      </c>
      <c r="C76" s="11"/>
      <c r="D76" s="6"/>
      <c r="E76" s="2"/>
      <c r="F76" s="7">
        <f t="shared" si="40"/>
        <v>0</v>
      </c>
      <c r="G76" s="2"/>
      <c r="H76" s="6"/>
      <c r="I76" s="2"/>
      <c r="J76" s="7">
        <f t="shared" si="41"/>
        <v>0</v>
      </c>
      <c r="K76" s="2"/>
      <c r="L76" s="6">
        <f t="shared" si="42"/>
        <v>0</v>
      </c>
      <c r="M76" s="2"/>
      <c r="N76" s="7">
        <f t="shared" si="43"/>
        <v>0</v>
      </c>
      <c r="O76" s="11"/>
      <c r="P76" s="6">
        <v>600</v>
      </c>
      <c r="Q76" s="2"/>
      <c r="R76" s="7">
        <f t="shared" si="44"/>
        <v>0</v>
      </c>
      <c r="S76" s="2"/>
      <c r="T76" s="6">
        <v>222.71</v>
      </c>
      <c r="U76" s="2"/>
      <c r="V76" s="7">
        <f t="shared" si="45"/>
        <v>0</v>
      </c>
      <c r="W76" s="2"/>
      <c r="X76" s="6">
        <f t="shared" si="46"/>
        <v>377.28999999999996</v>
      </c>
      <c r="Y76" s="2"/>
      <c r="Z76" s="7">
        <f t="shared" si="47"/>
        <v>1.6940864801760134</v>
      </c>
    </row>
    <row r="77" spans="1:26" s="24" customFormat="1" hidden="1" outlineLevel="2" x14ac:dyDescent="0.3">
      <c r="A77" s="28"/>
      <c r="B77" s="11" t="str">
        <f>CONCATENATE("          ", "6248", " - ", "UNIFORMS")</f>
        <v xml:space="preserve">          6248 - UNIFORMS</v>
      </c>
      <c r="C77" s="11"/>
      <c r="D77" s="6"/>
      <c r="E77" s="2"/>
      <c r="F77" s="7">
        <f t="shared" si="40"/>
        <v>0</v>
      </c>
      <c r="G77" s="2"/>
      <c r="H77" s="6"/>
      <c r="I77" s="2"/>
      <c r="J77" s="7">
        <f t="shared" si="41"/>
        <v>0</v>
      </c>
      <c r="K77" s="2"/>
      <c r="L77" s="6">
        <f t="shared" si="42"/>
        <v>0</v>
      </c>
      <c r="M77" s="2"/>
      <c r="N77" s="7">
        <f t="shared" si="43"/>
        <v>0</v>
      </c>
      <c r="O77" s="11"/>
      <c r="P77" s="6">
        <v>2784.69</v>
      </c>
      <c r="Q77" s="2"/>
      <c r="R77" s="7">
        <f t="shared" si="44"/>
        <v>0</v>
      </c>
      <c r="S77" s="2"/>
      <c r="T77" s="6"/>
      <c r="U77" s="2"/>
      <c r="V77" s="7">
        <f t="shared" si="45"/>
        <v>0</v>
      </c>
      <c r="W77" s="2"/>
      <c r="X77" s="6">
        <f t="shared" si="46"/>
        <v>2784.69</v>
      </c>
      <c r="Y77" s="2"/>
      <c r="Z77" s="7">
        <f t="shared" si="47"/>
        <v>0</v>
      </c>
    </row>
    <row r="78" spans="1:26" s="29" customFormat="1" outlineLevel="1" collapsed="1" x14ac:dyDescent="0.3">
      <c r="A78" s="27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SUM(OSRRefD22_17x_0)</f>
        <v>1567.48</v>
      </c>
      <c r="E78" s="1"/>
      <c r="F78" s="5">
        <f t="shared" ref="F78:F80" si="48">IF(D$12=0,0,D78/D$12)</f>
        <v>0</v>
      </c>
      <c r="G78" s="1"/>
      <c r="H78" s="1">
        <f>SUM(OSRRefH22_17x_0)</f>
        <v>3139.3399999999997</v>
      </c>
      <c r="I78" s="1"/>
      <c r="J78" s="5">
        <f t="shared" ref="J78:J80" si="49">IF(H$12=0,0,H78/H$12)</f>
        <v>0</v>
      </c>
      <c r="K78" s="1"/>
      <c r="L78" s="1">
        <f t="shared" ref="L78:L80" si="50">+D78-H78</f>
        <v>-1571.8599999999997</v>
      </c>
      <c r="M78" s="1"/>
      <c r="N78" s="5">
        <f t="shared" ref="N78:N80" si="51">IF(H78=0,0,L78/H78)</f>
        <v>-0.50069759885835874</v>
      </c>
      <c r="O78" s="14"/>
      <c r="P78" s="1">
        <f>SUM(OSRRefP22_17x_0)</f>
        <v>13783.84</v>
      </c>
      <c r="Q78" s="1"/>
      <c r="R78" s="5">
        <f t="shared" ref="R78:R80" si="52">IF(P$12=0,0,P78/P$12)</f>
        <v>0</v>
      </c>
      <c r="S78" s="1"/>
      <c r="T78" s="1">
        <f>SUM(OSRRefT22_17x_0)</f>
        <v>13185.82</v>
      </c>
      <c r="U78" s="1"/>
      <c r="V78" s="5">
        <f t="shared" ref="V78:V80" si="53">IF(T$12=0,0,T78/T$12)</f>
        <v>0</v>
      </c>
      <c r="W78" s="1"/>
      <c r="X78" s="1">
        <f t="shared" ref="X78:X80" si="54">+P78-T78</f>
        <v>598.02000000000044</v>
      </c>
      <c r="Y78" s="1"/>
      <c r="Z78" s="5">
        <f t="shared" ref="Z78:Z80" si="55">IF(T78=0,0,X78/T78)</f>
        <v>4.5353265856806817E-2</v>
      </c>
    </row>
    <row r="79" spans="1:26" s="24" customFormat="1" hidden="1" outlineLevel="2" x14ac:dyDescent="0.3">
      <c r="A79" s="28"/>
      <c r="B79" s="11" t="str">
        <f>CONCATENATE("          ", "6303", " - ", "DATA PHONE LINES")</f>
        <v xml:space="preserve">          6303 - DATA PHONE LINES</v>
      </c>
      <c r="C79" s="11"/>
      <c r="D79" s="6">
        <v>81.99</v>
      </c>
      <c r="E79" s="2"/>
      <c r="F79" s="7">
        <f t="shared" si="48"/>
        <v>0</v>
      </c>
      <c r="G79" s="2"/>
      <c r="H79" s="6">
        <v>238.97</v>
      </c>
      <c r="I79" s="2"/>
      <c r="J79" s="7">
        <f t="shared" si="49"/>
        <v>0</v>
      </c>
      <c r="K79" s="2"/>
      <c r="L79" s="6">
        <f t="shared" si="50"/>
        <v>-156.98000000000002</v>
      </c>
      <c r="M79" s="2"/>
      <c r="N79" s="7">
        <f t="shared" si="51"/>
        <v>-0.65690254006779103</v>
      </c>
      <c r="O79" s="11"/>
      <c r="P79" s="6">
        <v>909.89</v>
      </c>
      <c r="Q79" s="2"/>
      <c r="R79" s="7">
        <f t="shared" si="52"/>
        <v>0</v>
      </c>
      <c r="S79" s="2"/>
      <c r="T79" s="6">
        <v>764.9</v>
      </c>
      <c r="U79" s="2"/>
      <c r="V79" s="7">
        <f t="shared" si="53"/>
        <v>0</v>
      </c>
      <c r="W79" s="2"/>
      <c r="X79" s="6">
        <f t="shared" si="54"/>
        <v>144.99</v>
      </c>
      <c r="Y79" s="2"/>
      <c r="Z79" s="7">
        <f t="shared" si="55"/>
        <v>0.18955419009020788</v>
      </c>
    </row>
    <row r="80" spans="1:26" s="24" customFormat="1" hidden="1" outlineLevel="2" x14ac:dyDescent="0.3">
      <c r="A80" s="28"/>
      <c r="B80" s="11" t="str">
        <f>CONCATENATE("          ", "6309", " - ", "TELEPHONE")</f>
        <v xml:space="preserve">          6309 - TELEPHONE</v>
      </c>
      <c r="C80" s="11"/>
      <c r="D80" s="6">
        <v>1485.49</v>
      </c>
      <c r="E80" s="2"/>
      <c r="F80" s="7">
        <f t="shared" si="48"/>
        <v>0</v>
      </c>
      <c r="G80" s="2"/>
      <c r="H80" s="6">
        <v>2900.37</v>
      </c>
      <c r="I80" s="2"/>
      <c r="J80" s="7">
        <f t="shared" si="49"/>
        <v>0</v>
      </c>
      <c r="K80" s="2"/>
      <c r="L80" s="6">
        <f t="shared" si="50"/>
        <v>-1414.8799999999999</v>
      </c>
      <c r="M80" s="2"/>
      <c r="N80" s="7">
        <f t="shared" si="51"/>
        <v>-0.48782741512289807</v>
      </c>
      <c r="O80" s="11"/>
      <c r="P80" s="6">
        <v>12873.95</v>
      </c>
      <c r="Q80" s="2"/>
      <c r="R80" s="7">
        <f t="shared" si="52"/>
        <v>0</v>
      </c>
      <c r="S80" s="2"/>
      <c r="T80" s="6">
        <v>12420.92</v>
      </c>
      <c r="U80" s="2"/>
      <c r="V80" s="7">
        <f t="shared" si="53"/>
        <v>0</v>
      </c>
      <c r="W80" s="2"/>
      <c r="X80" s="6">
        <f t="shared" si="54"/>
        <v>453.03000000000065</v>
      </c>
      <c r="Y80" s="2"/>
      <c r="Z80" s="7">
        <f t="shared" si="55"/>
        <v>3.64731436962802E-2</v>
      </c>
    </row>
    <row r="81" spans="1:26" s="29" customFormat="1" outlineLevel="1" collapsed="1" x14ac:dyDescent="0.3">
      <c r="A81" s="27"/>
      <c r="B81" s="14" t="str">
        <f>CONCATENATE("     ","Training                                          ")</f>
        <v xml:space="preserve">     Training                                          </v>
      </c>
      <c r="C81" s="14"/>
      <c r="D81" s="1">
        <f>SUM(OSRRefD22_18x_0)</f>
        <v>99</v>
      </c>
      <c r="E81" s="1"/>
      <c r="F81" s="5">
        <f t="shared" ref="F81:F85" si="56">IF(D$12=0,0,D81/D$12)</f>
        <v>0</v>
      </c>
      <c r="G81" s="1"/>
      <c r="H81" s="1">
        <f>SUM(OSRRefH22_18x_0)</f>
        <v>249</v>
      </c>
      <c r="I81" s="1"/>
      <c r="J81" s="5">
        <f t="shared" ref="J81:J85" si="57">IF(H$12=0,0,H81/H$12)</f>
        <v>0</v>
      </c>
      <c r="K81" s="1"/>
      <c r="L81" s="1">
        <f t="shared" ref="L81:L85" si="58">+D81-H81</f>
        <v>-150</v>
      </c>
      <c r="M81" s="1"/>
      <c r="N81" s="5">
        <f t="shared" ref="N81:N85" si="59">IF(H81=0,0,L81/H81)</f>
        <v>-0.60240963855421692</v>
      </c>
      <c r="O81" s="14"/>
      <c r="P81" s="1">
        <f>SUM(OSRRefP22_18x_0)</f>
        <v>1764</v>
      </c>
      <c r="Q81" s="1"/>
      <c r="R81" s="5">
        <f t="shared" ref="R81:R85" si="60">IF(P$12=0,0,P81/P$12)</f>
        <v>0</v>
      </c>
      <c r="S81" s="1"/>
      <c r="T81" s="1">
        <f>SUM(OSRRefT22_18x_0)</f>
        <v>1676.5</v>
      </c>
      <c r="U81" s="1"/>
      <c r="V81" s="5">
        <f t="shared" ref="V81:V85" si="61">IF(T$12=0,0,T81/T$12)</f>
        <v>0</v>
      </c>
      <c r="W81" s="1"/>
      <c r="X81" s="1">
        <f t="shared" ref="X81:X85" si="62">+P81-T81</f>
        <v>87.5</v>
      </c>
      <c r="Y81" s="1"/>
      <c r="Z81" s="5">
        <f t="shared" ref="Z81:Z85" si="63">IF(T81=0,0,X81/T81)</f>
        <v>5.2192066805845511E-2</v>
      </c>
    </row>
    <row r="82" spans="1:26" s="24" customFormat="1" hidden="1" outlineLevel="2" x14ac:dyDescent="0.3">
      <c r="A82" s="28"/>
      <c r="B82" s="11" t="str">
        <f>CONCATENATE("          ", "6376", " - ", "TRAINING")</f>
        <v xml:space="preserve">          6376 - TRAINING</v>
      </c>
      <c r="C82" s="11"/>
      <c r="D82" s="6">
        <v>99</v>
      </c>
      <c r="E82" s="2"/>
      <c r="F82" s="7">
        <f t="shared" si="56"/>
        <v>0</v>
      </c>
      <c r="G82" s="2"/>
      <c r="H82" s="6">
        <v>249</v>
      </c>
      <c r="I82" s="2"/>
      <c r="J82" s="7">
        <f t="shared" si="57"/>
        <v>0</v>
      </c>
      <c r="K82" s="2"/>
      <c r="L82" s="6">
        <f t="shared" si="58"/>
        <v>-150</v>
      </c>
      <c r="M82" s="2"/>
      <c r="N82" s="7">
        <f t="shared" si="59"/>
        <v>-0.60240963855421692</v>
      </c>
      <c r="O82" s="11"/>
      <c r="P82" s="6">
        <v>1764</v>
      </c>
      <c r="Q82" s="2"/>
      <c r="R82" s="7">
        <f t="shared" si="60"/>
        <v>0</v>
      </c>
      <c r="S82" s="2"/>
      <c r="T82" s="6">
        <v>1676.5</v>
      </c>
      <c r="U82" s="2"/>
      <c r="V82" s="7">
        <f t="shared" si="61"/>
        <v>0</v>
      </c>
      <c r="W82" s="2"/>
      <c r="X82" s="6">
        <f t="shared" si="62"/>
        <v>87.5</v>
      </c>
      <c r="Y82" s="2"/>
      <c r="Z82" s="7">
        <f t="shared" si="63"/>
        <v>5.2192066805845511E-2</v>
      </c>
    </row>
    <row r="83" spans="1:26" s="29" customFormat="1" outlineLevel="1" collapsed="1" x14ac:dyDescent="0.3">
      <c r="A83" s="27"/>
      <c r="B83" s="14" t="str">
        <f>CONCATENATE("     ","Travel                                            ")</f>
        <v xml:space="preserve">     Travel                                            </v>
      </c>
      <c r="C83" s="14"/>
      <c r="D83" s="1">
        <f>SUM(OSRRefD22_19x_0)</f>
        <v>0</v>
      </c>
      <c r="E83" s="1"/>
      <c r="F83" s="5">
        <f t="shared" si="56"/>
        <v>0</v>
      </c>
      <c r="G83" s="1"/>
      <c r="H83" s="1">
        <f>SUM(OSRRefH22_19x_0)</f>
        <v>0</v>
      </c>
      <c r="I83" s="1"/>
      <c r="J83" s="5">
        <f t="shared" si="57"/>
        <v>0</v>
      </c>
      <c r="K83" s="1"/>
      <c r="L83" s="1">
        <f t="shared" si="58"/>
        <v>0</v>
      </c>
      <c r="M83" s="1"/>
      <c r="N83" s="5">
        <f t="shared" si="59"/>
        <v>0</v>
      </c>
      <c r="O83" s="14"/>
      <c r="P83" s="1">
        <f>SUM(OSRRefP22_19x_0)</f>
        <v>30.4</v>
      </c>
      <c r="Q83" s="1"/>
      <c r="R83" s="5">
        <f t="shared" si="60"/>
        <v>0</v>
      </c>
      <c r="S83" s="1"/>
      <c r="T83" s="1">
        <f>SUM(OSRRefT22_19x_0)</f>
        <v>766.62</v>
      </c>
      <c r="U83" s="1"/>
      <c r="V83" s="5">
        <f t="shared" si="61"/>
        <v>0</v>
      </c>
      <c r="W83" s="1"/>
      <c r="X83" s="1">
        <f t="shared" si="62"/>
        <v>-736.22</v>
      </c>
      <c r="Y83" s="1"/>
      <c r="Z83" s="5">
        <f t="shared" si="63"/>
        <v>-0.96034541232944615</v>
      </c>
    </row>
    <row r="84" spans="1:26" s="24" customFormat="1" hidden="1" outlineLevel="2" x14ac:dyDescent="0.3">
      <c r="A84" s="28"/>
      <c r="B84" s="11" t="str">
        <f>CONCATENATE("          ", "6292", " - ", "TRAVEL/CONFERENCE")</f>
        <v xml:space="preserve">          6292 - TRAVEL/CONFERENCE</v>
      </c>
      <c r="C84" s="11"/>
      <c r="D84" s="6"/>
      <c r="E84" s="2"/>
      <c r="F84" s="7">
        <f t="shared" si="56"/>
        <v>0</v>
      </c>
      <c r="G84" s="2"/>
      <c r="H84" s="6"/>
      <c r="I84" s="2"/>
      <c r="J84" s="7">
        <f t="shared" si="57"/>
        <v>0</v>
      </c>
      <c r="K84" s="2"/>
      <c r="L84" s="6">
        <f t="shared" si="58"/>
        <v>0</v>
      </c>
      <c r="M84" s="2"/>
      <c r="N84" s="7">
        <f t="shared" si="59"/>
        <v>0</v>
      </c>
      <c r="O84" s="11"/>
      <c r="P84" s="6"/>
      <c r="Q84" s="2"/>
      <c r="R84" s="7">
        <f t="shared" si="60"/>
        <v>0</v>
      </c>
      <c r="S84" s="2"/>
      <c r="T84" s="6">
        <v>720</v>
      </c>
      <c r="U84" s="2"/>
      <c r="V84" s="7">
        <f t="shared" si="61"/>
        <v>0</v>
      </c>
      <c r="W84" s="2"/>
      <c r="X84" s="6">
        <f t="shared" si="62"/>
        <v>-720</v>
      </c>
      <c r="Y84" s="2"/>
      <c r="Z84" s="7">
        <f t="shared" si="63"/>
        <v>-1</v>
      </c>
    </row>
    <row r="85" spans="1:26" s="24" customFormat="1" hidden="1" outlineLevel="2" x14ac:dyDescent="0.3">
      <c r="A85" s="28"/>
      <c r="B85" s="11" t="str">
        <f>CONCATENATE("          ", "6294", " - ", "TRAVEL OPERATIONAL")</f>
        <v xml:space="preserve">          6294 - TRAVEL OPERATIONAL</v>
      </c>
      <c r="C85" s="11"/>
      <c r="D85" s="6"/>
      <c r="E85" s="2"/>
      <c r="F85" s="7">
        <f t="shared" si="56"/>
        <v>0</v>
      </c>
      <c r="G85" s="2"/>
      <c r="H85" s="6"/>
      <c r="I85" s="2"/>
      <c r="J85" s="7">
        <f t="shared" si="57"/>
        <v>0</v>
      </c>
      <c r="K85" s="2"/>
      <c r="L85" s="6">
        <f t="shared" si="58"/>
        <v>0</v>
      </c>
      <c r="M85" s="2"/>
      <c r="N85" s="7">
        <f t="shared" si="59"/>
        <v>0</v>
      </c>
      <c r="O85" s="11"/>
      <c r="P85" s="6">
        <v>30.4</v>
      </c>
      <c r="Q85" s="2"/>
      <c r="R85" s="7">
        <f t="shared" si="60"/>
        <v>0</v>
      </c>
      <c r="S85" s="2"/>
      <c r="T85" s="6">
        <v>46.62</v>
      </c>
      <c r="U85" s="2"/>
      <c r="V85" s="7">
        <f t="shared" si="61"/>
        <v>0</v>
      </c>
      <c r="W85" s="2"/>
      <c r="X85" s="6">
        <f t="shared" si="62"/>
        <v>-16.22</v>
      </c>
      <c r="Y85" s="2"/>
      <c r="Z85" s="7">
        <f t="shared" si="63"/>
        <v>-0.34791934791934792</v>
      </c>
    </row>
    <row r="86" spans="1:26" s="53" customFormat="1" x14ac:dyDescent="0.3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x14ac:dyDescent="0.3">
      <c r="A87" s="10"/>
      <c r="B87" s="25" t="s">
        <v>292</v>
      </c>
      <c r="C87" s="10"/>
      <c r="D87" s="4">
        <f>SUM(0)</f>
        <v>0</v>
      </c>
      <c r="E87" s="4"/>
      <c r="F87" s="12">
        <f>IF(D$12=0,0,D87/D$12)</f>
        <v>0</v>
      </c>
      <c r="G87" s="4"/>
      <c r="H87" s="4">
        <f>SUM(0)</f>
        <v>0</v>
      </c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>
        <f>SUM(0)</f>
        <v>0</v>
      </c>
      <c r="Q87" s="4"/>
      <c r="R87" s="12">
        <f>IF(P$12=0,0,P87/P$12)</f>
        <v>0</v>
      </c>
      <c r="S87" s="4"/>
      <c r="T87" s="4">
        <f>SUM(0)</f>
        <v>0</v>
      </c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3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3">
      <c r="A89" s="10"/>
      <c r="B89" s="26" t="s">
        <v>276</v>
      </c>
      <c r="C89" s="26"/>
      <c r="D89" s="20">
        <f>+D16-D18+D87</f>
        <v>-216572.44999999998</v>
      </c>
      <c r="E89" s="13"/>
      <c r="F89" s="21">
        <f>IF(D$12=0,0,D89/D$12)</f>
        <v>0</v>
      </c>
      <c r="G89" s="13"/>
      <c r="H89" s="20">
        <f>+H16-H18+H87</f>
        <v>-211174.95</v>
      </c>
      <c r="I89" s="13"/>
      <c r="J89" s="21">
        <f>IF(H$12=0,0,H89/H$12)</f>
        <v>0</v>
      </c>
      <c r="K89" s="15"/>
      <c r="L89" s="20">
        <f>+D89-H89</f>
        <v>-5397.4999999999709</v>
      </c>
      <c r="M89" s="15"/>
      <c r="N89" s="21">
        <f>IF(H89=0,0,L89/H89)</f>
        <v>2.5559376242305115E-2</v>
      </c>
      <c r="O89" s="25"/>
      <c r="P89" s="20">
        <f>+P16-P18+P87</f>
        <v>-1369289.3</v>
      </c>
      <c r="Q89" s="13"/>
      <c r="R89" s="21">
        <f>IF(P$12=0,0,P89/P$12)</f>
        <v>0</v>
      </c>
      <c r="S89" s="13"/>
      <c r="T89" s="20">
        <f>+T16-T18+T87</f>
        <v>-951551.21</v>
      </c>
      <c r="U89" s="13"/>
      <c r="V89" s="21">
        <f>IF(T$12=0,0,T89/T$12)</f>
        <v>0</v>
      </c>
      <c r="W89" s="15"/>
      <c r="X89" s="20">
        <f>+P89-T89</f>
        <v>-417738.09000000008</v>
      </c>
      <c r="Y89" s="15"/>
      <c r="Z89" s="21">
        <f>IF(T89=0,0,X89/T89)</f>
        <v>0.43900747075924595</v>
      </c>
    </row>
    <row r="90" spans="1:26" x14ac:dyDescent="0.3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3">
      <c r="A91" s="51"/>
      <c r="B91" s="10" t="s">
        <v>127</v>
      </c>
      <c r="C91" s="10"/>
      <c r="D91" s="4"/>
      <c r="E91" s="4"/>
      <c r="F91" s="12">
        <f>IF(D$12=0,0,D91/D$12)</f>
        <v>0</v>
      </c>
      <c r="G91" s="4"/>
      <c r="H91" s="4"/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/>
      <c r="Q91" s="4"/>
      <c r="R91" s="12">
        <f>IF(P$12=0,0,P91/P$12)</f>
        <v>0</v>
      </c>
      <c r="S91" s="4"/>
      <c r="T91" s="4"/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3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" thickBot="1" x14ac:dyDescent="0.35">
      <c r="A93" s="10"/>
      <c r="B93" s="26" t="s">
        <v>125</v>
      </c>
      <c r="C93" s="26"/>
      <c r="D93" s="32">
        <f>+D89-D91</f>
        <v>-216572.44999999998</v>
      </c>
      <c r="E93" s="13"/>
      <c r="F93" s="35">
        <f>IF(D$12=0,0,D93/D$12)</f>
        <v>0</v>
      </c>
      <c r="G93" s="13"/>
      <c r="H93" s="32">
        <f>+H89-H91</f>
        <v>-211174.95</v>
      </c>
      <c r="I93" s="13"/>
      <c r="J93" s="35">
        <f>IF(H$12=0,0,H93/H$12)</f>
        <v>0</v>
      </c>
      <c r="K93" s="15"/>
      <c r="L93" s="32">
        <f>D93-H93</f>
        <v>-5397.4999999999709</v>
      </c>
      <c r="M93" s="15"/>
      <c r="N93" s="35">
        <f>IF(H93=0,0,L93/H93)</f>
        <v>2.5559376242305115E-2</v>
      </c>
      <c r="O93" s="25"/>
      <c r="P93" s="32">
        <f>+P89-P91</f>
        <v>-1369289.3</v>
      </c>
      <c r="Q93" s="13"/>
      <c r="R93" s="35">
        <f>IF(P$12=0,0,P93/P$12)</f>
        <v>0</v>
      </c>
      <c r="S93" s="13"/>
      <c r="T93" s="32">
        <f>+T89-T91</f>
        <v>-951551.21</v>
      </c>
      <c r="U93" s="13"/>
      <c r="V93" s="35">
        <f>IF(T$12=0,0,T93/T$12)</f>
        <v>0</v>
      </c>
      <c r="W93" s="15"/>
      <c r="X93" s="32">
        <f>P93-T93</f>
        <v>-417738.09000000008</v>
      </c>
      <c r="Y93" s="15"/>
      <c r="Z93" s="35">
        <f>IF(T93=0,0,X93/T93)</f>
        <v>0.43900747075924595</v>
      </c>
    </row>
    <row r="94" spans="1:26" ht="15" thickTop="1" x14ac:dyDescent="0.3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3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" thickBot="1" x14ac:dyDescent="0.35">
      <c r="A96" s="10"/>
      <c r="B96" s="26" t="s">
        <v>293</v>
      </c>
      <c r="C96" s="26"/>
      <c r="D96" s="31">
        <f>SUM(D93:D95)</f>
        <v>-216572.44999999998</v>
      </c>
      <c r="E96" s="13"/>
      <c r="F96" s="33">
        <f>IF(D$12=0,0,D96/D$12)</f>
        <v>0</v>
      </c>
      <c r="G96" s="13"/>
      <c r="H96" s="31">
        <f>SUM(H93:H95)</f>
        <v>-211174.95</v>
      </c>
      <c r="I96" s="13"/>
      <c r="J96" s="33">
        <f>IF(H$12=0,0,H96/H$12)</f>
        <v>0</v>
      </c>
      <c r="K96" s="15"/>
      <c r="L96" s="31">
        <f>+D96-H96</f>
        <v>-5397.4999999999709</v>
      </c>
      <c r="M96" s="15"/>
      <c r="N96" s="33">
        <f>IF(H96=0,0,L96/H96)</f>
        <v>2.5559376242305115E-2</v>
      </c>
      <c r="O96" s="25"/>
      <c r="P96" s="31">
        <f>SUM(P93:P95)</f>
        <v>-1369289.3</v>
      </c>
      <c r="Q96" s="13"/>
      <c r="R96" s="33">
        <f>IF(P$12=0,0,P96/P$12)</f>
        <v>0</v>
      </c>
      <c r="S96" s="13"/>
      <c r="T96" s="31">
        <f>SUM(T93:T95)</f>
        <v>-951551.21</v>
      </c>
      <c r="U96" s="13"/>
      <c r="V96" s="33">
        <f>IF(T$12=0,0,T96/T$12)</f>
        <v>0</v>
      </c>
      <c r="W96" s="15"/>
      <c r="X96" s="31">
        <f>+P96-T96</f>
        <v>-417738.09000000008</v>
      </c>
      <c r="Y96" s="15"/>
      <c r="Z96" s="33">
        <f>IF(T96=0,0,X96/T96)</f>
        <v>0.43900747075924595</v>
      </c>
    </row>
    <row r="97" spans="1:24" ht="15" thickTop="1" x14ac:dyDescent="0.3">
      <c r="A97" s="9"/>
      <c r="C97" s="9"/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3">
      <c r="A98" s="9"/>
      <c r="B98" s="60">
        <v>44575.854553437501</v>
      </c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3">
      <c r="A99" s="9"/>
      <c r="B99" s="57" t="s">
        <v>56</v>
      </c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4" x14ac:dyDescent="0.3">
      <c r="A100" s="9"/>
      <c r="B100" s="59"/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4" x14ac:dyDescent="0.3"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","200", " - ", "Corporate Expense")</f>
        <v>Department 200 - Corporate Expense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22">
        <f>SUM(OSRRefD22x_0)</f>
        <v>30131.45</v>
      </c>
      <c r="E18" s="22"/>
      <c r="F18" s="34">
        <f t="shared" ref="F18:F26" si="0">IF(D$12=0,0,D18/D$12)</f>
        <v>0</v>
      </c>
      <c r="G18" s="22"/>
      <c r="H18" s="22">
        <f>SUM(OSRRefH22x_0)</f>
        <v>30640.19</v>
      </c>
      <c r="I18" s="22"/>
      <c r="J18" s="34">
        <f t="shared" ref="J18:J26" si="1">IF(H$12=0,0,H18/H$12)</f>
        <v>0</v>
      </c>
      <c r="K18" s="4"/>
      <c r="L18" s="22">
        <f t="shared" ref="L18:L26" si="2">+D18-H18</f>
        <v>-508.73999999999796</v>
      </c>
      <c r="M18" s="4"/>
      <c r="N18" s="34">
        <f t="shared" ref="N18:N26" si="3">IF(H18=0,0,L18/H18)</f>
        <v>-1.6603682940608332E-2</v>
      </c>
      <c r="O18" s="10"/>
      <c r="P18" s="22">
        <f>SUM(OSRRefP22x_0)</f>
        <v>199797.3</v>
      </c>
      <c r="Q18" s="22"/>
      <c r="R18" s="34">
        <f t="shared" ref="R18:R26" si="4">IF(P$12=0,0,P18/P$12)</f>
        <v>0</v>
      </c>
      <c r="S18" s="22"/>
      <c r="T18" s="22">
        <f>SUM(OSRRefT22x_0)</f>
        <v>-183200.21000000002</v>
      </c>
      <c r="U18" s="22"/>
      <c r="V18" s="34">
        <f t="shared" ref="V18:V26" si="5">IF(T$12=0,0,T18/T$12)</f>
        <v>0</v>
      </c>
      <c r="W18" s="4"/>
      <c r="X18" s="22">
        <f t="shared" ref="X18:X26" si="6">+P18-T18</f>
        <v>382997.51</v>
      </c>
      <c r="Y18" s="4"/>
      <c r="Z18" s="34">
        <f t="shared" ref="Z18:Z26" si="7">IF(T18=0,0,X18/T18)</f>
        <v>-2.0905953655839147</v>
      </c>
    </row>
    <row r="19" spans="1:26" s="29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28675.06</v>
      </c>
      <c r="E19" s="1"/>
      <c r="F19" s="5">
        <f t="shared" si="0"/>
        <v>0</v>
      </c>
      <c r="G19" s="1"/>
      <c r="H19" s="1">
        <f>SUM(OSRRefH22_0x_0)</f>
        <v>29918.37</v>
      </c>
      <c r="I19" s="1"/>
      <c r="J19" s="5">
        <f t="shared" si="1"/>
        <v>0</v>
      </c>
      <c r="K19" s="1"/>
      <c r="L19" s="1">
        <f t="shared" si="2"/>
        <v>-1243.3099999999977</v>
      </c>
      <c r="M19" s="1"/>
      <c r="N19" s="5">
        <f t="shared" si="3"/>
        <v>-4.1556742563181009E-2</v>
      </c>
      <c r="O19" s="14"/>
      <c r="P19" s="1">
        <f>SUM(OSRRefP22_0x_0)</f>
        <v>165716.35999999999</v>
      </c>
      <c r="Q19" s="1"/>
      <c r="R19" s="5">
        <f t="shared" si="4"/>
        <v>0</v>
      </c>
      <c r="S19" s="1"/>
      <c r="T19" s="1">
        <f>SUM(OSRRefT22_0x_0)</f>
        <v>-217338.28</v>
      </c>
      <c r="U19" s="1"/>
      <c r="V19" s="5">
        <f t="shared" si="5"/>
        <v>0</v>
      </c>
      <c r="W19" s="1"/>
      <c r="X19" s="1">
        <f t="shared" si="6"/>
        <v>383054.64</v>
      </c>
      <c r="Y19" s="1"/>
      <c r="Z19" s="5">
        <f t="shared" si="7"/>
        <v>-1.7624812343228262</v>
      </c>
    </row>
    <row r="20" spans="1:26" s="24" customFormat="1" hidden="1" outlineLevel="2" x14ac:dyDescent="0.3">
      <c r="A20" s="28"/>
      <c r="B20" s="11" t="str">
        <f>CONCATENATE("          ", "6120", " - ", "RETIREES HEALTH INSURANCE")</f>
        <v xml:space="preserve">          6120 - RETIREES HEALTH INSURANCE</v>
      </c>
      <c r="C20" s="11"/>
      <c r="D20" s="6">
        <v>28675.06</v>
      </c>
      <c r="E20" s="2"/>
      <c r="F20" s="7">
        <f t="shared" si="0"/>
        <v>0</v>
      </c>
      <c r="G20" s="2"/>
      <c r="H20" s="6">
        <v>29918.37</v>
      </c>
      <c r="I20" s="2"/>
      <c r="J20" s="7">
        <f t="shared" si="1"/>
        <v>0</v>
      </c>
      <c r="K20" s="2"/>
      <c r="L20" s="6">
        <f t="shared" si="2"/>
        <v>-1243.3099999999977</v>
      </c>
      <c r="M20" s="2"/>
      <c r="N20" s="7">
        <f t="shared" si="3"/>
        <v>-4.1556742563181009E-2</v>
      </c>
      <c r="O20" s="11"/>
      <c r="P20" s="6">
        <v>165716.35999999999</v>
      </c>
      <c r="Q20" s="2"/>
      <c r="R20" s="7">
        <f t="shared" si="4"/>
        <v>0</v>
      </c>
      <c r="S20" s="2"/>
      <c r="T20" s="6">
        <v>-217338.28</v>
      </c>
      <c r="U20" s="2"/>
      <c r="V20" s="7">
        <f t="shared" si="5"/>
        <v>0</v>
      </c>
      <c r="W20" s="2"/>
      <c r="X20" s="6">
        <f t="shared" si="6"/>
        <v>383054.64</v>
      </c>
      <c r="Y20" s="2"/>
      <c r="Z20" s="7">
        <f t="shared" si="7"/>
        <v>-1.7624812343228262</v>
      </c>
    </row>
    <row r="21" spans="1:26" s="29" customFormat="1" outlineLevel="1" collapsed="1" x14ac:dyDescent="0.3">
      <c r="A21" s="27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119.71</v>
      </c>
      <c r="E21" s="1"/>
      <c r="F21" s="5">
        <f t="shared" si="0"/>
        <v>0</v>
      </c>
      <c r="G21" s="1"/>
      <c r="H21" s="1">
        <f>SUM(OSRRefH22_1x_0)</f>
        <v>7</v>
      </c>
      <c r="I21" s="1"/>
      <c r="J21" s="5">
        <f t="shared" si="1"/>
        <v>0</v>
      </c>
      <c r="K21" s="1"/>
      <c r="L21" s="1">
        <f t="shared" si="2"/>
        <v>112.71</v>
      </c>
      <c r="M21" s="1"/>
      <c r="N21" s="5">
        <f t="shared" si="3"/>
        <v>16.101428571428571</v>
      </c>
      <c r="O21" s="14"/>
      <c r="P21" s="1">
        <f>SUM(OSRRefP22_1x_0)</f>
        <v>5598.93</v>
      </c>
      <c r="Q21" s="1"/>
      <c r="R21" s="5">
        <f t="shared" si="4"/>
        <v>0</v>
      </c>
      <c r="S21" s="1"/>
      <c r="T21" s="1">
        <f>SUM(OSRRefT22_1x_0)</f>
        <v>2904.58</v>
      </c>
      <c r="U21" s="1"/>
      <c r="V21" s="5">
        <f t="shared" si="5"/>
        <v>0</v>
      </c>
      <c r="W21" s="1"/>
      <c r="X21" s="1">
        <f t="shared" si="6"/>
        <v>2694.3500000000004</v>
      </c>
      <c r="Y21" s="1"/>
      <c r="Z21" s="5">
        <f t="shared" si="7"/>
        <v>0.92762120513120672</v>
      </c>
    </row>
    <row r="22" spans="1:26" s="24" customFormat="1" hidden="1" outlineLevel="2" x14ac:dyDescent="0.3">
      <c r="A22" s="28"/>
      <c r="B22" s="11" t="str">
        <f>CONCATENATE("          ", "6381", " - ", "BANK/CREDIT CARD FEES")</f>
        <v xml:space="preserve">          6381 - BANK/CREDIT CARD FEES</v>
      </c>
      <c r="C22" s="11"/>
      <c r="D22" s="6">
        <v>119.71</v>
      </c>
      <c r="E22" s="2"/>
      <c r="F22" s="7">
        <f t="shared" si="0"/>
        <v>0</v>
      </c>
      <c r="G22" s="2"/>
      <c r="H22" s="6">
        <v>7</v>
      </c>
      <c r="I22" s="2"/>
      <c r="J22" s="7">
        <f t="shared" si="1"/>
        <v>0</v>
      </c>
      <c r="K22" s="2"/>
      <c r="L22" s="6">
        <f t="shared" si="2"/>
        <v>112.71</v>
      </c>
      <c r="M22" s="2"/>
      <c r="N22" s="7">
        <f t="shared" si="3"/>
        <v>16.101428571428571</v>
      </c>
      <c r="O22" s="11"/>
      <c r="P22" s="6">
        <v>5598.93</v>
      </c>
      <c r="Q22" s="2"/>
      <c r="R22" s="7">
        <f t="shared" si="4"/>
        <v>0</v>
      </c>
      <c r="S22" s="2"/>
      <c r="T22" s="6">
        <v>2904.58</v>
      </c>
      <c r="U22" s="2"/>
      <c r="V22" s="7">
        <f t="shared" si="5"/>
        <v>0</v>
      </c>
      <c r="W22" s="2"/>
      <c r="X22" s="6">
        <f t="shared" si="6"/>
        <v>2694.3500000000004</v>
      </c>
      <c r="Y22" s="2"/>
      <c r="Z22" s="7">
        <f t="shared" si="7"/>
        <v>0.92762120513120672</v>
      </c>
    </row>
    <row r="23" spans="1:26" s="29" customFormat="1" outlineLevel="1" collapsed="1" x14ac:dyDescent="0.3">
      <c r="A23" s="27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1336.68</v>
      </c>
      <c r="E23" s="1"/>
      <c r="F23" s="5">
        <f t="shared" si="0"/>
        <v>0</v>
      </c>
      <c r="G23" s="1"/>
      <c r="H23" s="1">
        <f>SUM(OSRRefH22_2x_0)</f>
        <v>714.82</v>
      </c>
      <c r="I23" s="1"/>
      <c r="J23" s="5">
        <f t="shared" si="1"/>
        <v>0</v>
      </c>
      <c r="K23" s="1"/>
      <c r="L23" s="1">
        <f t="shared" si="2"/>
        <v>621.86</v>
      </c>
      <c r="M23" s="1"/>
      <c r="N23" s="5">
        <f t="shared" si="3"/>
        <v>0.86995327495033714</v>
      </c>
      <c r="O23" s="14"/>
      <c r="P23" s="1">
        <f>SUM(OSRRefP22_2x_0)</f>
        <v>7656.51</v>
      </c>
      <c r="Q23" s="1"/>
      <c r="R23" s="5">
        <f t="shared" si="4"/>
        <v>0</v>
      </c>
      <c r="S23" s="1"/>
      <c r="T23" s="1">
        <f>SUM(OSRRefT22_2x_0)</f>
        <v>7836.99</v>
      </c>
      <c r="U23" s="1"/>
      <c r="V23" s="5">
        <f t="shared" si="5"/>
        <v>0</v>
      </c>
      <c r="W23" s="1"/>
      <c r="X23" s="1">
        <f t="shared" si="6"/>
        <v>-180.47999999999956</v>
      </c>
      <c r="Y23" s="1"/>
      <c r="Z23" s="5">
        <f t="shared" si="7"/>
        <v>-2.3029249750222927E-2</v>
      </c>
    </row>
    <row r="24" spans="1:26" s="24" customFormat="1" hidden="1" outlineLevel="2" x14ac:dyDescent="0.3">
      <c r="A24" s="28"/>
      <c r="B24" s="11" t="str">
        <f>CONCATENATE("          ", "6397", " - ", "BOARD EXPENSES")</f>
        <v xml:space="preserve">          6397 - BOARD EXPENSES</v>
      </c>
      <c r="C24" s="11"/>
      <c r="D24" s="6">
        <v>1336.68</v>
      </c>
      <c r="E24" s="2"/>
      <c r="F24" s="7">
        <f t="shared" si="0"/>
        <v>0</v>
      </c>
      <c r="G24" s="2"/>
      <c r="H24" s="6">
        <v>714.82</v>
      </c>
      <c r="I24" s="2"/>
      <c r="J24" s="7">
        <f t="shared" si="1"/>
        <v>0</v>
      </c>
      <c r="K24" s="2"/>
      <c r="L24" s="6">
        <f t="shared" si="2"/>
        <v>621.86</v>
      </c>
      <c r="M24" s="2"/>
      <c r="N24" s="7">
        <f t="shared" si="3"/>
        <v>0.86995327495033714</v>
      </c>
      <c r="O24" s="11"/>
      <c r="P24" s="6">
        <v>7656.51</v>
      </c>
      <c r="Q24" s="2"/>
      <c r="R24" s="7">
        <f t="shared" si="4"/>
        <v>0</v>
      </c>
      <c r="S24" s="2"/>
      <c r="T24" s="6">
        <v>7836.99</v>
      </c>
      <c r="U24" s="2"/>
      <c r="V24" s="7">
        <f t="shared" si="5"/>
        <v>0</v>
      </c>
      <c r="W24" s="2"/>
      <c r="X24" s="6">
        <f t="shared" si="6"/>
        <v>-180.47999999999956</v>
      </c>
      <c r="Y24" s="2"/>
      <c r="Z24" s="7">
        <f t="shared" si="7"/>
        <v>-2.3029249750222927E-2</v>
      </c>
    </row>
    <row r="25" spans="1:26" s="29" customFormat="1" outlineLevel="1" collapsed="1" x14ac:dyDescent="0.3">
      <c r="A25" s="27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20825.5</v>
      </c>
      <c r="Q25" s="1"/>
      <c r="R25" s="5">
        <f t="shared" si="4"/>
        <v>0</v>
      </c>
      <c r="S25" s="1"/>
      <c r="T25" s="1">
        <f>SUM(OSRRefT22_3x_0)</f>
        <v>23396.5</v>
      </c>
      <c r="U25" s="1"/>
      <c r="V25" s="5">
        <f t="shared" si="5"/>
        <v>0</v>
      </c>
      <c r="W25" s="1"/>
      <c r="X25" s="1">
        <f t="shared" si="6"/>
        <v>-2571</v>
      </c>
      <c r="Y25" s="1"/>
      <c r="Z25" s="5">
        <f t="shared" si="7"/>
        <v>-0.10988823114568419</v>
      </c>
    </row>
    <row r="26" spans="1:26" s="24" customFormat="1" hidden="1" outlineLevel="2" x14ac:dyDescent="0.3">
      <c r="A26" s="28"/>
      <c r="B26" s="11" t="str">
        <f>CONCATENATE("          ", "6331", " - ", "INDIRECT COSTS-AUXILIARY ORGAN")</f>
        <v xml:space="preserve">          6331 - INDIRECT COSTS-AUXILIARY ORGAN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20825.5</v>
      </c>
      <c r="Q26" s="2"/>
      <c r="R26" s="7">
        <f t="shared" si="4"/>
        <v>0</v>
      </c>
      <c r="S26" s="2"/>
      <c r="T26" s="6">
        <v>23396.5</v>
      </c>
      <c r="U26" s="2"/>
      <c r="V26" s="7">
        <f t="shared" si="5"/>
        <v>0</v>
      </c>
      <c r="W26" s="2"/>
      <c r="X26" s="6">
        <f t="shared" si="6"/>
        <v>-2571</v>
      </c>
      <c r="Y26" s="2"/>
      <c r="Z26" s="7">
        <f t="shared" si="7"/>
        <v>-0.10988823114568419</v>
      </c>
    </row>
    <row r="27" spans="1:26" s="53" customFormat="1" x14ac:dyDescent="0.3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3">
      <c r="A28" s="10"/>
      <c r="B28" s="25" t="s">
        <v>292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6" t="s">
        <v>276</v>
      </c>
      <c r="C30" s="26"/>
      <c r="D30" s="20">
        <f>+D16-D18+D28</f>
        <v>-30131.45</v>
      </c>
      <c r="E30" s="13"/>
      <c r="F30" s="21">
        <f>IF(D$12=0,0,D30/D$12)</f>
        <v>0</v>
      </c>
      <c r="G30" s="13"/>
      <c r="H30" s="20">
        <f>+H16-H18+H28</f>
        <v>-30640.19</v>
      </c>
      <c r="I30" s="13"/>
      <c r="J30" s="21">
        <f>IF(H$12=0,0,H30/H$12)</f>
        <v>0</v>
      </c>
      <c r="K30" s="15"/>
      <c r="L30" s="20">
        <f>+D30-H30</f>
        <v>508.73999999999796</v>
      </c>
      <c r="M30" s="15"/>
      <c r="N30" s="21">
        <f>IF(H30=0,0,L30/H30)</f>
        <v>-1.6603682940608332E-2</v>
      </c>
      <c r="O30" s="25"/>
      <c r="P30" s="20">
        <f>+P16-P18+P28</f>
        <v>-199797.3</v>
      </c>
      <c r="Q30" s="13"/>
      <c r="R30" s="21">
        <f>IF(P$12=0,0,P30/P$12)</f>
        <v>0</v>
      </c>
      <c r="S30" s="13"/>
      <c r="T30" s="20">
        <f>+T16-T18+T28</f>
        <v>183200.21000000002</v>
      </c>
      <c r="U30" s="13"/>
      <c r="V30" s="21">
        <f>IF(T$12=0,0,T30/T$12)</f>
        <v>0</v>
      </c>
      <c r="W30" s="15"/>
      <c r="X30" s="20">
        <f>+P30-T30</f>
        <v>-382997.51</v>
      </c>
      <c r="Y30" s="15"/>
      <c r="Z30" s="21">
        <f>IF(T30=0,0,X30/T30)</f>
        <v>-2.0905953655839147</v>
      </c>
    </row>
    <row r="31" spans="1:26" x14ac:dyDescent="0.3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">
      <c r="A32" s="51"/>
      <c r="B32" s="10" t="s">
        <v>127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3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" thickBot="1" x14ac:dyDescent="0.35">
      <c r="A34" s="10"/>
      <c r="B34" s="26" t="s">
        <v>125</v>
      </c>
      <c r="C34" s="26"/>
      <c r="D34" s="32">
        <f>+D30-D32</f>
        <v>-30131.45</v>
      </c>
      <c r="E34" s="13"/>
      <c r="F34" s="35">
        <f>IF(D$12=0,0,D34/D$12)</f>
        <v>0</v>
      </c>
      <c r="G34" s="13"/>
      <c r="H34" s="32">
        <f>+H30-H32</f>
        <v>-30640.19</v>
      </c>
      <c r="I34" s="13"/>
      <c r="J34" s="35">
        <f>IF(H$12=0,0,H34/H$12)</f>
        <v>0</v>
      </c>
      <c r="K34" s="15"/>
      <c r="L34" s="32">
        <f>D34-H34</f>
        <v>508.73999999999796</v>
      </c>
      <c r="M34" s="15"/>
      <c r="N34" s="35">
        <f>IF(H34=0,0,L34/H34)</f>
        <v>-1.6603682940608332E-2</v>
      </c>
      <c r="O34" s="25"/>
      <c r="P34" s="32">
        <f>+P30-P32</f>
        <v>-199797.3</v>
      </c>
      <c r="Q34" s="13"/>
      <c r="R34" s="35">
        <f>IF(P$12=0,0,P34/P$12)</f>
        <v>0</v>
      </c>
      <c r="S34" s="13"/>
      <c r="T34" s="32">
        <f>+T30-T32</f>
        <v>183200.21000000002</v>
      </c>
      <c r="U34" s="13"/>
      <c r="V34" s="35">
        <f>IF(T$12=0,0,T34/T$12)</f>
        <v>0</v>
      </c>
      <c r="W34" s="15"/>
      <c r="X34" s="32">
        <f>P34-T34</f>
        <v>-382997.51</v>
      </c>
      <c r="Y34" s="15"/>
      <c r="Z34" s="35">
        <f>IF(T34=0,0,X34/T34)</f>
        <v>-2.0905953655839147</v>
      </c>
    </row>
    <row r="35" spans="1:26" ht="15" thickTop="1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3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" thickBot="1" x14ac:dyDescent="0.35">
      <c r="A37" s="10"/>
      <c r="B37" s="26" t="s">
        <v>293</v>
      </c>
      <c r="C37" s="26"/>
      <c r="D37" s="31">
        <f>SUM(D34:D36)</f>
        <v>-30131.45</v>
      </c>
      <c r="E37" s="13"/>
      <c r="F37" s="33">
        <f>IF(D$12=0,0,D37/D$12)</f>
        <v>0</v>
      </c>
      <c r="G37" s="13"/>
      <c r="H37" s="31">
        <f>SUM(H34:H36)</f>
        <v>-30640.19</v>
      </c>
      <c r="I37" s="13"/>
      <c r="J37" s="33">
        <f>IF(H$12=0,0,H37/H$12)</f>
        <v>0</v>
      </c>
      <c r="K37" s="15"/>
      <c r="L37" s="31">
        <f>+D37-H37</f>
        <v>508.73999999999796</v>
      </c>
      <c r="M37" s="15"/>
      <c r="N37" s="33">
        <f>IF(H37=0,0,L37/H37)</f>
        <v>-1.6603682940608332E-2</v>
      </c>
      <c r="O37" s="25"/>
      <c r="P37" s="31">
        <f>SUM(P34:P36)</f>
        <v>-199797.3</v>
      </c>
      <c r="Q37" s="13"/>
      <c r="R37" s="33">
        <f>IF(P$12=0,0,P37/P$12)</f>
        <v>0</v>
      </c>
      <c r="S37" s="13"/>
      <c r="T37" s="31">
        <f>SUM(T34:T36)</f>
        <v>183200.21000000002</v>
      </c>
      <c r="U37" s="13"/>
      <c r="V37" s="33">
        <f>IF(T$12=0,0,T37/T$12)</f>
        <v>0</v>
      </c>
      <c r="W37" s="15"/>
      <c r="X37" s="31">
        <f>+P37-T37</f>
        <v>-382997.51</v>
      </c>
      <c r="Y37" s="15"/>
      <c r="Z37" s="33">
        <f>IF(T37=0,0,X37/T37)</f>
        <v>-2.0905953655839147</v>
      </c>
    </row>
    <row r="38" spans="1:26" ht="15" thickTop="1" x14ac:dyDescent="0.3">
      <c r="A38" s="9"/>
      <c r="C38" s="9"/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0">
        <v>44575.854680405093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7" t="s">
        <v>56</v>
      </c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A41" s="9"/>
      <c r="B41" s="59"/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3"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","201", " - ", "General Manager")</f>
        <v>Department 201 - General Manager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22">
        <f>SUM(OSRRefD22x_0)</f>
        <v>30381.72</v>
      </c>
      <c r="E18" s="22"/>
      <c r="F18" s="34">
        <f t="shared" ref="F18:F27" si="0">IF(D$12=0,0,D18/D$12)</f>
        <v>0</v>
      </c>
      <c r="G18" s="22"/>
      <c r="H18" s="22">
        <f>SUM(OSRRefH22x_0)</f>
        <v>43823.630000000005</v>
      </c>
      <c r="I18" s="22"/>
      <c r="J18" s="34">
        <f t="shared" ref="J18:J27" si="1">IF(H$12=0,0,H18/H$12)</f>
        <v>0</v>
      </c>
      <c r="K18" s="4"/>
      <c r="L18" s="22">
        <f t="shared" ref="L18:L27" si="2">+D18-H18</f>
        <v>-13441.910000000003</v>
      </c>
      <c r="M18" s="4"/>
      <c r="N18" s="34">
        <f t="shared" ref="N18:N27" si="3">IF(H18=0,0,L18/H18)</f>
        <v>-0.30672744361888787</v>
      </c>
      <c r="O18" s="10"/>
      <c r="P18" s="22">
        <f>SUM(OSRRefP22x_0)</f>
        <v>239015.44999999998</v>
      </c>
      <c r="Q18" s="22"/>
      <c r="R18" s="34">
        <f t="shared" ref="R18:R27" si="4">IF(P$12=0,0,P18/P$12)</f>
        <v>0</v>
      </c>
      <c r="S18" s="22"/>
      <c r="T18" s="22">
        <f>SUM(OSRRefT22x_0)</f>
        <v>231738.77</v>
      </c>
      <c r="U18" s="22"/>
      <c r="V18" s="34">
        <f t="shared" ref="V18:V27" si="5">IF(T$12=0,0,T18/T$12)</f>
        <v>0</v>
      </c>
      <c r="W18" s="4"/>
      <c r="X18" s="22">
        <f t="shared" ref="X18:X27" si="6">+P18-T18</f>
        <v>7276.679999999993</v>
      </c>
      <c r="Y18" s="4"/>
      <c r="Z18" s="34">
        <f t="shared" ref="Z18:Z27" si="7">IF(T18=0,0,X18/T18)</f>
        <v>3.1400356530760877E-2</v>
      </c>
    </row>
    <row r="19" spans="1:26" s="29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9639.56</v>
      </c>
      <c r="E19" s="1"/>
      <c r="F19" s="5">
        <f t="shared" si="0"/>
        <v>0</v>
      </c>
      <c r="G19" s="1"/>
      <c r="H19" s="1">
        <f>SUM(OSRRefH22_0x_0)</f>
        <v>9348.4599999999991</v>
      </c>
      <c r="I19" s="1"/>
      <c r="J19" s="5">
        <f t="shared" si="1"/>
        <v>0</v>
      </c>
      <c r="K19" s="1"/>
      <c r="L19" s="1">
        <f t="shared" si="2"/>
        <v>291.10000000000036</v>
      </c>
      <c r="M19" s="1"/>
      <c r="N19" s="5">
        <f t="shared" si="3"/>
        <v>3.1138818586162898E-2</v>
      </c>
      <c r="O19" s="14"/>
      <c r="P19" s="1">
        <f>SUM(OSRRefP22_0x_0)</f>
        <v>63284.19</v>
      </c>
      <c r="Q19" s="1"/>
      <c r="R19" s="5">
        <f t="shared" si="4"/>
        <v>0</v>
      </c>
      <c r="S19" s="1"/>
      <c r="T19" s="1">
        <f>SUM(OSRRefT22_0x_0)</f>
        <v>65463.56</v>
      </c>
      <c r="U19" s="1"/>
      <c r="V19" s="5">
        <f t="shared" si="5"/>
        <v>0</v>
      </c>
      <c r="W19" s="1"/>
      <c r="X19" s="1">
        <f t="shared" si="6"/>
        <v>-2179.3699999999953</v>
      </c>
      <c r="Y19" s="1"/>
      <c r="Z19" s="5">
        <f t="shared" si="7"/>
        <v>-3.3291345597459034E-2</v>
      </c>
    </row>
    <row r="20" spans="1:26" s="24" customFormat="1" hidden="1" outlineLevel="2" x14ac:dyDescent="0.3">
      <c r="A20" s="28"/>
      <c r="B20" s="11" t="str">
        <f>CONCATENATE("          ", "6111", " - ", "F.I.C.A.")</f>
        <v xml:space="preserve">          6111 - F.I.C.A.</v>
      </c>
      <c r="C20" s="11"/>
      <c r="D20" s="6">
        <v>630.71</v>
      </c>
      <c r="E20" s="2"/>
      <c r="F20" s="7">
        <f t="shared" si="0"/>
        <v>0</v>
      </c>
      <c r="G20" s="2"/>
      <c r="H20" s="6">
        <v>578.15</v>
      </c>
      <c r="I20" s="2"/>
      <c r="J20" s="7">
        <f t="shared" si="1"/>
        <v>0</v>
      </c>
      <c r="K20" s="2"/>
      <c r="L20" s="6">
        <f t="shared" si="2"/>
        <v>52.560000000000059</v>
      </c>
      <c r="M20" s="2"/>
      <c r="N20" s="7">
        <f t="shared" si="3"/>
        <v>9.0910663322667229E-2</v>
      </c>
      <c r="O20" s="11"/>
      <c r="P20" s="6">
        <v>6993.85</v>
      </c>
      <c r="Q20" s="2"/>
      <c r="R20" s="7">
        <f t="shared" si="4"/>
        <v>0</v>
      </c>
      <c r="S20" s="2"/>
      <c r="T20" s="6">
        <v>6924.78</v>
      </c>
      <c r="U20" s="2"/>
      <c r="V20" s="7">
        <f t="shared" si="5"/>
        <v>0</v>
      </c>
      <c r="W20" s="2"/>
      <c r="X20" s="6">
        <f t="shared" si="6"/>
        <v>69.070000000000618</v>
      </c>
      <c r="Y20" s="2"/>
      <c r="Z20" s="7">
        <f t="shared" si="7"/>
        <v>9.9743240940507304E-3</v>
      </c>
    </row>
    <row r="21" spans="1:26" s="24" customFormat="1" hidden="1" outlineLevel="2" x14ac:dyDescent="0.3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246.81</v>
      </c>
      <c r="E21" s="2"/>
      <c r="F21" s="7">
        <f t="shared" si="0"/>
        <v>0</v>
      </c>
      <c r="G21" s="2"/>
      <c r="H21" s="6">
        <v>193.48</v>
      </c>
      <c r="I21" s="2"/>
      <c r="J21" s="7">
        <f t="shared" si="1"/>
        <v>0</v>
      </c>
      <c r="K21" s="2"/>
      <c r="L21" s="6">
        <f t="shared" si="2"/>
        <v>53.330000000000013</v>
      </c>
      <c r="M21" s="2"/>
      <c r="N21" s="7">
        <f t="shared" si="3"/>
        <v>0.27563572462270008</v>
      </c>
      <c r="O21" s="11"/>
      <c r="P21" s="6">
        <v>1597.73</v>
      </c>
      <c r="Q21" s="2"/>
      <c r="R21" s="7">
        <f t="shared" si="4"/>
        <v>0</v>
      </c>
      <c r="S21" s="2"/>
      <c r="T21" s="6">
        <v>636.71</v>
      </c>
      <c r="U21" s="2"/>
      <c r="V21" s="7">
        <f t="shared" si="5"/>
        <v>0</v>
      </c>
      <c r="W21" s="2"/>
      <c r="X21" s="6">
        <f t="shared" si="6"/>
        <v>961.02</v>
      </c>
      <c r="Y21" s="2"/>
      <c r="Z21" s="7">
        <f t="shared" si="7"/>
        <v>1.5093527665656263</v>
      </c>
    </row>
    <row r="22" spans="1:26" s="24" customFormat="1" hidden="1" outlineLevel="2" x14ac:dyDescent="0.3">
      <c r="A22" s="28"/>
      <c r="B22" s="11" t="str">
        <f>CONCATENATE("          ", "6113", " - ", "GROUP INSURANCE")</f>
        <v xml:space="preserve">          6113 - GROUP INSURANCE</v>
      </c>
      <c r="C22" s="11"/>
      <c r="D22" s="6">
        <v>3909.65</v>
      </c>
      <c r="E22" s="2"/>
      <c r="F22" s="7">
        <f t="shared" si="0"/>
        <v>0</v>
      </c>
      <c r="G22" s="2"/>
      <c r="H22" s="6">
        <v>3965.44</v>
      </c>
      <c r="I22" s="2"/>
      <c r="J22" s="7">
        <f t="shared" si="1"/>
        <v>0</v>
      </c>
      <c r="K22" s="2"/>
      <c r="L22" s="6">
        <f t="shared" si="2"/>
        <v>-55.789999999999964</v>
      </c>
      <c r="M22" s="2"/>
      <c r="N22" s="7">
        <f t="shared" si="3"/>
        <v>-1.406905664945125E-2</v>
      </c>
      <c r="O22" s="11"/>
      <c r="P22" s="6">
        <v>23656.34</v>
      </c>
      <c r="Q22" s="2"/>
      <c r="R22" s="7">
        <f t="shared" si="4"/>
        <v>0</v>
      </c>
      <c r="S22" s="2"/>
      <c r="T22" s="6">
        <v>24213.919999999998</v>
      </c>
      <c r="U22" s="2"/>
      <c r="V22" s="7">
        <f t="shared" si="5"/>
        <v>0</v>
      </c>
      <c r="W22" s="2"/>
      <c r="X22" s="6">
        <f t="shared" si="6"/>
        <v>-557.57999999999811</v>
      </c>
      <c r="Y22" s="2"/>
      <c r="Z22" s="7">
        <f t="shared" si="7"/>
        <v>-2.3027250441068532E-2</v>
      </c>
    </row>
    <row r="23" spans="1:26" s="24" customFormat="1" hidden="1" outlineLevel="2" x14ac:dyDescent="0.3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49.74</v>
      </c>
      <c r="E23" s="2"/>
      <c r="F23" s="7">
        <f t="shared" si="0"/>
        <v>0</v>
      </c>
      <c r="G23" s="2"/>
      <c r="H23" s="6"/>
      <c r="I23" s="2"/>
      <c r="J23" s="7">
        <f t="shared" si="1"/>
        <v>0</v>
      </c>
      <c r="K23" s="2"/>
      <c r="L23" s="6">
        <f t="shared" si="2"/>
        <v>49.74</v>
      </c>
      <c r="M23" s="2"/>
      <c r="N23" s="7">
        <f t="shared" si="3"/>
        <v>0</v>
      </c>
      <c r="O23" s="11"/>
      <c r="P23" s="6">
        <v>322.02</v>
      </c>
      <c r="Q23" s="2"/>
      <c r="R23" s="7">
        <f t="shared" si="4"/>
        <v>0</v>
      </c>
      <c r="S23" s="2"/>
      <c r="T23" s="6">
        <v>349.22</v>
      </c>
      <c r="U23" s="2"/>
      <c r="V23" s="7">
        <f t="shared" si="5"/>
        <v>0</v>
      </c>
      <c r="W23" s="2"/>
      <c r="X23" s="6">
        <f t="shared" si="6"/>
        <v>-27.200000000000045</v>
      </c>
      <c r="Y23" s="2"/>
      <c r="Z23" s="7">
        <f t="shared" si="7"/>
        <v>-7.7887864383483316E-2</v>
      </c>
    </row>
    <row r="24" spans="1:26" s="24" customFormat="1" hidden="1" outlineLevel="2" x14ac:dyDescent="0.3">
      <c r="A24" s="28"/>
      <c r="B24" s="11" t="str">
        <f>CONCATENATE("          ", "6115", " - ", "P.E.R.S.")</f>
        <v xml:space="preserve">          6115 - P.E.R.S.</v>
      </c>
      <c r="C24" s="11"/>
      <c r="D24" s="6">
        <v>2042.29</v>
      </c>
      <c r="E24" s="2"/>
      <c r="F24" s="7">
        <f t="shared" si="0"/>
        <v>0</v>
      </c>
      <c r="G24" s="2"/>
      <c r="H24" s="6">
        <v>2049.0300000000002</v>
      </c>
      <c r="I24" s="2"/>
      <c r="J24" s="7">
        <f t="shared" si="1"/>
        <v>0</v>
      </c>
      <c r="K24" s="2"/>
      <c r="L24" s="6">
        <f t="shared" si="2"/>
        <v>-6.7400000000002365</v>
      </c>
      <c r="M24" s="2"/>
      <c r="N24" s="7">
        <f t="shared" si="3"/>
        <v>-3.2893613075456367E-3</v>
      </c>
      <c r="O24" s="11"/>
      <c r="P24" s="6">
        <v>13179</v>
      </c>
      <c r="Q24" s="2"/>
      <c r="R24" s="7">
        <f t="shared" si="4"/>
        <v>0</v>
      </c>
      <c r="S24" s="2"/>
      <c r="T24" s="6">
        <v>16656.03</v>
      </c>
      <c r="U24" s="2"/>
      <c r="V24" s="7">
        <f t="shared" si="5"/>
        <v>0</v>
      </c>
      <c r="W24" s="2"/>
      <c r="X24" s="6">
        <f t="shared" si="6"/>
        <v>-3477.0299999999988</v>
      </c>
      <c r="Y24" s="2"/>
      <c r="Z24" s="7">
        <f t="shared" si="7"/>
        <v>-0.20875502745852398</v>
      </c>
    </row>
    <row r="25" spans="1:26" s="24" customFormat="1" hidden="1" outlineLevel="2" x14ac:dyDescent="0.3">
      <c r="A25" s="28"/>
      <c r="B25" s="11" t="str">
        <f>CONCATENATE("          ", "6118", " - ", "VACATION")</f>
        <v xml:space="preserve">          6118 - VACATION</v>
      </c>
      <c r="C25" s="11"/>
      <c r="D25" s="6">
        <v>1674.78</v>
      </c>
      <c r="E25" s="2"/>
      <c r="F25" s="7">
        <f t="shared" si="0"/>
        <v>0</v>
      </c>
      <c r="G25" s="2"/>
      <c r="H25" s="6">
        <v>1658.98</v>
      </c>
      <c r="I25" s="2"/>
      <c r="J25" s="7">
        <f t="shared" si="1"/>
        <v>0</v>
      </c>
      <c r="K25" s="2"/>
      <c r="L25" s="6">
        <f t="shared" si="2"/>
        <v>15.799999999999955</v>
      </c>
      <c r="M25" s="2"/>
      <c r="N25" s="7">
        <f t="shared" si="3"/>
        <v>9.5239243390516787E-3</v>
      </c>
      <c r="O25" s="11"/>
      <c r="P25" s="6">
        <v>10814.97</v>
      </c>
      <c r="Q25" s="2"/>
      <c r="R25" s="7">
        <f t="shared" si="4"/>
        <v>0</v>
      </c>
      <c r="S25" s="2"/>
      <c r="T25" s="6">
        <v>10783.37</v>
      </c>
      <c r="U25" s="2"/>
      <c r="V25" s="7">
        <f t="shared" si="5"/>
        <v>0</v>
      </c>
      <c r="W25" s="2"/>
      <c r="X25" s="6">
        <f t="shared" si="6"/>
        <v>31.599999999998545</v>
      </c>
      <c r="Y25" s="2"/>
      <c r="Z25" s="7">
        <f t="shared" si="7"/>
        <v>2.9304382581696207E-3</v>
      </c>
    </row>
    <row r="26" spans="1:26" s="24" customFormat="1" hidden="1" outlineLevel="2" x14ac:dyDescent="0.3">
      <c r="A26" s="28"/>
      <c r="B26" s="11" t="str">
        <f>CONCATENATE("          ", "6119", " - ", "SICK LEAVE")</f>
        <v xml:space="preserve">          6119 - SICK LEAVE</v>
      </c>
      <c r="C26" s="11"/>
      <c r="D26" s="6">
        <v>865.82</v>
      </c>
      <c r="E26" s="2"/>
      <c r="F26" s="7">
        <f t="shared" si="0"/>
        <v>0</v>
      </c>
      <c r="G26" s="2"/>
      <c r="H26" s="6">
        <v>856.8</v>
      </c>
      <c r="I26" s="2"/>
      <c r="J26" s="7">
        <f t="shared" si="1"/>
        <v>0</v>
      </c>
      <c r="K26" s="2"/>
      <c r="L26" s="6">
        <f t="shared" si="2"/>
        <v>9.0200000000000955</v>
      </c>
      <c r="M26" s="2"/>
      <c r="N26" s="7">
        <f t="shared" si="3"/>
        <v>1.0527544351073875E-2</v>
      </c>
      <c r="O26" s="11"/>
      <c r="P26" s="6">
        <v>5587.24</v>
      </c>
      <c r="Q26" s="2"/>
      <c r="R26" s="7">
        <f t="shared" si="4"/>
        <v>0</v>
      </c>
      <c r="S26" s="2"/>
      <c r="T26" s="6">
        <v>5569.2</v>
      </c>
      <c r="U26" s="2"/>
      <c r="V26" s="7">
        <f t="shared" si="5"/>
        <v>0</v>
      </c>
      <c r="W26" s="2"/>
      <c r="X26" s="6">
        <f t="shared" si="6"/>
        <v>18.039999999999964</v>
      </c>
      <c r="Y26" s="2"/>
      <c r="Z26" s="7">
        <f t="shared" si="7"/>
        <v>3.2392444157149976E-3</v>
      </c>
    </row>
    <row r="27" spans="1:26" s="24" customFormat="1" hidden="1" outlineLevel="2" x14ac:dyDescent="0.3">
      <c r="A27" s="28"/>
      <c r="B27" s="11" t="str">
        <f>CONCATENATE("          ", "6156", " - ", "EMPLOYEE MEALS")</f>
        <v xml:space="preserve">          6156 - EMPLOYEE MEALS</v>
      </c>
      <c r="C27" s="11"/>
      <c r="D27" s="6">
        <v>219.76</v>
      </c>
      <c r="E27" s="2"/>
      <c r="F27" s="7">
        <f t="shared" si="0"/>
        <v>0</v>
      </c>
      <c r="G27" s="2"/>
      <c r="H27" s="6">
        <v>46.58</v>
      </c>
      <c r="I27" s="2"/>
      <c r="J27" s="7">
        <f t="shared" si="1"/>
        <v>0</v>
      </c>
      <c r="K27" s="2"/>
      <c r="L27" s="6">
        <f t="shared" si="2"/>
        <v>173.18</v>
      </c>
      <c r="M27" s="2"/>
      <c r="N27" s="7">
        <f t="shared" si="3"/>
        <v>3.7179046801202236</v>
      </c>
      <c r="O27" s="11"/>
      <c r="P27" s="6">
        <v>1133.04</v>
      </c>
      <c r="Q27" s="2"/>
      <c r="R27" s="7">
        <f t="shared" si="4"/>
        <v>0</v>
      </c>
      <c r="S27" s="2"/>
      <c r="T27" s="6">
        <v>330.33</v>
      </c>
      <c r="U27" s="2"/>
      <c r="V27" s="7">
        <f t="shared" si="5"/>
        <v>0</v>
      </c>
      <c r="W27" s="2"/>
      <c r="X27" s="6">
        <f t="shared" si="6"/>
        <v>802.71</v>
      </c>
      <c r="Y27" s="2"/>
      <c r="Z27" s="7">
        <f t="shared" si="7"/>
        <v>2.4300245209336122</v>
      </c>
    </row>
    <row r="28" spans="1:26" s="29" customFormat="1" outlineLevel="1" collapsed="1" x14ac:dyDescent="0.3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17589.43</v>
      </c>
      <c r="E28" s="1"/>
      <c r="F28" s="5">
        <f t="shared" ref="F28:F31" si="8">IF(D$12=0,0,D28/D$12)</f>
        <v>0</v>
      </c>
      <c r="G28" s="1"/>
      <c r="H28" s="1">
        <f>SUM(OSRRefH22_1x_0)</f>
        <v>18302.29</v>
      </c>
      <c r="I28" s="1"/>
      <c r="J28" s="5">
        <f t="shared" ref="J28:J31" si="9">IF(H$12=0,0,H28/H$12)</f>
        <v>0</v>
      </c>
      <c r="K28" s="1"/>
      <c r="L28" s="1">
        <f t="shared" ref="L28:L31" si="10">+D28-H28</f>
        <v>-712.86000000000058</v>
      </c>
      <c r="M28" s="1"/>
      <c r="N28" s="5">
        <f t="shared" ref="N28:N31" si="11">IF(H28=0,0,L28/H28)</f>
        <v>-3.8949224386675141E-2</v>
      </c>
      <c r="O28" s="14"/>
      <c r="P28" s="1">
        <f>SUM(OSRRefP22_1x_0)</f>
        <v>77676.989999999991</v>
      </c>
      <c r="Q28" s="1"/>
      <c r="R28" s="5">
        <f t="shared" ref="R28:R31" si="12">IF(P$12=0,0,P28/P$12)</f>
        <v>0</v>
      </c>
      <c r="S28" s="1"/>
      <c r="T28" s="1">
        <f>SUM(OSRRefT22_1x_0)</f>
        <v>68699.75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8977.2399999999907</v>
      </c>
      <c r="Y28" s="1"/>
      <c r="Z28" s="5">
        <f t="shared" ref="Z28:Z31" si="15">IF(T28=0,0,X28/T28)</f>
        <v>0.13067354684696803</v>
      </c>
    </row>
    <row r="29" spans="1:26" s="24" customFormat="1" hidden="1" outlineLevel="2" x14ac:dyDescent="0.3">
      <c r="A29" s="28"/>
      <c r="B29" s="11" t="str">
        <f>CONCATENATE("          ", "6001", " - ", "ADMINISTRATIVE SALARIES")</f>
        <v xml:space="preserve">          6001 - ADMINISTRATIVE SALARIES</v>
      </c>
      <c r="C29" s="11"/>
      <c r="D29" s="6">
        <v>13456.34</v>
      </c>
      <c r="E29" s="2"/>
      <c r="F29" s="7">
        <f t="shared" si="8"/>
        <v>0</v>
      </c>
      <c r="G29" s="2"/>
      <c r="H29" s="6">
        <v>14140.28</v>
      </c>
      <c r="I29" s="2"/>
      <c r="J29" s="7">
        <f t="shared" si="9"/>
        <v>0</v>
      </c>
      <c r="K29" s="2"/>
      <c r="L29" s="6">
        <f t="shared" si="10"/>
        <v>-683.94000000000051</v>
      </c>
      <c r="M29" s="2"/>
      <c r="N29" s="7">
        <f t="shared" si="11"/>
        <v>-4.8368207701686282E-2</v>
      </c>
      <c r="O29" s="11"/>
      <c r="P29" s="6">
        <v>49874.31</v>
      </c>
      <c r="Q29" s="2"/>
      <c r="R29" s="7">
        <f t="shared" si="12"/>
        <v>0</v>
      </c>
      <c r="S29" s="2"/>
      <c r="T29" s="6">
        <v>87124.25</v>
      </c>
      <c r="U29" s="2"/>
      <c r="V29" s="7">
        <f t="shared" si="13"/>
        <v>0</v>
      </c>
      <c r="W29" s="2"/>
      <c r="X29" s="6">
        <f t="shared" si="14"/>
        <v>-37249.94</v>
      </c>
      <c r="Y29" s="2"/>
      <c r="Z29" s="7">
        <f t="shared" si="15"/>
        <v>-0.42754962022628606</v>
      </c>
    </row>
    <row r="30" spans="1:26" s="24" customFormat="1" hidden="1" outlineLevel="2" x14ac:dyDescent="0.3">
      <c r="A30" s="28"/>
      <c r="B30" s="11" t="str">
        <f>CONCATENATE("          ", "6002", " - ", "STAFF SALARIES")</f>
        <v xml:space="preserve">          6002 - STAFF SALARIES</v>
      </c>
      <c r="C30" s="11"/>
      <c r="D30" s="6">
        <v>4073.87</v>
      </c>
      <c r="E30" s="2"/>
      <c r="F30" s="7">
        <f t="shared" si="8"/>
        <v>0</v>
      </c>
      <c r="G30" s="2"/>
      <c r="H30" s="6">
        <v>4162.01</v>
      </c>
      <c r="I30" s="2"/>
      <c r="J30" s="7">
        <f t="shared" si="9"/>
        <v>0</v>
      </c>
      <c r="K30" s="2"/>
      <c r="L30" s="6">
        <f t="shared" si="10"/>
        <v>-88.140000000000327</v>
      </c>
      <c r="M30" s="2"/>
      <c r="N30" s="7">
        <f t="shared" si="11"/>
        <v>-2.117726771439769E-2</v>
      </c>
      <c r="O30" s="11"/>
      <c r="P30" s="6">
        <v>27743.46</v>
      </c>
      <c r="Q30" s="2"/>
      <c r="R30" s="7">
        <f t="shared" si="12"/>
        <v>0</v>
      </c>
      <c r="S30" s="2"/>
      <c r="T30" s="6">
        <v>26532.79</v>
      </c>
      <c r="U30" s="2"/>
      <c r="V30" s="7">
        <f t="shared" si="13"/>
        <v>0</v>
      </c>
      <c r="W30" s="2"/>
      <c r="X30" s="6">
        <f t="shared" si="14"/>
        <v>1210.6699999999983</v>
      </c>
      <c r="Y30" s="2"/>
      <c r="Z30" s="7">
        <f t="shared" si="15"/>
        <v>4.5629200698456447E-2</v>
      </c>
    </row>
    <row r="31" spans="1:26" s="24" customFormat="1" hidden="1" outlineLevel="2" x14ac:dyDescent="0.3">
      <c r="A31" s="28"/>
      <c r="B31" s="11" t="str">
        <f>CONCATENATE("          ", "6007", " - ", "STUDENT HOURLY")</f>
        <v xml:space="preserve">          6007 - STUDENT HOURLY</v>
      </c>
      <c r="C31" s="11"/>
      <c r="D31" s="6">
        <v>59.22</v>
      </c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59.22</v>
      </c>
      <c r="M31" s="2"/>
      <c r="N31" s="7">
        <f t="shared" si="11"/>
        <v>0</v>
      </c>
      <c r="O31" s="11"/>
      <c r="P31" s="6">
        <v>59.22</v>
      </c>
      <c r="Q31" s="2"/>
      <c r="R31" s="7">
        <f t="shared" si="12"/>
        <v>0</v>
      </c>
      <c r="S31" s="2"/>
      <c r="T31" s="6">
        <v>-44957.29</v>
      </c>
      <c r="U31" s="2"/>
      <c r="V31" s="7">
        <f t="shared" si="13"/>
        <v>0</v>
      </c>
      <c r="W31" s="2"/>
      <c r="X31" s="6">
        <f t="shared" si="14"/>
        <v>45016.51</v>
      </c>
      <c r="Y31" s="2"/>
      <c r="Z31" s="7">
        <f t="shared" si="15"/>
        <v>-1.0013172502168168</v>
      </c>
    </row>
    <row r="32" spans="1:26" s="29" customFormat="1" outlineLevel="1" collapsed="1" x14ac:dyDescent="0.3">
      <c r="A32" s="27"/>
      <c r="B32" s="14" t="str">
        <f>CONCATENATE("     ","Advertising/Promo                                 ")</f>
        <v xml:space="preserve">     Advertising/Promo                                 </v>
      </c>
      <c r="C32" s="14"/>
      <c r="D32" s="1">
        <f>SUM(OSRRefD22_2x_0)</f>
        <v>1780.99</v>
      </c>
      <c r="E32" s="1"/>
      <c r="F32" s="5">
        <f t="shared" ref="F32:F47" si="16">IF(D$12=0,0,D32/D$12)</f>
        <v>0</v>
      </c>
      <c r="G32" s="1"/>
      <c r="H32" s="1">
        <f>SUM(OSRRefH22_2x_0)</f>
        <v>0</v>
      </c>
      <c r="I32" s="1"/>
      <c r="J32" s="5">
        <f t="shared" ref="J32:J47" si="17">IF(H$12=0,0,H32/H$12)</f>
        <v>0</v>
      </c>
      <c r="K32" s="1"/>
      <c r="L32" s="1">
        <f t="shared" ref="L32:L47" si="18">+D32-H32</f>
        <v>1780.99</v>
      </c>
      <c r="M32" s="1"/>
      <c r="N32" s="5">
        <f t="shared" ref="N32:N47" si="19">IF(H32=0,0,L32/H32)</f>
        <v>0</v>
      </c>
      <c r="O32" s="14"/>
      <c r="P32" s="1">
        <f>SUM(OSRRefP22_2x_0)</f>
        <v>1967.41</v>
      </c>
      <c r="Q32" s="1"/>
      <c r="R32" s="5">
        <f t="shared" ref="R32:R47" si="20">IF(P$12=0,0,P32/P$12)</f>
        <v>0</v>
      </c>
      <c r="S32" s="1"/>
      <c r="T32" s="1">
        <f>SUM(OSRRefT22_2x_0)</f>
        <v>66.8</v>
      </c>
      <c r="U32" s="1"/>
      <c r="V32" s="5">
        <f t="shared" ref="V32:V47" si="21">IF(T$12=0,0,T32/T$12)</f>
        <v>0</v>
      </c>
      <c r="W32" s="1"/>
      <c r="X32" s="1">
        <f t="shared" ref="X32:X47" si="22">+P32-T32</f>
        <v>1900.6100000000001</v>
      </c>
      <c r="Y32" s="1"/>
      <c r="Z32" s="5">
        <f t="shared" ref="Z32:Z47" si="23">IF(T32=0,0,X32/T32)</f>
        <v>28.452245508982038</v>
      </c>
    </row>
    <row r="33" spans="1:26" s="24" customFormat="1" hidden="1" outlineLevel="2" x14ac:dyDescent="0.3">
      <c r="A33" s="28"/>
      <c r="B33" s="11" t="str">
        <f>CONCATENATE("          ", "6362", " - ", "ADVERTISING EXPENSE")</f>
        <v xml:space="preserve">          6362 - ADVERTISING EXPENSE</v>
      </c>
      <c r="C33" s="11"/>
      <c r="D33" s="6">
        <v>1780.99</v>
      </c>
      <c r="E33" s="2"/>
      <c r="F33" s="7">
        <f t="shared" si="16"/>
        <v>0</v>
      </c>
      <c r="G33" s="2"/>
      <c r="H33" s="6"/>
      <c r="I33" s="2"/>
      <c r="J33" s="7">
        <f t="shared" si="17"/>
        <v>0</v>
      </c>
      <c r="K33" s="2"/>
      <c r="L33" s="6">
        <f t="shared" si="18"/>
        <v>1780.99</v>
      </c>
      <c r="M33" s="2"/>
      <c r="N33" s="7">
        <f t="shared" si="19"/>
        <v>0</v>
      </c>
      <c r="O33" s="11"/>
      <c r="P33" s="6">
        <v>1967.41</v>
      </c>
      <c r="Q33" s="2"/>
      <c r="R33" s="7">
        <f t="shared" si="20"/>
        <v>0</v>
      </c>
      <c r="S33" s="2"/>
      <c r="T33" s="6">
        <v>66.8</v>
      </c>
      <c r="U33" s="2"/>
      <c r="V33" s="7">
        <f t="shared" si="21"/>
        <v>0</v>
      </c>
      <c r="W33" s="2"/>
      <c r="X33" s="6">
        <f t="shared" si="22"/>
        <v>1900.6100000000001</v>
      </c>
      <c r="Y33" s="2"/>
      <c r="Z33" s="7">
        <f t="shared" si="23"/>
        <v>28.452245508982038</v>
      </c>
    </row>
    <row r="34" spans="1:26" s="29" customFormat="1" outlineLevel="1" collapsed="1" x14ac:dyDescent="0.3">
      <c r="A34" s="27"/>
      <c r="B34" s="14" t="str">
        <f>CONCATENATE("     ","Depreciation                                      ")</f>
        <v xml:space="preserve">     Depreciation                                      </v>
      </c>
      <c r="C34" s="14"/>
      <c r="D34" s="1">
        <f>SUM(OSRRefD22_3x_0)</f>
        <v>314.87</v>
      </c>
      <c r="E34" s="1"/>
      <c r="F34" s="5">
        <f t="shared" si="16"/>
        <v>0</v>
      </c>
      <c r="G34" s="1"/>
      <c r="H34" s="1">
        <f>SUM(OSRRefH22_3x_0)</f>
        <v>314.87</v>
      </c>
      <c r="I34" s="1"/>
      <c r="J34" s="5">
        <f t="shared" si="17"/>
        <v>0</v>
      </c>
      <c r="K34" s="1"/>
      <c r="L34" s="1">
        <f t="shared" si="18"/>
        <v>0</v>
      </c>
      <c r="M34" s="1"/>
      <c r="N34" s="5">
        <f t="shared" si="19"/>
        <v>0</v>
      </c>
      <c r="O34" s="14"/>
      <c r="P34" s="1">
        <f>SUM(OSRRefP22_3x_0)</f>
        <v>1889.22</v>
      </c>
      <c r="Q34" s="1"/>
      <c r="R34" s="5">
        <f t="shared" si="20"/>
        <v>0</v>
      </c>
      <c r="S34" s="1"/>
      <c r="T34" s="1">
        <f>SUM(OSRRefT22_3x_0)</f>
        <v>1889.22</v>
      </c>
      <c r="U34" s="1"/>
      <c r="V34" s="5">
        <f t="shared" si="21"/>
        <v>0</v>
      </c>
      <c r="W34" s="1"/>
      <c r="X34" s="1">
        <f t="shared" si="22"/>
        <v>0</v>
      </c>
      <c r="Y34" s="1"/>
      <c r="Z34" s="5">
        <f t="shared" si="23"/>
        <v>0</v>
      </c>
    </row>
    <row r="35" spans="1:26" s="24" customFormat="1" hidden="1" outlineLevel="2" x14ac:dyDescent="0.3">
      <c r="A35" s="28"/>
      <c r="B35" s="11" t="str">
        <f>CONCATENATE("          ", "6322", " - ", "EQUIPMENT DEPRECIATION EXPENSE")</f>
        <v xml:space="preserve">          6322 - EQUIPMENT DEPRECIATION EXPENSE</v>
      </c>
      <c r="C35" s="11"/>
      <c r="D35" s="6">
        <v>314.87</v>
      </c>
      <c r="E35" s="2"/>
      <c r="F35" s="7">
        <f t="shared" si="16"/>
        <v>0</v>
      </c>
      <c r="G35" s="2"/>
      <c r="H35" s="6">
        <v>314.87</v>
      </c>
      <c r="I35" s="2"/>
      <c r="J35" s="7">
        <f t="shared" si="17"/>
        <v>0</v>
      </c>
      <c r="K35" s="2"/>
      <c r="L35" s="6">
        <f t="shared" si="18"/>
        <v>0</v>
      </c>
      <c r="M35" s="2"/>
      <c r="N35" s="7">
        <f t="shared" si="19"/>
        <v>0</v>
      </c>
      <c r="O35" s="11"/>
      <c r="P35" s="6">
        <v>1889.22</v>
      </c>
      <c r="Q35" s="2"/>
      <c r="R35" s="7">
        <f t="shared" si="20"/>
        <v>0</v>
      </c>
      <c r="S35" s="2"/>
      <c r="T35" s="6">
        <v>1889.22</v>
      </c>
      <c r="U35" s="2"/>
      <c r="V35" s="7">
        <f t="shared" si="21"/>
        <v>0</v>
      </c>
      <c r="W35" s="2"/>
      <c r="X35" s="6">
        <f t="shared" si="22"/>
        <v>0</v>
      </c>
      <c r="Y35" s="2"/>
      <c r="Z35" s="7">
        <f t="shared" si="23"/>
        <v>0</v>
      </c>
    </row>
    <row r="36" spans="1:26" s="29" customFormat="1" outlineLevel="1" collapsed="1" x14ac:dyDescent="0.3">
      <c r="A36" s="27"/>
      <c r="B36" s="14" t="str">
        <f>CONCATENATE("     ","Donations                                         ")</f>
        <v xml:space="preserve">     Donations                                         </v>
      </c>
      <c r="C36" s="14"/>
      <c r="D36" s="1">
        <f>SUM(OSRRefD22_4x_0)</f>
        <v>300</v>
      </c>
      <c r="E36" s="1"/>
      <c r="F36" s="5">
        <f t="shared" si="16"/>
        <v>0</v>
      </c>
      <c r="G36" s="1"/>
      <c r="H36" s="1">
        <f>SUM(OSRRefH22_4x_0)</f>
        <v>0</v>
      </c>
      <c r="I36" s="1"/>
      <c r="J36" s="5">
        <f t="shared" si="17"/>
        <v>0</v>
      </c>
      <c r="K36" s="1"/>
      <c r="L36" s="1">
        <f t="shared" si="18"/>
        <v>300</v>
      </c>
      <c r="M36" s="1"/>
      <c r="N36" s="5">
        <f t="shared" si="19"/>
        <v>0</v>
      </c>
      <c r="O36" s="14"/>
      <c r="P36" s="1">
        <f>SUM(OSRRefP22_4x_0)</f>
        <v>25300</v>
      </c>
      <c r="Q36" s="1"/>
      <c r="R36" s="5">
        <f t="shared" si="20"/>
        <v>0</v>
      </c>
      <c r="S36" s="1"/>
      <c r="T36" s="1">
        <f>SUM(OSRRefT22_4x_0)</f>
        <v>25000</v>
      </c>
      <c r="U36" s="1"/>
      <c r="V36" s="5">
        <f t="shared" si="21"/>
        <v>0</v>
      </c>
      <c r="W36" s="1"/>
      <c r="X36" s="1">
        <f t="shared" si="22"/>
        <v>300</v>
      </c>
      <c r="Y36" s="1"/>
      <c r="Z36" s="5">
        <f t="shared" si="23"/>
        <v>1.2E-2</v>
      </c>
    </row>
    <row r="37" spans="1:26" s="24" customFormat="1" hidden="1" outlineLevel="2" x14ac:dyDescent="0.3">
      <c r="A37" s="28"/>
      <c r="B37" s="11" t="str">
        <f>CONCATENATE("          ", "6399", " - ", "DONATION-ON CAMPUS")</f>
        <v xml:space="preserve">          6399 - DONATION-ON CAMPUS</v>
      </c>
      <c r="C37" s="11"/>
      <c r="D37" s="6">
        <v>300</v>
      </c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300</v>
      </c>
      <c r="M37" s="2"/>
      <c r="N37" s="7">
        <f t="shared" si="19"/>
        <v>0</v>
      </c>
      <c r="O37" s="11"/>
      <c r="P37" s="6">
        <v>25300</v>
      </c>
      <c r="Q37" s="2"/>
      <c r="R37" s="7">
        <f t="shared" si="20"/>
        <v>0</v>
      </c>
      <c r="S37" s="2"/>
      <c r="T37" s="6">
        <v>25000</v>
      </c>
      <c r="U37" s="2"/>
      <c r="V37" s="7">
        <f t="shared" si="21"/>
        <v>0</v>
      </c>
      <c r="W37" s="2"/>
      <c r="X37" s="6">
        <f t="shared" si="22"/>
        <v>300</v>
      </c>
      <c r="Y37" s="2"/>
      <c r="Z37" s="7">
        <f t="shared" si="23"/>
        <v>1.2E-2</v>
      </c>
    </row>
    <row r="38" spans="1:26" s="29" customFormat="1" outlineLevel="1" collapsed="1" x14ac:dyDescent="0.3">
      <c r="A38" s="27"/>
      <c r="B38" s="14" t="str">
        <f>CONCATENATE("     ","Equipment Rental                                  ")</f>
        <v xml:space="preserve">     Equipment Rental                                  </v>
      </c>
      <c r="C38" s="14"/>
      <c r="D38" s="1">
        <f>SUM(OSRRefD22_5x_0)</f>
        <v>117.71</v>
      </c>
      <c r="E38" s="1"/>
      <c r="F38" s="5">
        <f t="shared" si="16"/>
        <v>0</v>
      </c>
      <c r="G38" s="1"/>
      <c r="H38" s="1">
        <f>SUM(OSRRefH22_5x_0)</f>
        <v>117.71</v>
      </c>
      <c r="I38" s="1"/>
      <c r="J38" s="5">
        <f t="shared" si="17"/>
        <v>0</v>
      </c>
      <c r="K38" s="1"/>
      <c r="L38" s="1">
        <f t="shared" si="18"/>
        <v>0</v>
      </c>
      <c r="M38" s="1"/>
      <c r="N38" s="5">
        <f t="shared" si="19"/>
        <v>0</v>
      </c>
      <c r="O38" s="14"/>
      <c r="P38" s="1">
        <f>SUM(OSRRefP22_5x_0)</f>
        <v>706.26</v>
      </c>
      <c r="Q38" s="1"/>
      <c r="R38" s="5">
        <f t="shared" si="20"/>
        <v>0</v>
      </c>
      <c r="S38" s="1"/>
      <c r="T38" s="1">
        <f>SUM(OSRRefT22_5x_0)</f>
        <v>706.26</v>
      </c>
      <c r="U38" s="1"/>
      <c r="V38" s="5">
        <f t="shared" si="21"/>
        <v>0</v>
      </c>
      <c r="W38" s="1"/>
      <c r="X38" s="1">
        <f t="shared" si="22"/>
        <v>0</v>
      </c>
      <c r="Y38" s="1"/>
      <c r="Z38" s="5">
        <f t="shared" si="23"/>
        <v>0</v>
      </c>
    </row>
    <row r="39" spans="1:26" s="24" customFormat="1" hidden="1" outlineLevel="2" x14ac:dyDescent="0.3">
      <c r="A39" s="28"/>
      <c r="B39" s="11" t="str">
        <f>CONCATENATE("          ", "6351", " - ", "EQUIPMENT RENTAL")</f>
        <v xml:space="preserve">          6351 - EQUIPMENT RENTAL</v>
      </c>
      <c r="C39" s="11"/>
      <c r="D39" s="6">
        <v>117.71</v>
      </c>
      <c r="E39" s="2"/>
      <c r="F39" s="7">
        <f t="shared" si="16"/>
        <v>0</v>
      </c>
      <c r="G39" s="2"/>
      <c r="H39" s="6">
        <v>117.71</v>
      </c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1"/>
      <c r="P39" s="6">
        <v>706.26</v>
      </c>
      <c r="Q39" s="2"/>
      <c r="R39" s="7">
        <f t="shared" si="20"/>
        <v>0</v>
      </c>
      <c r="S39" s="2"/>
      <c r="T39" s="6">
        <v>706.26</v>
      </c>
      <c r="U39" s="2"/>
      <c r="V39" s="7">
        <f t="shared" si="21"/>
        <v>0</v>
      </c>
      <c r="W39" s="2"/>
      <c r="X39" s="6">
        <f t="shared" si="22"/>
        <v>0</v>
      </c>
      <c r="Y39" s="2"/>
      <c r="Z39" s="7">
        <f t="shared" si="23"/>
        <v>0</v>
      </c>
    </row>
    <row r="40" spans="1:26" s="29" customFormat="1" outlineLevel="1" collapsed="1" x14ac:dyDescent="0.3">
      <c r="A40" s="27"/>
      <c r="B40" s="14" t="str">
        <f>CONCATENATE("     ","Freight out/Postage                               ")</f>
        <v xml:space="preserve">     Freight out/Postage                               </v>
      </c>
      <c r="C40" s="14"/>
      <c r="D40" s="1">
        <f>SUM(OSRRefD22_6x_0)</f>
        <v>0</v>
      </c>
      <c r="E40" s="1"/>
      <c r="F40" s="5">
        <f t="shared" si="16"/>
        <v>0</v>
      </c>
      <c r="G40" s="1"/>
      <c r="H40" s="1">
        <f>SUM(OSRRefH22_6x_0)</f>
        <v>1.5</v>
      </c>
      <c r="I40" s="1"/>
      <c r="J40" s="5">
        <f t="shared" si="17"/>
        <v>0</v>
      </c>
      <c r="K40" s="1"/>
      <c r="L40" s="1">
        <f t="shared" si="18"/>
        <v>-1.5</v>
      </c>
      <c r="M40" s="1"/>
      <c r="N40" s="5">
        <f t="shared" si="19"/>
        <v>-1</v>
      </c>
      <c r="O40" s="14"/>
      <c r="P40" s="1">
        <f>SUM(OSRRefP22_6x_0)</f>
        <v>29.52</v>
      </c>
      <c r="Q40" s="1"/>
      <c r="R40" s="5">
        <f t="shared" si="20"/>
        <v>0</v>
      </c>
      <c r="S40" s="1"/>
      <c r="T40" s="1">
        <f>SUM(OSRRefT22_6x_0)</f>
        <v>65.06</v>
      </c>
      <c r="U40" s="1"/>
      <c r="V40" s="5">
        <f t="shared" si="21"/>
        <v>0</v>
      </c>
      <c r="W40" s="1"/>
      <c r="X40" s="1">
        <f t="shared" si="22"/>
        <v>-35.540000000000006</v>
      </c>
      <c r="Y40" s="1"/>
      <c r="Z40" s="5">
        <f t="shared" si="23"/>
        <v>-0.54626498616661556</v>
      </c>
    </row>
    <row r="41" spans="1:26" s="24" customFormat="1" hidden="1" outlineLevel="2" x14ac:dyDescent="0.3">
      <c r="A41" s="28"/>
      <c r="B41" s="11" t="str">
        <f>CONCATENATE("          ", "6307", " - ", "POSTAGE")</f>
        <v xml:space="preserve">          6307 - POSTAGE</v>
      </c>
      <c r="C41" s="11"/>
      <c r="D41" s="6"/>
      <c r="E41" s="2"/>
      <c r="F41" s="7">
        <f t="shared" si="16"/>
        <v>0</v>
      </c>
      <c r="G41" s="2"/>
      <c r="H41" s="6">
        <v>1.5</v>
      </c>
      <c r="I41" s="2"/>
      <c r="J41" s="7">
        <f t="shared" si="17"/>
        <v>0</v>
      </c>
      <c r="K41" s="2"/>
      <c r="L41" s="6">
        <f t="shared" si="18"/>
        <v>-1.5</v>
      </c>
      <c r="M41" s="2"/>
      <c r="N41" s="7">
        <f t="shared" si="19"/>
        <v>-1</v>
      </c>
      <c r="O41" s="11"/>
      <c r="P41" s="6">
        <v>29.52</v>
      </c>
      <c r="Q41" s="2"/>
      <c r="R41" s="7">
        <f t="shared" si="20"/>
        <v>0</v>
      </c>
      <c r="S41" s="2"/>
      <c r="T41" s="6">
        <v>65.06</v>
      </c>
      <c r="U41" s="2"/>
      <c r="V41" s="7">
        <f t="shared" si="21"/>
        <v>0</v>
      </c>
      <c r="W41" s="2"/>
      <c r="X41" s="6">
        <f t="shared" si="22"/>
        <v>-35.540000000000006</v>
      </c>
      <c r="Y41" s="2"/>
      <c r="Z41" s="7">
        <f t="shared" si="23"/>
        <v>-0.54626498616661556</v>
      </c>
    </row>
    <row r="42" spans="1:26" s="29" customFormat="1" outlineLevel="1" collapsed="1" x14ac:dyDescent="0.3">
      <c r="A42" s="27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SUM(OSRRefD22_7x_0)</f>
        <v>156.47999999999999</v>
      </c>
      <c r="E42" s="1"/>
      <c r="F42" s="5">
        <f t="shared" si="16"/>
        <v>0</v>
      </c>
      <c r="G42" s="1"/>
      <c r="H42" s="1">
        <f>SUM(OSRRefH22_7x_0)</f>
        <v>115.13</v>
      </c>
      <c r="I42" s="1"/>
      <c r="J42" s="5">
        <f t="shared" si="17"/>
        <v>0</v>
      </c>
      <c r="K42" s="1"/>
      <c r="L42" s="1">
        <f t="shared" si="18"/>
        <v>41.349999999999994</v>
      </c>
      <c r="M42" s="1"/>
      <c r="N42" s="5">
        <f t="shared" si="19"/>
        <v>0.35915921132632672</v>
      </c>
      <c r="O42" s="14"/>
      <c r="P42" s="1">
        <f>SUM(OSRRefP22_7x_0)</f>
        <v>938.88</v>
      </c>
      <c r="Q42" s="1"/>
      <c r="R42" s="5">
        <f t="shared" si="20"/>
        <v>0</v>
      </c>
      <c r="S42" s="1"/>
      <c r="T42" s="1">
        <f>SUM(OSRRefT22_7x_0)</f>
        <v>690.78</v>
      </c>
      <c r="U42" s="1"/>
      <c r="V42" s="5">
        <f t="shared" si="21"/>
        <v>0</v>
      </c>
      <c r="W42" s="1"/>
      <c r="X42" s="1">
        <f t="shared" si="22"/>
        <v>248.10000000000002</v>
      </c>
      <c r="Y42" s="1"/>
      <c r="Z42" s="5">
        <f t="shared" si="23"/>
        <v>0.35915921132632683</v>
      </c>
    </row>
    <row r="43" spans="1:26" s="24" customFormat="1" hidden="1" outlineLevel="2" x14ac:dyDescent="0.3">
      <c r="A43" s="28"/>
      <c r="B43" s="11" t="str">
        <f>CONCATENATE("          ", "6314", " - ", "LIABILITY INSURANCE")</f>
        <v xml:space="preserve">          6314 - LIABILITY INSURANCE</v>
      </c>
      <c r="C43" s="11"/>
      <c r="D43" s="6">
        <v>156.47999999999999</v>
      </c>
      <c r="E43" s="2"/>
      <c r="F43" s="7">
        <f t="shared" si="16"/>
        <v>0</v>
      </c>
      <c r="G43" s="2"/>
      <c r="H43" s="6">
        <v>115.13</v>
      </c>
      <c r="I43" s="2"/>
      <c r="J43" s="7">
        <f t="shared" si="17"/>
        <v>0</v>
      </c>
      <c r="K43" s="2"/>
      <c r="L43" s="6">
        <f t="shared" si="18"/>
        <v>41.349999999999994</v>
      </c>
      <c r="M43" s="2"/>
      <c r="N43" s="7">
        <f t="shared" si="19"/>
        <v>0.35915921132632672</v>
      </c>
      <c r="O43" s="11"/>
      <c r="P43" s="6">
        <v>938.88</v>
      </c>
      <c r="Q43" s="2"/>
      <c r="R43" s="7">
        <f t="shared" si="20"/>
        <v>0</v>
      </c>
      <c r="S43" s="2"/>
      <c r="T43" s="6">
        <v>690.78</v>
      </c>
      <c r="U43" s="2"/>
      <c r="V43" s="7">
        <f t="shared" si="21"/>
        <v>0</v>
      </c>
      <c r="W43" s="2"/>
      <c r="X43" s="6">
        <f t="shared" si="22"/>
        <v>248.10000000000002</v>
      </c>
      <c r="Y43" s="2"/>
      <c r="Z43" s="7">
        <f t="shared" si="23"/>
        <v>0.35915921132632683</v>
      </c>
    </row>
    <row r="44" spans="1:26" s="29" customFormat="1" outlineLevel="1" collapsed="1" x14ac:dyDescent="0.3">
      <c r="A44" s="27"/>
      <c r="B44" s="14" t="str">
        <f>CONCATENATE("     ","Professional Services                             ")</f>
        <v xml:space="preserve">     Professional Services                             </v>
      </c>
      <c r="C44" s="14"/>
      <c r="D44" s="1">
        <f>SUM(OSRRefD22_8x_0)</f>
        <v>0</v>
      </c>
      <c r="E44" s="1"/>
      <c r="F44" s="5">
        <f t="shared" si="16"/>
        <v>0</v>
      </c>
      <c r="G44" s="1"/>
      <c r="H44" s="1">
        <f>SUM(OSRRefH22_8x_0)</f>
        <v>12964.86</v>
      </c>
      <c r="I44" s="1"/>
      <c r="J44" s="5">
        <f t="shared" si="17"/>
        <v>0</v>
      </c>
      <c r="K44" s="1"/>
      <c r="L44" s="1">
        <f t="shared" si="18"/>
        <v>-12964.86</v>
      </c>
      <c r="M44" s="1"/>
      <c r="N44" s="5">
        <f t="shared" si="19"/>
        <v>-1</v>
      </c>
      <c r="O44" s="14"/>
      <c r="P44" s="1">
        <f>SUM(OSRRefP22_8x_0)</f>
        <v>51875</v>
      </c>
      <c r="Q44" s="1"/>
      <c r="R44" s="5">
        <f t="shared" si="20"/>
        <v>0</v>
      </c>
      <c r="S44" s="1"/>
      <c r="T44" s="1">
        <f>SUM(OSRRefT22_8x_0)</f>
        <v>49654.239999999998</v>
      </c>
      <c r="U44" s="1"/>
      <c r="V44" s="5">
        <f t="shared" si="21"/>
        <v>0</v>
      </c>
      <c r="W44" s="1"/>
      <c r="X44" s="1">
        <f t="shared" si="22"/>
        <v>2220.760000000002</v>
      </c>
      <c r="Y44" s="1"/>
      <c r="Z44" s="5">
        <f t="shared" si="23"/>
        <v>4.4724478715211471E-2</v>
      </c>
    </row>
    <row r="45" spans="1:26" s="24" customFormat="1" hidden="1" outlineLevel="2" x14ac:dyDescent="0.3">
      <c r="A45" s="28"/>
      <c r="B45" s="11" t="str">
        <f>CONCATENATE("          ", "6331", " - ", "INDIRECT COSTS-AUXILIARY ORGAN")</f>
        <v xml:space="preserve">          6331 - INDIRECT COSTS-AUXILIARY ORGAN</v>
      </c>
      <c r="C45" s="11"/>
      <c r="D45" s="6"/>
      <c r="E45" s="2"/>
      <c r="F45" s="7">
        <f t="shared" si="16"/>
        <v>0</v>
      </c>
      <c r="G45" s="2"/>
      <c r="H45" s="6">
        <v>12850</v>
      </c>
      <c r="I45" s="2"/>
      <c r="J45" s="7">
        <f t="shared" si="17"/>
        <v>0</v>
      </c>
      <c r="K45" s="2"/>
      <c r="L45" s="6">
        <f t="shared" si="18"/>
        <v>-12850</v>
      </c>
      <c r="M45" s="2"/>
      <c r="N45" s="7">
        <f t="shared" si="19"/>
        <v>-1</v>
      </c>
      <c r="O45" s="11"/>
      <c r="P45" s="6">
        <v>48350</v>
      </c>
      <c r="Q45" s="2"/>
      <c r="R45" s="7">
        <f t="shared" si="20"/>
        <v>0</v>
      </c>
      <c r="S45" s="2"/>
      <c r="T45" s="6">
        <v>45850</v>
      </c>
      <c r="U45" s="2"/>
      <c r="V45" s="7">
        <f t="shared" si="21"/>
        <v>0</v>
      </c>
      <c r="W45" s="2"/>
      <c r="X45" s="6">
        <f t="shared" si="22"/>
        <v>2500</v>
      </c>
      <c r="Y45" s="2"/>
      <c r="Z45" s="7">
        <f t="shared" si="23"/>
        <v>5.4525627044711013E-2</v>
      </c>
    </row>
    <row r="46" spans="1:26" s="24" customFormat="1" hidden="1" outlineLevel="2" x14ac:dyDescent="0.3">
      <c r="A46" s="28"/>
      <c r="B46" s="11" t="str">
        <f>CONCATENATE("          ", "6334", " - ", "LEGAL COUNCIL EXPENSE")</f>
        <v xml:space="preserve">          6334 - LEGAL COUNCIL EXPENSE</v>
      </c>
      <c r="C46" s="11"/>
      <c r="D46" s="6"/>
      <c r="E46" s="2"/>
      <c r="F46" s="7">
        <f t="shared" si="16"/>
        <v>0</v>
      </c>
      <c r="G46" s="2"/>
      <c r="H46" s="6">
        <v>114.86</v>
      </c>
      <c r="I46" s="2"/>
      <c r="J46" s="7">
        <f t="shared" si="17"/>
        <v>0</v>
      </c>
      <c r="K46" s="2"/>
      <c r="L46" s="6">
        <f t="shared" si="18"/>
        <v>-114.86</v>
      </c>
      <c r="M46" s="2"/>
      <c r="N46" s="7">
        <f t="shared" si="19"/>
        <v>-1</v>
      </c>
      <c r="O46" s="11"/>
      <c r="P46" s="6">
        <v>200</v>
      </c>
      <c r="Q46" s="2"/>
      <c r="R46" s="7">
        <f t="shared" si="20"/>
        <v>0</v>
      </c>
      <c r="S46" s="2"/>
      <c r="T46" s="6">
        <v>3804.24</v>
      </c>
      <c r="U46" s="2"/>
      <c r="V46" s="7">
        <f t="shared" si="21"/>
        <v>0</v>
      </c>
      <c r="W46" s="2"/>
      <c r="X46" s="6">
        <f t="shared" si="22"/>
        <v>-3604.24</v>
      </c>
      <c r="Y46" s="2"/>
      <c r="Z46" s="7">
        <f t="shared" si="23"/>
        <v>-0.94742708136184883</v>
      </c>
    </row>
    <row r="47" spans="1:26" s="24" customFormat="1" hidden="1" outlineLevel="2" x14ac:dyDescent="0.3">
      <c r="A47" s="28"/>
      <c r="B47" s="11" t="str">
        <f>CONCATENATE("          ", "6336", " - ", "PROFESSIONAL SERVICES")</f>
        <v xml:space="preserve">          6336 - PROFESSIONAL SERVICES</v>
      </c>
      <c r="C47" s="11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1"/>
      <c r="P47" s="6">
        <v>3325</v>
      </c>
      <c r="Q47" s="2"/>
      <c r="R47" s="7">
        <f t="shared" si="20"/>
        <v>0</v>
      </c>
      <c r="S47" s="2"/>
      <c r="T47" s="6"/>
      <c r="U47" s="2"/>
      <c r="V47" s="7">
        <f t="shared" si="21"/>
        <v>0</v>
      </c>
      <c r="W47" s="2"/>
      <c r="X47" s="6">
        <f t="shared" si="22"/>
        <v>3325</v>
      </c>
      <c r="Y47" s="2"/>
      <c r="Z47" s="7">
        <f t="shared" si="23"/>
        <v>0</v>
      </c>
    </row>
    <row r="48" spans="1:26" s="29" customFormat="1" outlineLevel="1" collapsed="1" x14ac:dyDescent="0.3">
      <c r="A48" s="27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SUM(OSRRefD22_9x_0)</f>
        <v>93.74</v>
      </c>
      <c r="E48" s="1"/>
      <c r="F48" s="5">
        <f t="shared" ref="F48:F50" si="24">IF(D$12=0,0,D48/D$12)</f>
        <v>0</v>
      </c>
      <c r="G48" s="1"/>
      <c r="H48" s="1">
        <f>SUM(OSRRefH22_9x_0)</f>
        <v>1448.74</v>
      </c>
      <c r="I48" s="1"/>
      <c r="J48" s="5">
        <f t="shared" ref="J48:J50" si="25">IF(H$12=0,0,H48/H$12)</f>
        <v>0</v>
      </c>
      <c r="K48" s="1"/>
      <c r="L48" s="1">
        <f t="shared" ref="L48:L50" si="26">+D48-H48</f>
        <v>-1355</v>
      </c>
      <c r="M48" s="1"/>
      <c r="N48" s="5">
        <f t="shared" ref="N48:N50" si="27">IF(H48=0,0,L48/H48)</f>
        <v>-0.93529549815701918</v>
      </c>
      <c r="O48" s="14"/>
      <c r="P48" s="1">
        <f>SUM(OSRRefP22_9x_0)</f>
        <v>10715.32</v>
      </c>
      <c r="Q48" s="1"/>
      <c r="R48" s="5">
        <f t="shared" ref="R48:R50" si="28">IF(P$12=0,0,P48/P$12)</f>
        <v>0</v>
      </c>
      <c r="S48" s="1"/>
      <c r="T48" s="1">
        <f>SUM(OSRRefT22_9x_0)</f>
        <v>13261</v>
      </c>
      <c r="U48" s="1"/>
      <c r="V48" s="5">
        <f t="shared" ref="V48:V50" si="29">IF(T$12=0,0,T48/T$12)</f>
        <v>0</v>
      </c>
      <c r="W48" s="1"/>
      <c r="X48" s="1">
        <f t="shared" ref="X48:X50" si="30">+P48-T48</f>
        <v>-2545.6800000000003</v>
      </c>
      <c r="Y48" s="1"/>
      <c r="Z48" s="5">
        <f t="shared" ref="Z48:Z50" si="31">IF(T48=0,0,X48/T48)</f>
        <v>-0.19196742327124652</v>
      </c>
    </row>
    <row r="49" spans="1:26" s="24" customFormat="1" hidden="1" outlineLevel="2" x14ac:dyDescent="0.3">
      <c r="A49" s="28"/>
      <c r="B49" s="11" t="str">
        <f>CONCATENATE("          ", "6373", " - ", "MAINTENANCE CONTRACTS")</f>
        <v xml:space="preserve">          6373 - MAINTENANCE CONTRACTS</v>
      </c>
      <c r="C49" s="11"/>
      <c r="D49" s="6">
        <v>93.74</v>
      </c>
      <c r="E49" s="2"/>
      <c r="F49" s="7">
        <f t="shared" si="24"/>
        <v>0</v>
      </c>
      <c r="G49" s="2"/>
      <c r="H49" s="6">
        <v>1448.74</v>
      </c>
      <c r="I49" s="2"/>
      <c r="J49" s="7">
        <f t="shared" si="25"/>
        <v>0</v>
      </c>
      <c r="K49" s="2"/>
      <c r="L49" s="6">
        <f t="shared" si="26"/>
        <v>-1355</v>
      </c>
      <c r="M49" s="2"/>
      <c r="N49" s="7">
        <f t="shared" si="27"/>
        <v>-0.93529549815701918</v>
      </c>
      <c r="O49" s="11"/>
      <c r="P49" s="6">
        <v>10617.33</v>
      </c>
      <c r="Q49" s="2"/>
      <c r="R49" s="7">
        <f t="shared" si="28"/>
        <v>0</v>
      </c>
      <c r="S49" s="2"/>
      <c r="T49" s="6">
        <v>13261</v>
      </c>
      <c r="U49" s="2"/>
      <c r="V49" s="7">
        <f t="shared" si="29"/>
        <v>0</v>
      </c>
      <c r="W49" s="2"/>
      <c r="X49" s="6">
        <f t="shared" si="30"/>
        <v>-2643.67</v>
      </c>
      <c r="Y49" s="2"/>
      <c r="Z49" s="7">
        <f t="shared" si="31"/>
        <v>-0.19935676042530731</v>
      </c>
    </row>
    <row r="50" spans="1:26" s="24" customFormat="1" hidden="1" outlineLevel="2" x14ac:dyDescent="0.3">
      <c r="A50" s="28"/>
      <c r="B50" s="11" t="str">
        <f>CONCATENATE("          ", "6375", " - ", "OUTSIDE REPAIRS &amp; MAINTENANCE")</f>
        <v xml:space="preserve">          6375 - OUTSIDE REPAIRS &amp; MAINTENANCE</v>
      </c>
      <c r="C50" s="11"/>
      <c r="D50" s="6"/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0</v>
      </c>
      <c r="M50" s="2"/>
      <c r="N50" s="7">
        <f t="shared" si="27"/>
        <v>0</v>
      </c>
      <c r="O50" s="11"/>
      <c r="P50" s="6">
        <v>97.99</v>
      </c>
      <c r="Q50" s="2"/>
      <c r="R50" s="7">
        <f t="shared" si="28"/>
        <v>0</v>
      </c>
      <c r="S50" s="2"/>
      <c r="T50" s="6"/>
      <c r="U50" s="2"/>
      <c r="V50" s="7">
        <f t="shared" si="29"/>
        <v>0</v>
      </c>
      <c r="W50" s="2"/>
      <c r="X50" s="6">
        <f t="shared" si="30"/>
        <v>97.99</v>
      </c>
      <c r="Y50" s="2"/>
      <c r="Z50" s="7">
        <f t="shared" si="31"/>
        <v>0</v>
      </c>
    </row>
    <row r="51" spans="1:26" s="29" customFormat="1" outlineLevel="1" collapsed="1" x14ac:dyDescent="0.3">
      <c r="A51" s="27"/>
      <c r="B51" s="14" t="str">
        <f>CONCATENATE("     ","Subscriptions &amp; Dues                              ")</f>
        <v xml:space="preserve">     Subscriptions &amp; Dues                              </v>
      </c>
      <c r="C51" s="14"/>
      <c r="D51" s="1">
        <f>SUM(OSRRefD22_10x_0)</f>
        <v>0</v>
      </c>
      <c r="E51" s="1"/>
      <c r="F51" s="5">
        <f t="shared" ref="F51:F55" si="32">IF(D$12=0,0,D51/D$12)</f>
        <v>0</v>
      </c>
      <c r="G51" s="1"/>
      <c r="H51" s="1">
        <f>SUM(OSRRefH22_10x_0)</f>
        <v>0</v>
      </c>
      <c r="I51" s="1"/>
      <c r="J51" s="5">
        <f t="shared" ref="J51:J55" si="33">IF(H$12=0,0,H51/H$12)</f>
        <v>0</v>
      </c>
      <c r="K51" s="1"/>
      <c r="L51" s="1">
        <f t="shared" ref="L51:L55" si="34">+D51-H51</f>
        <v>0</v>
      </c>
      <c r="M51" s="1"/>
      <c r="N51" s="5">
        <f t="shared" ref="N51:N55" si="35">IF(H51=0,0,L51/H51)</f>
        <v>0</v>
      </c>
      <c r="O51" s="14"/>
      <c r="P51" s="1">
        <f>SUM(OSRRefP22_10x_0)</f>
        <v>1000</v>
      </c>
      <c r="Q51" s="1"/>
      <c r="R51" s="5">
        <f t="shared" ref="R51:R55" si="36">IF(P$12=0,0,P51/P$12)</f>
        <v>0</v>
      </c>
      <c r="S51" s="1"/>
      <c r="T51" s="1">
        <f>SUM(OSRRefT22_10x_0)</f>
        <v>1725</v>
      </c>
      <c r="U51" s="1"/>
      <c r="V51" s="5">
        <f t="shared" ref="V51:V55" si="37">IF(T$12=0,0,T51/T$12)</f>
        <v>0</v>
      </c>
      <c r="W51" s="1"/>
      <c r="X51" s="1">
        <f t="shared" ref="X51:X55" si="38">+P51-T51</f>
        <v>-725</v>
      </c>
      <c r="Y51" s="1"/>
      <c r="Z51" s="5">
        <f t="shared" ref="Z51:Z55" si="39">IF(T51=0,0,X51/T51)</f>
        <v>-0.42028985507246375</v>
      </c>
    </row>
    <row r="52" spans="1:26" s="24" customFormat="1" hidden="1" outlineLevel="2" x14ac:dyDescent="0.3">
      <c r="A52" s="28"/>
      <c r="B52" s="11" t="str">
        <f>CONCATENATE("          ", "6258", " - ", "MEMBERSHIP DUES")</f>
        <v xml:space="preserve">          6258 - MEMBERSHIP DUES</v>
      </c>
      <c r="C52" s="11"/>
      <c r="D52" s="6"/>
      <c r="E52" s="2"/>
      <c r="F52" s="7">
        <f t="shared" si="32"/>
        <v>0</v>
      </c>
      <c r="G52" s="2"/>
      <c r="H52" s="6"/>
      <c r="I52" s="2"/>
      <c r="J52" s="7">
        <f t="shared" si="33"/>
        <v>0</v>
      </c>
      <c r="K52" s="2"/>
      <c r="L52" s="6">
        <f t="shared" si="34"/>
        <v>0</v>
      </c>
      <c r="M52" s="2"/>
      <c r="N52" s="7">
        <f t="shared" si="35"/>
        <v>0</v>
      </c>
      <c r="O52" s="11"/>
      <c r="P52" s="6">
        <v>1000</v>
      </c>
      <c r="Q52" s="2"/>
      <c r="R52" s="7">
        <f t="shared" si="36"/>
        <v>0</v>
      </c>
      <c r="S52" s="2"/>
      <c r="T52" s="6">
        <v>1725</v>
      </c>
      <c r="U52" s="2"/>
      <c r="V52" s="7">
        <f t="shared" si="37"/>
        <v>0</v>
      </c>
      <c r="W52" s="2"/>
      <c r="X52" s="6">
        <f t="shared" si="38"/>
        <v>-725</v>
      </c>
      <c r="Y52" s="2"/>
      <c r="Z52" s="7">
        <f t="shared" si="39"/>
        <v>-0.42028985507246375</v>
      </c>
    </row>
    <row r="53" spans="1:26" s="29" customFormat="1" outlineLevel="1" collapsed="1" x14ac:dyDescent="0.3">
      <c r="A53" s="27"/>
      <c r="B53" s="14" t="str">
        <f>CONCATENATE("     ","Supplies                                          ")</f>
        <v xml:space="preserve">     Supplies                                          </v>
      </c>
      <c r="C53" s="14"/>
      <c r="D53" s="1">
        <f>SUM(OSRRefD22_11x_0)</f>
        <v>27.3</v>
      </c>
      <c r="E53" s="1"/>
      <c r="F53" s="5">
        <f t="shared" si="32"/>
        <v>0</v>
      </c>
      <c r="G53" s="1"/>
      <c r="H53" s="1">
        <f>SUM(OSRRefH22_11x_0)</f>
        <v>15.41</v>
      </c>
      <c r="I53" s="1"/>
      <c r="J53" s="5">
        <f t="shared" si="33"/>
        <v>0</v>
      </c>
      <c r="K53" s="1"/>
      <c r="L53" s="1">
        <f t="shared" si="34"/>
        <v>11.89</v>
      </c>
      <c r="M53" s="1"/>
      <c r="N53" s="5">
        <f t="shared" si="35"/>
        <v>0.77157689811810515</v>
      </c>
      <c r="O53" s="14"/>
      <c r="P53" s="1">
        <f>SUM(OSRRefP22_11x_0)</f>
        <v>369.46</v>
      </c>
      <c r="Q53" s="1"/>
      <c r="R53" s="5">
        <f t="shared" si="36"/>
        <v>0</v>
      </c>
      <c r="S53" s="1"/>
      <c r="T53" s="1">
        <f>SUM(OSRRefT22_11x_0)</f>
        <v>550.81999999999994</v>
      </c>
      <c r="U53" s="1"/>
      <c r="V53" s="5">
        <f t="shared" si="37"/>
        <v>0</v>
      </c>
      <c r="W53" s="1"/>
      <c r="X53" s="1">
        <f t="shared" si="38"/>
        <v>-181.35999999999996</v>
      </c>
      <c r="Y53" s="1"/>
      <c r="Z53" s="5">
        <f t="shared" si="39"/>
        <v>-0.32925456591990121</v>
      </c>
    </row>
    <row r="54" spans="1:26" s="24" customFormat="1" hidden="1" outlineLevel="2" x14ac:dyDescent="0.3">
      <c r="A54" s="28"/>
      <c r="B54" s="11" t="str">
        <f>CONCATENATE("          ", "6235", " - ", "COVID-19 EXPENSES")</f>
        <v xml:space="preserve">          6235 - COVID-19 EXPENSES</v>
      </c>
      <c r="C54" s="11"/>
      <c r="D54" s="6"/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0</v>
      </c>
      <c r="M54" s="2"/>
      <c r="N54" s="7">
        <f t="shared" si="35"/>
        <v>0</v>
      </c>
      <c r="O54" s="11"/>
      <c r="P54" s="6"/>
      <c r="Q54" s="2"/>
      <c r="R54" s="7">
        <f t="shared" si="36"/>
        <v>0</v>
      </c>
      <c r="S54" s="2"/>
      <c r="T54" s="6">
        <v>106.94</v>
      </c>
      <c r="U54" s="2"/>
      <c r="V54" s="7">
        <f t="shared" si="37"/>
        <v>0</v>
      </c>
      <c r="W54" s="2"/>
      <c r="X54" s="6">
        <f t="shared" si="38"/>
        <v>-106.94</v>
      </c>
      <c r="Y54" s="2"/>
      <c r="Z54" s="7">
        <f t="shared" si="39"/>
        <v>-1</v>
      </c>
    </row>
    <row r="55" spans="1:26" s="24" customFormat="1" hidden="1" outlineLevel="2" x14ac:dyDescent="0.3">
      <c r="A55" s="28"/>
      <c r="B55" s="11" t="str">
        <f>CONCATENATE("          ", "6241", " - ", "OFFICE EXPENSE")</f>
        <v xml:space="preserve">          6241 - OFFICE EXPENSE</v>
      </c>
      <c r="C55" s="11"/>
      <c r="D55" s="6">
        <v>27.3</v>
      </c>
      <c r="E55" s="2"/>
      <c r="F55" s="7">
        <f t="shared" si="32"/>
        <v>0</v>
      </c>
      <c r="G55" s="2"/>
      <c r="H55" s="6">
        <v>15.41</v>
      </c>
      <c r="I55" s="2"/>
      <c r="J55" s="7">
        <f t="shared" si="33"/>
        <v>0</v>
      </c>
      <c r="K55" s="2"/>
      <c r="L55" s="6">
        <f t="shared" si="34"/>
        <v>11.89</v>
      </c>
      <c r="M55" s="2"/>
      <c r="N55" s="7">
        <f t="shared" si="35"/>
        <v>0.77157689811810515</v>
      </c>
      <c r="O55" s="11"/>
      <c r="P55" s="6">
        <v>369.46</v>
      </c>
      <c r="Q55" s="2"/>
      <c r="R55" s="7">
        <f t="shared" si="36"/>
        <v>0</v>
      </c>
      <c r="S55" s="2"/>
      <c r="T55" s="6">
        <v>443.88</v>
      </c>
      <c r="U55" s="2"/>
      <c r="V55" s="7">
        <f t="shared" si="37"/>
        <v>0</v>
      </c>
      <c r="W55" s="2"/>
      <c r="X55" s="6">
        <f t="shared" si="38"/>
        <v>-74.420000000000016</v>
      </c>
      <c r="Y55" s="2"/>
      <c r="Z55" s="7">
        <f t="shared" si="39"/>
        <v>-0.16765792556546819</v>
      </c>
    </row>
    <row r="56" spans="1:26" s="29" customFormat="1" outlineLevel="1" collapsed="1" x14ac:dyDescent="0.3">
      <c r="A56" s="27"/>
      <c r="B56" s="14" t="str">
        <f>CONCATENATE("     ","Telephone/Data Lines                              ")</f>
        <v xml:space="preserve">     Telephone/Data Lines                              </v>
      </c>
      <c r="C56" s="14"/>
      <c r="D56" s="1">
        <f>SUM(OSRRefD22_12x_0)</f>
        <v>361.64</v>
      </c>
      <c r="E56" s="1"/>
      <c r="F56" s="5">
        <f t="shared" ref="F56:F59" si="40">IF(D$12=0,0,D56/D$12)</f>
        <v>0</v>
      </c>
      <c r="G56" s="1"/>
      <c r="H56" s="1">
        <f>SUM(OSRRefH22_12x_0)</f>
        <v>1194.6600000000001</v>
      </c>
      <c r="I56" s="1"/>
      <c r="J56" s="5">
        <f t="shared" ref="J56:J59" si="41">IF(H$12=0,0,H56/H$12)</f>
        <v>0</v>
      </c>
      <c r="K56" s="1"/>
      <c r="L56" s="1">
        <f t="shared" ref="L56:L59" si="42">+D56-H56</f>
        <v>-833.0200000000001</v>
      </c>
      <c r="M56" s="1"/>
      <c r="N56" s="5">
        <f t="shared" ref="N56:N59" si="43">IF(H56=0,0,L56/H56)</f>
        <v>-0.69728625717777448</v>
      </c>
      <c r="O56" s="14"/>
      <c r="P56" s="1">
        <f>SUM(OSRRefP22_12x_0)</f>
        <v>2668.2</v>
      </c>
      <c r="Q56" s="1"/>
      <c r="R56" s="5">
        <f t="shared" ref="R56:R59" si="44">IF(P$12=0,0,P56/P$12)</f>
        <v>0</v>
      </c>
      <c r="S56" s="1"/>
      <c r="T56" s="1">
        <f>SUM(OSRRefT22_12x_0)</f>
        <v>2839.78</v>
      </c>
      <c r="U56" s="1"/>
      <c r="V56" s="5">
        <f t="shared" ref="V56:V59" si="45">IF(T$12=0,0,T56/T$12)</f>
        <v>0</v>
      </c>
      <c r="W56" s="1"/>
      <c r="X56" s="1">
        <f t="shared" ref="X56:X59" si="46">+P56-T56</f>
        <v>-171.58000000000038</v>
      </c>
      <c r="Y56" s="1"/>
      <c r="Z56" s="5">
        <f t="shared" ref="Z56:Z59" si="47">IF(T56=0,0,X56/T56)</f>
        <v>-6.0420173393713729E-2</v>
      </c>
    </row>
    <row r="57" spans="1:26" s="24" customFormat="1" hidden="1" outlineLevel="2" x14ac:dyDescent="0.3">
      <c r="A57" s="28"/>
      <c r="B57" s="11" t="str">
        <f>CONCATENATE("          ", "6309", " - ", "TELEPHONE")</f>
        <v xml:space="preserve">          6309 - TELEPHONE</v>
      </c>
      <c r="C57" s="11"/>
      <c r="D57" s="6">
        <v>361.64</v>
      </c>
      <c r="E57" s="2"/>
      <c r="F57" s="7">
        <f t="shared" si="40"/>
        <v>0</v>
      </c>
      <c r="G57" s="2"/>
      <c r="H57" s="6">
        <v>1194.6600000000001</v>
      </c>
      <c r="I57" s="2"/>
      <c r="J57" s="7">
        <f t="shared" si="41"/>
        <v>0</v>
      </c>
      <c r="K57" s="2"/>
      <c r="L57" s="6">
        <f t="shared" si="42"/>
        <v>-833.0200000000001</v>
      </c>
      <c r="M57" s="2"/>
      <c r="N57" s="7">
        <f t="shared" si="43"/>
        <v>-0.69728625717777448</v>
      </c>
      <c r="O57" s="11"/>
      <c r="P57" s="6">
        <v>2668.2</v>
      </c>
      <c r="Q57" s="2"/>
      <c r="R57" s="7">
        <f t="shared" si="44"/>
        <v>0</v>
      </c>
      <c r="S57" s="2"/>
      <c r="T57" s="6">
        <v>2839.78</v>
      </c>
      <c r="U57" s="2"/>
      <c r="V57" s="7">
        <f t="shared" si="45"/>
        <v>0</v>
      </c>
      <c r="W57" s="2"/>
      <c r="X57" s="6">
        <f t="shared" si="46"/>
        <v>-171.58000000000038</v>
      </c>
      <c r="Y57" s="2"/>
      <c r="Z57" s="7">
        <f t="shared" si="47"/>
        <v>-6.0420173393713729E-2</v>
      </c>
    </row>
    <row r="58" spans="1:26" s="29" customFormat="1" outlineLevel="1" collapsed="1" x14ac:dyDescent="0.3">
      <c r="A58" s="27"/>
      <c r="B58" s="14" t="str">
        <f>CONCATENATE("     ","Training                                          ")</f>
        <v xml:space="preserve">     Training                                          </v>
      </c>
      <c r="C58" s="14"/>
      <c r="D58" s="1">
        <f>SUM(OSRRefD22_13x_0)</f>
        <v>0</v>
      </c>
      <c r="E58" s="1"/>
      <c r="F58" s="5">
        <f t="shared" si="40"/>
        <v>0</v>
      </c>
      <c r="G58" s="1"/>
      <c r="H58" s="1">
        <f>SUM(OSRRefH22_13x_0)</f>
        <v>0</v>
      </c>
      <c r="I58" s="1"/>
      <c r="J58" s="5">
        <f t="shared" si="41"/>
        <v>0</v>
      </c>
      <c r="K58" s="1"/>
      <c r="L58" s="1">
        <f t="shared" si="42"/>
        <v>0</v>
      </c>
      <c r="M58" s="1"/>
      <c r="N58" s="5">
        <f t="shared" si="43"/>
        <v>0</v>
      </c>
      <c r="O58" s="14"/>
      <c r="P58" s="1">
        <f>SUM(OSRRefP22_13x_0)</f>
        <v>595</v>
      </c>
      <c r="Q58" s="1"/>
      <c r="R58" s="5">
        <f t="shared" si="44"/>
        <v>0</v>
      </c>
      <c r="S58" s="1"/>
      <c r="T58" s="1">
        <f>SUM(OSRRefT22_13x_0)</f>
        <v>1126.5</v>
      </c>
      <c r="U58" s="1"/>
      <c r="V58" s="5">
        <f t="shared" si="45"/>
        <v>0</v>
      </c>
      <c r="W58" s="1"/>
      <c r="X58" s="1">
        <f t="shared" si="46"/>
        <v>-531.5</v>
      </c>
      <c r="Y58" s="1"/>
      <c r="Z58" s="5">
        <f t="shared" si="47"/>
        <v>-0.47181535730137597</v>
      </c>
    </row>
    <row r="59" spans="1:26" s="24" customFormat="1" hidden="1" outlineLevel="2" x14ac:dyDescent="0.3">
      <c r="A59" s="28"/>
      <c r="B59" s="11" t="str">
        <f>CONCATENATE("          ", "6376", " - ", "TRAINING")</f>
        <v xml:space="preserve">          6376 - TRAINING</v>
      </c>
      <c r="C59" s="11"/>
      <c r="D59" s="6"/>
      <c r="E59" s="2"/>
      <c r="F59" s="7">
        <f t="shared" si="40"/>
        <v>0</v>
      </c>
      <c r="G59" s="2"/>
      <c r="H59" s="6"/>
      <c r="I59" s="2"/>
      <c r="J59" s="7">
        <f t="shared" si="41"/>
        <v>0</v>
      </c>
      <c r="K59" s="2"/>
      <c r="L59" s="6">
        <f t="shared" si="42"/>
        <v>0</v>
      </c>
      <c r="M59" s="2"/>
      <c r="N59" s="7">
        <f t="shared" si="43"/>
        <v>0</v>
      </c>
      <c r="O59" s="11"/>
      <c r="P59" s="6">
        <v>595</v>
      </c>
      <c r="Q59" s="2"/>
      <c r="R59" s="7">
        <f t="shared" si="44"/>
        <v>0</v>
      </c>
      <c r="S59" s="2"/>
      <c r="T59" s="6">
        <v>1126.5</v>
      </c>
      <c r="U59" s="2"/>
      <c r="V59" s="7">
        <f t="shared" si="45"/>
        <v>0</v>
      </c>
      <c r="W59" s="2"/>
      <c r="X59" s="6">
        <f t="shared" si="46"/>
        <v>-531.5</v>
      </c>
      <c r="Y59" s="2"/>
      <c r="Z59" s="7">
        <f t="shared" si="47"/>
        <v>-0.47181535730137597</v>
      </c>
    </row>
    <row r="60" spans="1:26" s="53" customFormat="1" x14ac:dyDescent="0.3">
      <c r="A60" s="37"/>
      <c r="B60" s="37"/>
      <c r="C60" s="37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7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3">
      <c r="A61" s="10"/>
      <c r="B61" s="25" t="s">
        <v>292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3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3">
      <c r="A63" s="10"/>
      <c r="B63" s="26" t="s">
        <v>276</v>
      </c>
      <c r="C63" s="26"/>
      <c r="D63" s="20">
        <f>+D16-D18+D61</f>
        <v>-30381.72</v>
      </c>
      <c r="E63" s="13"/>
      <c r="F63" s="21">
        <f>IF(D$12=0,0,D63/D$12)</f>
        <v>0</v>
      </c>
      <c r="G63" s="13"/>
      <c r="H63" s="20">
        <f>+H16-H18+H61</f>
        <v>-43823.630000000005</v>
      </c>
      <c r="I63" s="13"/>
      <c r="J63" s="21">
        <f>IF(H$12=0,0,H63/H$12)</f>
        <v>0</v>
      </c>
      <c r="K63" s="15"/>
      <c r="L63" s="20">
        <f>+D63-H63</f>
        <v>13441.910000000003</v>
      </c>
      <c r="M63" s="15"/>
      <c r="N63" s="21">
        <f>IF(H63=0,0,L63/H63)</f>
        <v>-0.30672744361888787</v>
      </c>
      <c r="O63" s="25"/>
      <c r="P63" s="20">
        <f>+P16-P18+P61</f>
        <v>-239015.44999999998</v>
      </c>
      <c r="Q63" s="13"/>
      <c r="R63" s="21">
        <f>IF(P$12=0,0,P63/P$12)</f>
        <v>0</v>
      </c>
      <c r="S63" s="13"/>
      <c r="T63" s="20">
        <f>+T16-T18+T61</f>
        <v>-231738.77</v>
      </c>
      <c r="U63" s="13"/>
      <c r="V63" s="21">
        <f>IF(T$12=0,0,T63/T$12)</f>
        <v>0</v>
      </c>
      <c r="W63" s="15"/>
      <c r="X63" s="20">
        <f>+P63-T63</f>
        <v>-7276.679999999993</v>
      </c>
      <c r="Y63" s="15"/>
      <c r="Z63" s="21">
        <f>IF(T63=0,0,X63/T63)</f>
        <v>3.1400356530760877E-2</v>
      </c>
    </row>
    <row r="64" spans="1:26" x14ac:dyDescent="0.3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3">
      <c r="A65" s="51"/>
      <c r="B65" s="10" t="s">
        <v>127</v>
      </c>
      <c r="C65" s="10"/>
      <c r="D65" s="4"/>
      <c r="E65" s="4"/>
      <c r="F65" s="12">
        <f>IF(D$12=0,0,D65/D$12)</f>
        <v>0</v>
      </c>
      <c r="G65" s="4"/>
      <c r="H65" s="4"/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/>
      <c r="Q65" s="4"/>
      <c r="R65" s="12">
        <f>IF(P$12=0,0,P65/P$12)</f>
        <v>0</v>
      </c>
      <c r="S65" s="4"/>
      <c r="T65" s="4"/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3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" thickBot="1" x14ac:dyDescent="0.35">
      <c r="A67" s="10"/>
      <c r="B67" s="26" t="s">
        <v>125</v>
      </c>
      <c r="C67" s="26"/>
      <c r="D67" s="32">
        <f>+D63-D65</f>
        <v>-30381.72</v>
      </c>
      <c r="E67" s="13"/>
      <c r="F67" s="35">
        <f>IF(D$12=0,0,D67/D$12)</f>
        <v>0</v>
      </c>
      <c r="G67" s="13"/>
      <c r="H67" s="32">
        <f>+H63-H65</f>
        <v>-43823.630000000005</v>
      </c>
      <c r="I67" s="13"/>
      <c r="J67" s="35">
        <f>IF(H$12=0,0,H67/H$12)</f>
        <v>0</v>
      </c>
      <c r="K67" s="15"/>
      <c r="L67" s="32">
        <f>D67-H67</f>
        <v>13441.910000000003</v>
      </c>
      <c r="M67" s="15"/>
      <c r="N67" s="35">
        <f>IF(H67=0,0,L67/H67)</f>
        <v>-0.30672744361888787</v>
      </c>
      <c r="O67" s="25"/>
      <c r="P67" s="32">
        <f>+P63-P65</f>
        <v>-239015.44999999998</v>
      </c>
      <c r="Q67" s="13"/>
      <c r="R67" s="35">
        <f>IF(P$12=0,0,P67/P$12)</f>
        <v>0</v>
      </c>
      <c r="S67" s="13"/>
      <c r="T67" s="32">
        <f>+T63-T65</f>
        <v>-231738.77</v>
      </c>
      <c r="U67" s="13"/>
      <c r="V67" s="35">
        <f>IF(T$12=0,0,T67/T$12)</f>
        <v>0</v>
      </c>
      <c r="W67" s="15"/>
      <c r="X67" s="32">
        <f>P67-T67</f>
        <v>-7276.679999999993</v>
      </c>
      <c r="Y67" s="15"/>
      <c r="Z67" s="35">
        <f>IF(T67=0,0,X67/T67)</f>
        <v>3.1400356530760877E-2</v>
      </c>
    </row>
    <row r="68" spans="1:26" ht="15" thickTop="1" x14ac:dyDescent="0.3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3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" thickBot="1" x14ac:dyDescent="0.35">
      <c r="A70" s="10"/>
      <c r="B70" s="26" t="s">
        <v>293</v>
      </c>
      <c r="C70" s="26"/>
      <c r="D70" s="31">
        <f>SUM(D67:D69)</f>
        <v>-30381.72</v>
      </c>
      <c r="E70" s="13"/>
      <c r="F70" s="33">
        <f>IF(D$12=0,0,D70/D$12)</f>
        <v>0</v>
      </c>
      <c r="G70" s="13"/>
      <c r="H70" s="31">
        <f>SUM(H67:H69)</f>
        <v>-43823.630000000005</v>
      </c>
      <c r="I70" s="13"/>
      <c r="J70" s="33">
        <f>IF(H$12=0,0,H70/H$12)</f>
        <v>0</v>
      </c>
      <c r="K70" s="15"/>
      <c r="L70" s="31">
        <f>+D70-H70</f>
        <v>13441.910000000003</v>
      </c>
      <c r="M70" s="15"/>
      <c r="N70" s="33">
        <f>IF(H70=0,0,L70/H70)</f>
        <v>-0.30672744361888787</v>
      </c>
      <c r="O70" s="25"/>
      <c r="P70" s="31">
        <f>SUM(P67:P69)</f>
        <v>-239015.44999999998</v>
      </c>
      <c r="Q70" s="13"/>
      <c r="R70" s="33">
        <f>IF(P$12=0,0,P70/P$12)</f>
        <v>0</v>
      </c>
      <c r="S70" s="13"/>
      <c r="T70" s="31">
        <f>SUM(T67:T69)</f>
        <v>-231738.77</v>
      </c>
      <c r="U70" s="13"/>
      <c r="V70" s="33">
        <f>IF(T$12=0,0,T70/T$12)</f>
        <v>0</v>
      </c>
      <c r="W70" s="15"/>
      <c r="X70" s="31">
        <f>+P70-T70</f>
        <v>-7276.679999999993</v>
      </c>
      <c r="Y70" s="15"/>
      <c r="Z70" s="33">
        <f>IF(T70=0,0,X70/T70)</f>
        <v>3.1400356530760877E-2</v>
      </c>
    </row>
    <row r="71" spans="1:26" ht="15" thickTop="1" x14ac:dyDescent="0.3">
      <c r="A71" s="9"/>
      <c r="C71" s="9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3">
      <c r="A72" s="9"/>
      <c r="B72" s="60">
        <v>44575.854680405093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3">
      <c r="A73" s="9"/>
      <c r="B73" s="57" t="s">
        <v>56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3">
      <c r="A74" s="9"/>
      <c r="B74" s="59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3"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","202", " - ", "Accounting")</f>
        <v>Department 202 - Accounting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22">
        <f>SUM(OSRRefD22x_0)</f>
        <v>38170.729999999989</v>
      </c>
      <c r="E18" s="22"/>
      <c r="F18" s="34">
        <f t="shared" ref="F18:F27" si="0">IF(D$12=0,0,D18/D$12)</f>
        <v>0</v>
      </c>
      <c r="G18" s="22"/>
      <c r="H18" s="22">
        <f>SUM(OSRRefH22x_0)</f>
        <v>34402.75</v>
      </c>
      <c r="I18" s="22"/>
      <c r="J18" s="34">
        <f t="shared" ref="J18:J27" si="1">IF(H$12=0,0,H18/H$12)</f>
        <v>0</v>
      </c>
      <c r="K18" s="4"/>
      <c r="L18" s="22">
        <f t="shared" ref="L18:L27" si="2">+D18-H18</f>
        <v>3767.9799999999886</v>
      </c>
      <c r="M18" s="4"/>
      <c r="N18" s="34">
        <f t="shared" ref="N18:N27" si="3">IF(H18=0,0,L18/H18)</f>
        <v>0.10952554664961343</v>
      </c>
      <c r="O18" s="10"/>
      <c r="P18" s="22">
        <f>SUM(OSRRefP22x_0)</f>
        <v>243048.88999999998</v>
      </c>
      <c r="Q18" s="22"/>
      <c r="R18" s="34">
        <f t="shared" ref="R18:R27" si="4">IF(P$12=0,0,P18/P$12)</f>
        <v>0</v>
      </c>
      <c r="S18" s="22"/>
      <c r="T18" s="22">
        <f>SUM(OSRRefT22x_0)</f>
        <v>224997.35000000003</v>
      </c>
      <c r="U18" s="22"/>
      <c r="V18" s="34">
        <f t="shared" ref="V18:V27" si="5">IF(T$12=0,0,T18/T$12)</f>
        <v>0</v>
      </c>
      <c r="W18" s="4"/>
      <c r="X18" s="22">
        <f t="shared" ref="X18:X27" si="6">+P18-T18</f>
        <v>18051.53999999995</v>
      </c>
      <c r="Y18" s="4"/>
      <c r="Z18" s="34">
        <f t="shared" ref="Z18:Z27" si="7">IF(T18=0,0,X18/T18)</f>
        <v>8.0230011597914139E-2</v>
      </c>
    </row>
    <row r="19" spans="1:26" s="29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13275.729999999998</v>
      </c>
      <c r="E19" s="1"/>
      <c r="F19" s="5">
        <f t="shared" si="0"/>
        <v>0</v>
      </c>
      <c r="G19" s="1"/>
      <c r="H19" s="1">
        <f>SUM(OSRRefH22_0x_0)</f>
        <v>12837.390000000001</v>
      </c>
      <c r="I19" s="1"/>
      <c r="J19" s="5">
        <f t="shared" si="1"/>
        <v>0</v>
      </c>
      <c r="K19" s="1"/>
      <c r="L19" s="1">
        <f t="shared" si="2"/>
        <v>438.33999999999651</v>
      </c>
      <c r="M19" s="1"/>
      <c r="N19" s="5">
        <f t="shared" si="3"/>
        <v>3.4145570088623657E-2</v>
      </c>
      <c r="O19" s="14"/>
      <c r="P19" s="1">
        <f>SUM(OSRRefP22_0x_0)</f>
        <v>80955.94</v>
      </c>
      <c r="Q19" s="1"/>
      <c r="R19" s="5">
        <f t="shared" si="4"/>
        <v>0</v>
      </c>
      <c r="S19" s="1"/>
      <c r="T19" s="1">
        <f>SUM(OSRRefT22_0x_0)</f>
        <v>79913.799999999988</v>
      </c>
      <c r="U19" s="1"/>
      <c r="V19" s="5">
        <f t="shared" si="5"/>
        <v>0</v>
      </c>
      <c r="W19" s="1"/>
      <c r="X19" s="1">
        <f t="shared" si="6"/>
        <v>1042.140000000014</v>
      </c>
      <c r="Y19" s="1"/>
      <c r="Z19" s="5">
        <f t="shared" si="7"/>
        <v>1.3040801463577181E-2</v>
      </c>
    </row>
    <row r="20" spans="1:26" s="24" customFormat="1" hidden="1" outlineLevel="2" x14ac:dyDescent="0.3">
      <c r="A20" s="28"/>
      <c r="B20" s="11" t="str">
        <f>CONCATENATE("          ", "6111", " - ", "F.I.C.A.")</f>
        <v xml:space="preserve">          6111 - F.I.C.A.</v>
      </c>
      <c r="C20" s="11"/>
      <c r="D20" s="6">
        <v>1708.26</v>
      </c>
      <c r="E20" s="2"/>
      <c r="F20" s="7">
        <f t="shared" si="0"/>
        <v>0</v>
      </c>
      <c r="G20" s="2"/>
      <c r="H20" s="6">
        <v>1623.95</v>
      </c>
      <c r="I20" s="2"/>
      <c r="J20" s="7">
        <f t="shared" si="1"/>
        <v>0</v>
      </c>
      <c r="K20" s="2"/>
      <c r="L20" s="6">
        <f t="shared" si="2"/>
        <v>84.309999999999945</v>
      </c>
      <c r="M20" s="2"/>
      <c r="N20" s="7">
        <f t="shared" si="3"/>
        <v>5.1916623048739154E-2</v>
      </c>
      <c r="O20" s="11"/>
      <c r="P20" s="6">
        <v>10736.14</v>
      </c>
      <c r="Q20" s="2"/>
      <c r="R20" s="7">
        <f t="shared" si="4"/>
        <v>0</v>
      </c>
      <c r="S20" s="2"/>
      <c r="T20" s="6">
        <v>11801.38</v>
      </c>
      <c r="U20" s="2"/>
      <c r="V20" s="7">
        <f t="shared" si="5"/>
        <v>0</v>
      </c>
      <c r="W20" s="2"/>
      <c r="X20" s="6">
        <f t="shared" si="6"/>
        <v>-1065.2399999999998</v>
      </c>
      <c r="Y20" s="2"/>
      <c r="Z20" s="7">
        <f t="shared" si="7"/>
        <v>-9.0264019970545811E-2</v>
      </c>
    </row>
    <row r="21" spans="1:26" s="24" customFormat="1" hidden="1" outlineLevel="2" x14ac:dyDescent="0.3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291.41000000000003</v>
      </c>
      <c r="E21" s="2"/>
      <c r="F21" s="7">
        <f t="shared" si="0"/>
        <v>0</v>
      </c>
      <c r="G21" s="2"/>
      <c r="H21" s="6">
        <v>157.1</v>
      </c>
      <c r="I21" s="2"/>
      <c r="J21" s="7">
        <f t="shared" si="1"/>
        <v>0</v>
      </c>
      <c r="K21" s="2"/>
      <c r="L21" s="6">
        <f t="shared" si="2"/>
        <v>134.31000000000003</v>
      </c>
      <c r="M21" s="2"/>
      <c r="N21" s="7">
        <f t="shared" si="3"/>
        <v>0.85493316359007021</v>
      </c>
      <c r="O21" s="11"/>
      <c r="P21" s="6">
        <v>1845.98</v>
      </c>
      <c r="Q21" s="2"/>
      <c r="R21" s="7">
        <f t="shared" si="4"/>
        <v>0</v>
      </c>
      <c r="S21" s="2"/>
      <c r="T21" s="6">
        <v>594.29999999999995</v>
      </c>
      <c r="U21" s="2"/>
      <c r="V21" s="7">
        <f t="shared" si="5"/>
        <v>0</v>
      </c>
      <c r="W21" s="2"/>
      <c r="X21" s="6">
        <f t="shared" si="6"/>
        <v>1251.68</v>
      </c>
      <c r="Y21" s="2"/>
      <c r="Z21" s="7">
        <f t="shared" si="7"/>
        <v>2.1061416792865559</v>
      </c>
    </row>
    <row r="22" spans="1:26" s="24" customFormat="1" hidden="1" outlineLevel="2" x14ac:dyDescent="0.3">
      <c r="A22" s="28"/>
      <c r="B22" s="11" t="str">
        <f>CONCATENATE("          ", "6113", " - ", "GROUP INSURANCE")</f>
        <v xml:space="preserve">          6113 - GROUP INSURANCE</v>
      </c>
      <c r="C22" s="11"/>
      <c r="D22" s="6">
        <v>6221.66</v>
      </c>
      <c r="E22" s="2"/>
      <c r="F22" s="7">
        <f t="shared" si="0"/>
        <v>0</v>
      </c>
      <c r="G22" s="2"/>
      <c r="H22" s="6">
        <v>6246.72</v>
      </c>
      <c r="I22" s="2"/>
      <c r="J22" s="7">
        <f t="shared" si="1"/>
        <v>0</v>
      </c>
      <c r="K22" s="2"/>
      <c r="L22" s="6">
        <f t="shared" si="2"/>
        <v>-25.0600000000004</v>
      </c>
      <c r="M22" s="2"/>
      <c r="N22" s="7">
        <f t="shared" si="3"/>
        <v>-4.0117053429640512E-3</v>
      </c>
      <c r="O22" s="11"/>
      <c r="P22" s="6">
        <v>37374.959999999999</v>
      </c>
      <c r="Q22" s="2"/>
      <c r="R22" s="7">
        <f t="shared" si="4"/>
        <v>0</v>
      </c>
      <c r="S22" s="2"/>
      <c r="T22" s="6">
        <v>35441.279999999999</v>
      </c>
      <c r="U22" s="2"/>
      <c r="V22" s="7">
        <f t="shared" si="5"/>
        <v>0</v>
      </c>
      <c r="W22" s="2"/>
      <c r="X22" s="6">
        <f t="shared" si="6"/>
        <v>1933.6800000000003</v>
      </c>
      <c r="Y22" s="2"/>
      <c r="Z22" s="7">
        <f t="shared" si="7"/>
        <v>5.4560106181266603E-2</v>
      </c>
    </row>
    <row r="23" spans="1:26" s="24" customFormat="1" hidden="1" outlineLevel="2" x14ac:dyDescent="0.3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58.73</v>
      </c>
      <c r="E23" s="2"/>
      <c r="F23" s="7">
        <f t="shared" si="0"/>
        <v>0</v>
      </c>
      <c r="G23" s="2"/>
      <c r="H23" s="6"/>
      <c r="I23" s="2"/>
      <c r="J23" s="7">
        <f t="shared" si="1"/>
        <v>0</v>
      </c>
      <c r="K23" s="2"/>
      <c r="L23" s="6">
        <f t="shared" si="2"/>
        <v>58.73</v>
      </c>
      <c r="M23" s="2"/>
      <c r="N23" s="7">
        <f t="shared" si="3"/>
        <v>0</v>
      </c>
      <c r="O23" s="11"/>
      <c r="P23" s="6">
        <v>372.06</v>
      </c>
      <c r="Q23" s="2"/>
      <c r="R23" s="7">
        <f t="shared" si="4"/>
        <v>0</v>
      </c>
      <c r="S23" s="2"/>
      <c r="T23" s="6">
        <v>344.44</v>
      </c>
      <c r="U23" s="2"/>
      <c r="V23" s="7">
        <f t="shared" si="5"/>
        <v>0</v>
      </c>
      <c r="W23" s="2"/>
      <c r="X23" s="6">
        <f t="shared" si="6"/>
        <v>27.620000000000005</v>
      </c>
      <c r="Y23" s="2"/>
      <c r="Z23" s="7">
        <f t="shared" si="7"/>
        <v>8.0188131459760781E-2</v>
      </c>
    </row>
    <row r="24" spans="1:26" s="24" customFormat="1" hidden="1" outlineLevel="2" x14ac:dyDescent="0.3">
      <c r="A24" s="28"/>
      <c r="B24" s="11" t="str">
        <f>CONCATENATE("          ", "6115", " - ", "P.E.R.S.")</f>
        <v xml:space="preserve">          6115 - P.E.R.S.</v>
      </c>
      <c r="C24" s="11"/>
      <c r="D24" s="6">
        <v>2025.79</v>
      </c>
      <c r="E24" s="2"/>
      <c r="F24" s="7">
        <f t="shared" si="0"/>
        <v>0</v>
      </c>
      <c r="G24" s="2"/>
      <c r="H24" s="6">
        <v>1978.76</v>
      </c>
      <c r="I24" s="2"/>
      <c r="J24" s="7">
        <f t="shared" si="1"/>
        <v>0</v>
      </c>
      <c r="K24" s="2"/>
      <c r="L24" s="6">
        <f t="shared" si="2"/>
        <v>47.029999999999973</v>
      </c>
      <c r="M24" s="2"/>
      <c r="N24" s="7">
        <f t="shared" si="3"/>
        <v>2.3767409893064331E-2</v>
      </c>
      <c r="O24" s="11"/>
      <c r="P24" s="6">
        <v>12817.18</v>
      </c>
      <c r="Q24" s="2"/>
      <c r="R24" s="7">
        <f t="shared" si="4"/>
        <v>0</v>
      </c>
      <c r="S24" s="2"/>
      <c r="T24" s="6">
        <v>13713.24</v>
      </c>
      <c r="U24" s="2"/>
      <c r="V24" s="7">
        <f t="shared" si="5"/>
        <v>0</v>
      </c>
      <c r="W24" s="2"/>
      <c r="X24" s="6">
        <f t="shared" si="6"/>
        <v>-896.05999999999949</v>
      </c>
      <c r="Y24" s="2"/>
      <c r="Z24" s="7">
        <f t="shared" si="7"/>
        <v>-6.5342690713500198E-2</v>
      </c>
    </row>
    <row r="25" spans="1:26" s="24" customFormat="1" hidden="1" outlineLevel="2" x14ac:dyDescent="0.3">
      <c r="A25" s="28"/>
      <c r="B25" s="11" t="str">
        <f>CONCATENATE("          ", "6118", " - ", "VACATION")</f>
        <v xml:space="preserve">          6118 - VACATION</v>
      </c>
      <c r="C25" s="11"/>
      <c r="D25" s="6">
        <v>1470.48</v>
      </c>
      <c r="E25" s="2"/>
      <c r="F25" s="7">
        <f t="shared" si="0"/>
        <v>0</v>
      </c>
      <c r="G25" s="2"/>
      <c r="H25" s="6">
        <v>1559.44</v>
      </c>
      <c r="I25" s="2"/>
      <c r="J25" s="7">
        <f t="shared" si="1"/>
        <v>0</v>
      </c>
      <c r="K25" s="2"/>
      <c r="L25" s="6">
        <f t="shared" si="2"/>
        <v>-88.960000000000036</v>
      </c>
      <c r="M25" s="2"/>
      <c r="N25" s="7">
        <f t="shared" si="3"/>
        <v>-5.7046119119684012E-2</v>
      </c>
      <c r="O25" s="11"/>
      <c r="P25" s="6">
        <v>8187.98</v>
      </c>
      <c r="Q25" s="2"/>
      <c r="R25" s="7">
        <f t="shared" si="4"/>
        <v>0</v>
      </c>
      <c r="S25" s="2"/>
      <c r="T25" s="6">
        <v>10097.67</v>
      </c>
      <c r="U25" s="2"/>
      <c r="V25" s="7">
        <f t="shared" si="5"/>
        <v>0</v>
      </c>
      <c r="W25" s="2"/>
      <c r="X25" s="6">
        <f t="shared" si="6"/>
        <v>-1909.6900000000005</v>
      </c>
      <c r="Y25" s="2"/>
      <c r="Z25" s="7">
        <f t="shared" si="7"/>
        <v>-0.18912184692112147</v>
      </c>
    </row>
    <row r="26" spans="1:26" s="24" customFormat="1" hidden="1" outlineLevel="2" x14ac:dyDescent="0.3">
      <c r="A26" s="28"/>
      <c r="B26" s="11" t="str">
        <f>CONCATENATE("          ", "6119", " - ", "SICK LEAVE")</f>
        <v xml:space="preserve">          6119 - SICK LEAVE</v>
      </c>
      <c r="C26" s="11"/>
      <c r="D26" s="6">
        <v>1018.58</v>
      </c>
      <c r="E26" s="2"/>
      <c r="F26" s="7">
        <f t="shared" si="0"/>
        <v>0</v>
      </c>
      <c r="G26" s="2"/>
      <c r="H26" s="6">
        <v>979.42</v>
      </c>
      <c r="I26" s="2"/>
      <c r="J26" s="7">
        <f t="shared" si="1"/>
        <v>0</v>
      </c>
      <c r="K26" s="2"/>
      <c r="L26" s="6">
        <f t="shared" si="2"/>
        <v>39.160000000000082</v>
      </c>
      <c r="M26" s="2"/>
      <c r="N26" s="7">
        <f t="shared" si="3"/>
        <v>3.9982846991076439E-2</v>
      </c>
      <c r="O26" s="11"/>
      <c r="P26" s="6">
        <v>6444.55</v>
      </c>
      <c r="Q26" s="2"/>
      <c r="R26" s="7">
        <f t="shared" si="4"/>
        <v>0</v>
      </c>
      <c r="S26" s="2"/>
      <c r="T26" s="6">
        <v>6366.23</v>
      </c>
      <c r="U26" s="2"/>
      <c r="V26" s="7">
        <f t="shared" si="5"/>
        <v>0</v>
      </c>
      <c r="W26" s="2"/>
      <c r="X26" s="6">
        <f t="shared" si="6"/>
        <v>78.320000000000618</v>
      </c>
      <c r="Y26" s="2"/>
      <c r="Z26" s="7">
        <f t="shared" si="7"/>
        <v>1.2302414458792821E-2</v>
      </c>
    </row>
    <row r="27" spans="1:26" s="24" customFormat="1" hidden="1" outlineLevel="2" x14ac:dyDescent="0.3">
      <c r="A27" s="28"/>
      <c r="B27" s="11" t="str">
        <f>CONCATENATE("          ", "6156", " - ", "EMPLOYEE MEALS")</f>
        <v xml:space="preserve">          6156 - EMPLOYEE MEALS</v>
      </c>
      <c r="C27" s="11"/>
      <c r="D27" s="6">
        <v>480.82</v>
      </c>
      <c r="E27" s="2"/>
      <c r="F27" s="7">
        <f t="shared" si="0"/>
        <v>0</v>
      </c>
      <c r="G27" s="2"/>
      <c r="H27" s="6">
        <v>292</v>
      </c>
      <c r="I27" s="2"/>
      <c r="J27" s="7">
        <f t="shared" si="1"/>
        <v>0</v>
      </c>
      <c r="K27" s="2"/>
      <c r="L27" s="6">
        <f t="shared" si="2"/>
        <v>188.82</v>
      </c>
      <c r="M27" s="2"/>
      <c r="N27" s="7">
        <f t="shared" si="3"/>
        <v>0.64664383561643834</v>
      </c>
      <c r="O27" s="11"/>
      <c r="P27" s="6">
        <v>3177.09</v>
      </c>
      <c r="Q27" s="2"/>
      <c r="R27" s="7">
        <f t="shared" si="4"/>
        <v>0</v>
      </c>
      <c r="S27" s="2"/>
      <c r="T27" s="6">
        <v>1555.26</v>
      </c>
      <c r="U27" s="2"/>
      <c r="V27" s="7">
        <f t="shared" si="5"/>
        <v>0</v>
      </c>
      <c r="W27" s="2"/>
      <c r="X27" s="6">
        <f t="shared" si="6"/>
        <v>1621.8300000000002</v>
      </c>
      <c r="Y27" s="2"/>
      <c r="Z27" s="7">
        <f t="shared" si="7"/>
        <v>1.0428031325951932</v>
      </c>
    </row>
    <row r="28" spans="1:26" s="29" customFormat="1" outlineLevel="1" collapsed="1" x14ac:dyDescent="0.3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21786.84</v>
      </c>
      <c r="E28" s="1"/>
      <c r="F28" s="5">
        <f t="shared" ref="F28:F31" si="8">IF(D$12=0,0,D28/D$12)</f>
        <v>0</v>
      </c>
      <c r="G28" s="1"/>
      <c r="H28" s="1">
        <f>SUM(OSRRefH22_1x_0)</f>
        <v>18337.96</v>
      </c>
      <c r="I28" s="1"/>
      <c r="J28" s="5">
        <f t="shared" ref="J28:J31" si="9">IF(H$12=0,0,H28/H$12)</f>
        <v>0</v>
      </c>
      <c r="K28" s="1"/>
      <c r="L28" s="1">
        <f t="shared" ref="L28:L31" si="10">+D28-H28</f>
        <v>3448.880000000001</v>
      </c>
      <c r="M28" s="1"/>
      <c r="N28" s="5">
        <f t="shared" ref="N28:N31" si="11">IF(H28=0,0,L28/H28)</f>
        <v>0.18807326441981556</v>
      </c>
      <c r="O28" s="14"/>
      <c r="P28" s="1">
        <f>SUM(OSRRefP22_1x_0)</f>
        <v>139553.46</v>
      </c>
      <c r="Q28" s="1"/>
      <c r="R28" s="5">
        <f t="shared" ref="R28:R31" si="12">IF(P$12=0,0,P28/P$12)</f>
        <v>0</v>
      </c>
      <c r="S28" s="1"/>
      <c r="T28" s="1">
        <f>SUM(OSRRefT22_1x_0)</f>
        <v>125859.51999999999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13693.940000000002</v>
      </c>
      <c r="Y28" s="1"/>
      <c r="Z28" s="5">
        <f t="shared" ref="Z28:Z31" si="15">IF(T28=0,0,X28/T28)</f>
        <v>0.10880337061511122</v>
      </c>
    </row>
    <row r="29" spans="1:26" s="24" customFormat="1" hidden="1" outlineLevel="2" x14ac:dyDescent="0.3">
      <c r="A29" s="28"/>
      <c r="B29" s="11" t="str">
        <f>CONCATENATE("          ", "6002", " - ", "STAFF SALARIES")</f>
        <v xml:space="preserve">          6002 - STAFF SALARIES</v>
      </c>
      <c r="C29" s="11"/>
      <c r="D29" s="6">
        <v>21279.8</v>
      </c>
      <c r="E29" s="2"/>
      <c r="F29" s="7">
        <f t="shared" si="8"/>
        <v>0</v>
      </c>
      <c r="G29" s="2"/>
      <c r="H29" s="6">
        <v>18337.96</v>
      </c>
      <c r="I29" s="2"/>
      <c r="J29" s="7">
        <f t="shared" si="9"/>
        <v>0</v>
      </c>
      <c r="K29" s="2"/>
      <c r="L29" s="6">
        <f t="shared" si="10"/>
        <v>2941.84</v>
      </c>
      <c r="M29" s="2"/>
      <c r="N29" s="7">
        <f t="shared" si="11"/>
        <v>0.16042351493841192</v>
      </c>
      <c r="O29" s="11"/>
      <c r="P29" s="6">
        <v>136547.06</v>
      </c>
      <c r="Q29" s="2"/>
      <c r="R29" s="7">
        <f t="shared" si="12"/>
        <v>0</v>
      </c>
      <c r="S29" s="2"/>
      <c r="T29" s="6">
        <v>125477.75999999999</v>
      </c>
      <c r="U29" s="2"/>
      <c r="V29" s="7">
        <f t="shared" si="13"/>
        <v>0</v>
      </c>
      <c r="W29" s="2"/>
      <c r="X29" s="6">
        <f t="shared" si="14"/>
        <v>11069.300000000003</v>
      </c>
      <c r="Y29" s="2"/>
      <c r="Z29" s="7">
        <f t="shared" si="15"/>
        <v>8.821722670216621E-2</v>
      </c>
    </row>
    <row r="30" spans="1:26" s="24" customFormat="1" hidden="1" outlineLevel="2" x14ac:dyDescent="0.3">
      <c r="A30" s="28"/>
      <c r="B30" s="11" t="str">
        <f>CONCATENATE("          ", "6005", " - ", "TEMPORARY WAGES-HOURLY")</f>
        <v xml:space="preserve">          6005 - TEMPORARY WAGES-HOURLY</v>
      </c>
      <c r="C30" s="11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265.48</v>
      </c>
      <c r="U30" s="2"/>
      <c r="V30" s="7">
        <f t="shared" si="13"/>
        <v>0</v>
      </c>
      <c r="W30" s="2"/>
      <c r="X30" s="6">
        <f t="shared" si="14"/>
        <v>-265.48</v>
      </c>
      <c r="Y30" s="2"/>
      <c r="Z30" s="7">
        <f t="shared" si="15"/>
        <v>-1</v>
      </c>
    </row>
    <row r="31" spans="1:26" s="24" customFormat="1" hidden="1" outlineLevel="2" x14ac:dyDescent="0.3">
      <c r="A31" s="28"/>
      <c r="B31" s="11" t="str">
        <f>CONCATENATE("          ", "6007", " - ", "STUDENT HOURLY")</f>
        <v xml:space="preserve">          6007 - STUDENT HOURLY</v>
      </c>
      <c r="C31" s="11"/>
      <c r="D31" s="6">
        <v>507.04</v>
      </c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507.04</v>
      </c>
      <c r="M31" s="2"/>
      <c r="N31" s="7">
        <f t="shared" si="11"/>
        <v>0</v>
      </c>
      <c r="O31" s="11"/>
      <c r="P31" s="6">
        <v>3006.4</v>
      </c>
      <c r="Q31" s="2"/>
      <c r="R31" s="7">
        <f t="shared" si="12"/>
        <v>0</v>
      </c>
      <c r="S31" s="2"/>
      <c r="T31" s="6">
        <v>116.28</v>
      </c>
      <c r="U31" s="2"/>
      <c r="V31" s="7">
        <f t="shared" si="13"/>
        <v>0</v>
      </c>
      <c r="W31" s="2"/>
      <c r="X31" s="6">
        <f t="shared" si="14"/>
        <v>2890.12</v>
      </c>
      <c r="Y31" s="2"/>
      <c r="Z31" s="7">
        <f t="shared" si="15"/>
        <v>24.854833161334707</v>
      </c>
    </row>
    <row r="32" spans="1:26" s="29" customFormat="1" outlineLevel="1" collapsed="1" x14ac:dyDescent="0.3">
      <c r="A32" s="27"/>
      <c r="B32" s="14" t="str">
        <f>CONCATENATE("     ","Depreciation                                      ")</f>
        <v xml:space="preserve">     Depreciation                                      </v>
      </c>
      <c r="C32" s="14"/>
      <c r="D32" s="1">
        <f>SUM(OSRRefD22_2x_0)</f>
        <v>1558.88</v>
      </c>
      <c r="E32" s="1"/>
      <c r="F32" s="5">
        <f t="shared" ref="F32:F40" si="16">IF(D$12=0,0,D32/D$12)</f>
        <v>0</v>
      </c>
      <c r="G32" s="1"/>
      <c r="H32" s="1">
        <f>SUM(OSRRefH22_2x_0)</f>
        <v>1558.88</v>
      </c>
      <c r="I32" s="1"/>
      <c r="J32" s="5">
        <f t="shared" ref="J32:J40" si="17">IF(H$12=0,0,H32/H$12)</f>
        <v>0</v>
      </c>
      <c r="K32" s="1"/>
      <c r="L32" s="1">
        <f t="shared" ref="L32:L40" si="18">+D32-H32</f>
        <v>0</v>
      </c>
      <c r="M32" s="1"/>
      <c r="N32" s="5">
        <f t="shared" ref="N32:N40" si="19">IF(H32=0,0,L32/H32)</f>
        <v>0</v>
      </c>
      <c r="O32" s="14"/>
      <c r="P32" s="1">
        <f>SUM(OSRRefP22_2x_0)</f>
        <v>9353.2800000000007</v>
      </c>
      <c r="Q32" s="1"/>
      <c r="R32" s="5">
        <f t="shared" ref="R32:R40" si="20">IF(P$12=0,0,P32/P$12)</f>
        <v>0</v>
      </c>
      <c r="S32" s="1"/>
      <c r="T32" s="1">
        <f>SUM(OSRRefT22_2x_0)</f>
        <v>9353.2800000000007</v>
      </c>
      <c r="U32" s="1"/>
      <c r="V32" s="5">
        <f t="shared" ref="V32:V40" si="21">IF(T$12=0,0,T32/T$12)</f>
        <v>0</v>
      </c>
      <c r="W32" s="1"/>
      <c r="X32" s="1">
        <f t="shared" ref="X32:X40" si="22">+P32-T32</f>
        <v>0</v>
      </c>
      <c r="Y32" s="1"/>
      <c r="Z32" s="5">
        <f t="shared" ref="Z32:Z40" si="23">IF(T32=0,0,X32/T32)</f>
        <v>0</v>
      </c>
    </row>
    <row r="33" spans="1:26" s="24" customFormat="1" hidden="1" outlineLevel="2" x14ac:dyDescent="0.3">
      <c r="A33" s="28"/>
      <c r="B33" s="11" t="str">
        <f>CONCATENATE("          ", "6322", " - ", "EQUIPMENT DEPRECIATION EXPENSE")</f>
        <v xml:space="preserve">          6322 - EQUIPMENT DEPRECIATION EXPENSE</v>
      </c>
      <c r="C33" s="11"/>
      <c r="D33" s="6">
        <v>1558.88</v>
      </c>
      <c r="E33" s="2"/>
      <c r="F33" s="7">
        <f t="shared" si="16"/>
        <v>0</v>
      </c>
      <c r="G33" s="2"/>
      <c r="H33" s="6">
        <v>1558.88</v>
      </c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>
        <v>9353.2800000000007</v>
      </c>
      <c r="Q33" s="2"/>
      <c r="R33" s="7">
        <f t="shared" si="20"/>
        <v>0</v>
      </c>
      <c r="S33" s="2"/>
      <c r="T33" s="6">
        <v>9353.2800000000007</v>
      </c>
      <c r="U33" s="2"/>
      <c r="V33" s="7">
        <f t="shared" si="21"/>
        <v>0</v>
      </c>
      <c r="W33" s="2"/>
      <c r="X33" s="6">
        <f t="shared" si="22"/>
        <v>0</v>
      </c>
      <c r="Y33" s="2"/>
      <c r="Z33" s="7">
        <f t="shared" si="23"/>
        <v>0</v>
      </c>
    </row>
    <row r="34" spans="1:26" s="29" customFormat="1" outlineLevel="1" collapsed="1" x14ac:dyDescent="0.3">
      <c r="A34" s="27"/>
      <c r="B34" s="14" t="str">
        <f>CONCATENATE("     ","Employees' Appreciation                           ")</f>
        <v xml:space="preserve">     Employees' Appreciation                           </v>
      </c>
      <c r="C34" s="14"/>
      <c r="D34" s="1">
        <f>SUM(OSRRefD22_3x_0)</f>
        <v>8.02</v>
      </c>
      <c r="E34" s="1"/>
      <c r="F34" s="5">
        <f t="shared" si="16"/>
        <v>0</v>
      </c>
      <c r="G34" s="1"/>
      <c r="H34" s="1">
        <f>SUM(OSRRefH22_3x_0)</f>
        <v>0</v>
      </c>
      <c r="I34" s="1"/>
      <c r="J34" s="5">
        <f t="shared" si="17"/>
        <v>0</v>
      </c>
      <c r="K34" s="1"/>
      <c r="L34" s="1">
        <f t="shared" si="18"/>
        <v>8.02</v>
      </c>
      <c r="M34" s="1"/>
      <c r="N34" s="5">
        <f t="shared" si="19"/>
        <v>0</v>
      </c>
      <c r="O34" s="14"/>
      <c r="P34" s="1">
        <f>SUM(OSRRefP22_3x_0)</f>
        <v>8.02</v>
      </c>
      <c r="Q34" s="1"/>
      <c r="R34" s="5">
        <f t="shared" si="20"/>
        <v>0</v>
      </c>
      <c r="S34" s="1"/>
      <c r="T34" s="1">
        <f>SUM(OSRRefT22_3x_0)</f>
        <v>0</v>
      </c>
      <c r="U34" s="1"/>
      <c r="V34" s="5">
        <f t="shared" si="21"/>
        <v>0</v>
      </c>
      <c r="W34" s="1"/>
      <c r="X34" s="1">
        <f t="shared" si="22"/>
        <v>8.02</v>
      </c>
      <c r="Y34" s="1"/>
      <c r="Z34" s="5">
        <f t="shared" si="23"/>
        <v>0</v>
      </c>
    </row>
    <row r="35" spans="1:26" s="24" customFormat="1" hidden="1" outlineLevel="2" x14ac:dyDescent="0.3">
      <c r="A35" s="28"/>
      <c r="B35" s="11" t="str">
        <f>CONCATENATE("          ", "6277", " - ", "EMPLOYEE APPRECIATION")</f>
        <v xml:space="preserve">          6277 - EMPLOYEE APPRECIATION</v>
      </c>
      <c r="C35" s="11"/>
      <c r="D35" s="6">
        <v>8.02</v>
      </c>
      <c r="E35" s="2"/>
      <c r="F35" s="7">
        <f t="shared" si="16"/>
        <v>0</v>
      </c>
      <c r="G35" s="2"/>
      <c r="H35" s="6"/>
      <c r="I35" s="2"/>
      <c r="J35" s="7">
        <f t="shared" si="17"/>
        <v>0</v>
      </c>
      <c r="K35" s="2"/>
      <c r="L35" s="6">
        <f t="shared" si="18"/>
        <v>8.02</v>
      </c>
      <c r="M35" s="2"/>
      <c r="N35" s="7">
        <f t="shared" si="19"/>
        <v>0</v>
      </c>
      <c r="O35" s="11"/>
      <c r="P35" s="6">
        <v>8.02</v>
      </c>
      <c r="Q35" s="2"/>
      <c r="R35" s="7">
        <f t="shared" si="20"/>
        <v>0</v>
      </c>
      <c r="S35" s="2"/>
      <c r="T35" s="6"/>
      <c r="U35" s="2"/>
      <c r="V35" s="7">
        <f t="shared" si="21"/>
        <v>0</v>
      </c>
      <c r="W35" s="2"/>
      <c r="X35" s="6">
        <f t="shared" si="22"/>
        <v>8.02</v>
      </c>
      <c r="Y35" s="2"/>
      <c r="Z35" s="7">
        <f t="shared" si="23"/>
        <v>0</v>
      </c>
    </row>
    <row r="36" spans="1:26" s="29" customFormat="1" outlineLevel="1" collapsed="1" x14ac:dyDescent="0.3">
      <c r="A36" s="27"/>
      <c r="B36" s="14" t="str">
        <f>CONCATENATE("     ","Equipment Rental                                  ")</f>
        <v xml:space="preserve">     Equipment Rental                                  </v>
      </c>
      <c r="C36" s="14"/>
      <c r="D36" s="1">
        <f>SUM(OSRRefD22_4x_0)</f>
        <v>91.26</v>
      </c>
      <c r="E36" s="1"/>
      <c r="F36" s="5">
        <f t="shared" si="16"/>
        <v>0</v>
      </c>
      <c r="G36" s="1"/>
      <c r="H36" s="1">
        <f>SUM(OSRRefH22_4x_0)</f>
        <v>91.26</v>
      </c>
      <c r="I36" s="1"/>
      <c r="J36" s="5">
        <f t="shared" si="17"/>
        <v>0</v>
      </c>
      <c r="K36" s="1"/>
      <c r="L36" s="1">
        <f t="shared" si="18"/>
        <v>0</v>
      </c>
      <c r="M36" s="1"/>
      <c r="N36" s="5">
        <f t="shared" si="19"/>
        <v>0</v>
      </c>
      <c r="O36" s="14"/>
      <c r="P36" s="1">
        <f>SUM(OSRRefP22_4x_0)</f>
        <v>547.55999999999995</v>
      </c>
      <c r="Q36" s="1"/>
      <c r="R36" s="5">
        <f t="shared" si="20"/>
        <v>0</v>
      </c>
      <c r="S36" s="1"/>
      <c r="T36" s="1">
        <f>SUM(OSRRefT22_4x_0)</f>
        <v>547.55999999999995</v>
      </c>
      <c r="U36" s="1"/>
      <c r="V36" s="5">
        <f t="shared" si="21"/>
        <v>0</v>
      </c>
      <c r="W36" s="1"/>
      <c r="X36" s="1">
        <f t="shared" si="22"/>
        <v>0</v>
      </c>
      <c r="Y36" s="1"/>
      <c r="Z36" s="5">
        <f t="shared" si="23"/>
        <v>0</v>
      </c>
    </row>
    <row r="37" spans="1:26" s="24" customFormat="1" hidden="1" outlineLevel="2" x14ac:dyDescent="0.3">
      <c r="A37" s="28"/>
      <c r="B37" s="11" t="str">
        <f>CONCATENATE("          ", "6351", " - ", "EQUIPMENT RENTAL")</f>
        <v xml:space="preserve">          6351 - EQUIPMENT RENTAL</v>
      </c>
      <c r="C37" s="11"/>
      <c r="D37" s="6">
        <v>91.26</v>
      </c>
      <c r="E37" s="2"/>
      <c r="F37" s="7">
        <f t="shared" si="16"/>
        <v>0</v>
      </c>
      <c r="G37" s="2"/>
      <c r="H37" s="6">
        <v>91.26</v>
      </c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>
        <v>547.55999999999995</v>
      </c>
      <c r="Q37" s="2"/>
      <c r="R37" s="7">
        <f t="shared" si="20"/>
        <v>0</v>
      </c>
      <c r="S37" s="2"/>
      <c r="T37" s="6">
        <v>547.55999999999995</v>
      </c>
      <c r="U37" s="2"/>
      <c r="V37" s="7">
        <f t="shared" si="21"/>
        <v>0</v>
      </c>
      <c r="W37" s="2"/>
      <c r="X37" s="6">
        <f t="shared" si="22"/>
        <v>0</v>
      </c>
      <c r="Y37" s="2"/>
      <c r="Z37" s="7">
        <f t="shared" si="23"/>
        <v>0</v>
      </c>
    </row>
    <row r="38" spans="1:26" s="29" customFormat="1" outlineLevel="1" collapsed="1" x14ac:dyDescent="0.3">
      <c r="A38" s="27"/>
      <c r="B38" s="14" t="str">
        <f>CONCATENATE("     ","Freight out/Postage                               ")</f>
        <v xml:space="preserve">     Freight out/Postage                               </v>
      </c>
      <c r="C38" s="14"/>
      <c r="D38" s="1">
        <f>SUM(OSRRefD22_5x_0)</f>
        <v>130.52000000000001</v>
      </c>
      <c r="E38" s="1"/>
      <c r="F38" s="5">
        <f t="shared" si="16"/>
        <v>0</v>
      </c>
      <c r="G38" s="1"/>
      <c r="H38" s="1">
        <f>SUM(OSRRefH22_5x_0)</f>
        <v>66.5</v>
      </c>
      <c r="I38" s="1"/>
      <c r="J38" s="5">
        <f t="shared" si="17"/>
        <v>0</v>
      </c>
      <c r="K38" s="1"/>
      <c r="L38" s="1">
        <f t="shared" si="18"/>
        <v>64.02000000000001</v>
      </c>
      <c r="M38" s="1"/>
      <c r="N38" s="5">
        <f t="shared" si="19"/>
        <v>0.9627067669172934</v>
      </c>
      <c r="O38" s="14"/>
      <c r="P38" s="1">
        <f>SUM(OSRRefP22_5x_0)</f>
        <v>793.34</v>
      </c>
      <c r="Q38" s="1"/>
      <c r="R38" s="5">
        <f t="shared" si="20"/>
        <v>0</v>
      </c>
      <c r="S38" s="1"/>
      <c r="T38" s="1">
        <f>SUM(OSRRefT22_5x_0)</f>
        <v>604.86</v>
      </c>
      <c r="U38" s="1"/>
      <c r="V38" s="5">
        <f t="shared" si="21"/>
        <v>0</v>
      </c>
      <c r="W38" s="1"/>
      <c r="X38" s="1">
        <f t="shared" si="22"/>
        <v>188.48000000000002</v>
      </c>
      <c r="Y38" s="1"/>
      <c r="Z38" s="5">
        <f t="shared" si="23"/>
        <v>0.31160929801937642</v>
      </c>
    </row>
    <row r="39" spans="1:26" s="24" customFormat="1" hidden="1" outlineLevel="2" x14ac:dyDescent="0.3">
      <c r="A39" s="28"/>
      <c r="B39" s="11" t="str">
        <f>CONCATENATE("          ", "6305", " - ", "FREIGHT OUT")</f>
        <v xml:space="preserve">          6305 - FREIGHT OUT</v>
      </c>
      <c r="C39" s="11"/>
      <c r="D39" s="6"/>
      <c r="E39" s="2"/>
      <c r="F39" s="7">
        <f t="shared" si="16"/>
        <v>0</v>
      </c>
      <c r="G39" s="2"/>
      <c r="H39" s="6"/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1"/>
      <c r="P39" s="6"/>
      <c r="Q39" s="2"/>
      <c r="R39" s="7">
        <f t="shared" si="20"/>
        <v>0</v>
      </c>
      <c r="S39" s="2"/>
      <c r="T39" s="6">
        <v>5.41</v>
      </c>
      <c r="U39" s="2"/>
      <c r="V39" s="7">
        <f t="shared" si="21"/>
        <v>0</v>
      </c>
      <c r="W39" s="2"/>
      <c r="X39" s="6">
        <f t="shared" si="22"/>
        <v>-5.41</v>
      </c>
      <c r="Y39" s="2"/>
      <c r="Z39" s="7">
        <f t="shared" si="23"/>
        <v>-1</v>
      </c>
    </row>
    <row r="40" spans="1:26" s="24" customFormat="1" hidden="1" outlineLevel="2" x14ac:dyDescent="0.3">
      <c r="A40" s="28"/>
      <c r="B40" s="11" t="str">
        <f>CONCATENATE("          ", "6307", " - ", "POSTAGE")</f>
        <v xml:space="preserve">          6307 - POSTAGE</v>
      </c>
      <c r="C40" s="11"/>
      <c r="D40" s="6">
        <v>130.52000000000001</v>
      </c>
      <c r="E40" s="2"/>
      <c r="F40" s="7">
        <f t="shared" si="16"/>
        <v>0</v>
      </c>
      <c r="G40" s="2"/>
      <c r="H40" s="6">
        <v>66.5</v>
      </c>
      <c r="I40" s="2"/>
      <c r="J40" s="7">
        <f t="shared" si="17"/>
        <v>0</v>
      </c>
      <c r="K40" s="2"/>
      <c r="L40" s="6">
        <f t="shared" si="18"/>
        <v>64.02000000000001</v>
      </c>
      <c r="M40" s="2"/>
      <c r="N40" s="7">
        <f t="shared" si="19"/>
        <v>0.9627067669172934</v>
      </c>
      <c r="O40" s="11"/>
      <c r="P40" s="6">
        <v>793.34</v>
      </c>
      <c r="Q40" s="2"/>
      <c r="R40" s="7">
        <f t="shared" si="20"/>
        <v>0</v>
      </c>
      <c r="S40" s="2"/>
      <c r="T40" s="6">
        <v>599.45000000000005</v>
      </c>
      <c r="U40" s="2"/>
      <c r="V40" s="7">
        <f t="shared" si="21"/>
        <v>0</v>
      </c>
      <c r="W40" s="2"/>
      <c r="X40" s="6">
        <f t="shared" si="22"/>
        <v>193.89</v>
      </c>
      <c r="Y40" s="2"/>
      <c r="Z40" s="7">
        <f t="shared" si="23"/>
        <v>0.32344649261823333</v>
      </c>
    </row>
    <row r="41" spans="1:26" s="29" customFormat="1" outlineLevel="1" collapsed="1" x14ac:dyDescent="0.3">
      <c r="A41" s="27"/>
      <c r="B41" s="14" t="str">
        <f>CONCATENATE("     ","Insurance                                         ")</f>
        <v xml:space="preserve">     Insurance                                         </v>
      </c>
      <c r="C41" s="14"/>
      <c r="D41" s="1">
        <f>SUM(OSRRefD22_6x_0)</f>
        <v>179.64</v>
      </c>
      <c r="E41" s="1"/>
      <c r="F41" s="5">
        <f t="shared" ref="F41:F46" si="24">IF(D$12=0,0,D41/D$12)</f>
        <v>0</v>
      </c>
      <c r="G41" s="1"/>
      <c r="H41" s="1">
        <f>SUM(OSRRefH22_6x_0)</f>
        <v>132.16999999999999</v>
      </c>
      <c r="I41" s="1"/>
      <c r="J41" s="5">
        <f t="shared" ref="J41:J46" si="25">IF(H$12=0,0,H41/H$12)</f>
        <v>0</v>
      </c>
      <c r="K41" s="1"/>
      <c r="L41" s="1">
        <f t="shared" ref="L41:L46" si="26">+D41-H41</f>
        <v>47.47</v>
      </c>
      <c r="M41" s="1"/>
      <c r="N41" s="5">
        <f t="shared" ref="N41:N46" si="27">IF(H41=0,0,L41/H41)</f>
        <v>0.35915865930241359</v>
      </c>
      <c r="O41" s="14"/>
      <c r="P41" s="1">
        <f>SUM(OSRRefP22_6x_0)</f>
        <v>1077.8399999999999</v>
      </c>
      <c r="Q41" s="1"/>
      <c r="R41" s="5">
        <f t="shared" ref="R41:R46" si="28">IF(P$12=0,0,P41/P$12)</f>
        <v>0</v>
      </c>
      <c r="S41" s="1"/>
      <c r="T41" s="1">
        <f>SUM(OSRRefT22_6x_0)</f>
        <v>793.02</v>
      </c>
      <c r="U41" s="1"/>
      <c r="V41" s="5">
        <f t="shared" ref="V41:V46" si="29">IF(T$12=0,0,T41/T$12)</f>
        <v>0</v>
      </c>
      <c r="W41" s="1"/>
      <c r="X41" s="1">
        <f t="shared" ref="X41:X46" si="30">+P41-T41</f>
        <v>284.81999999999994</v>
      </c>
      <c r="Y41" s="1"/>
      <c r="Z41" s="5">
        <f t="shared" ref="Z41:Z46" si="31">IF(T41=0,0,X41/T41)</f>
        <v>0.35915865930241347</v>
      </c>
    </row>
    <row r="42" spans="1:26" s="24" customFormat="1" hidden="1" outlineLevel="2" x14ac:dyDescent="0.3">
      <c r="A42" s="28"/>
      <c r="B42" s="11" t="str">
        <f>CONCATENATE("          ", "6314", " - ", "LIABILITY INSURANCE")</f>
        <v xml:space="preserve">          6314 - LIABILITY INSURANCE</v>
      </c>
      <c r="C42" s="11"/>
      <c r="D42" s="6">
        <v>179.64</v>
      </c>
      <c r="E42" s="2"/>
      <c r="F42" s="7">
        <f t="shared" si="24"/>
        <v>0</v>
      </c>
      <c r="G42" s="2"/>
      <c r="H42" s="6">
        <v>132.16999999999999</v>
      </c>
      <c r="I42" s="2"/>
      <c r="J42" s="7">
        <f t="shared" si="25"/>
        <v>0</v>
      </c>
      <c r="K42" s="2"/>
      <c r="L42" s="6">
        <f t="shared" si="26"/>
        <v>47.47</v>
      </c>
      <c r="M42" s="2"/>
      <c r="N42" s="7">
        <f t="shared" si="27"/>
        <v>0.35915865930241359</v>
      </c>
      <c r="O42" s="11"/>
      <c r="P42" s="6">
        <v>1077.8399999999999</v>
      </c>
      <c r="Q42" s="2"/>
      <c r="R42" s="7">
        <f t="shared" si="28"/>
        <v>0</v>
      </c>
      <c r="S42" s="2"/>
      <c r="T42" s="6">
        <v>793.02</v>
      </c>
      <c r="U42" s="2"/>
      <c r="V42" s="7">
        <f t="shared" si="29"/>
        <v>0</v>
      </c>
      <c r="W42" s="2"/>
      <c r="X42" s="6">
        <f t="shared" si="30"/>
        <v>284.81999999999994</v>
      </c>
      <c r="Y42" s="2"/>
      <c r="Z42" s="7">
        <f t="shared" si="31"/>
        <v>0.35915865930241347</v>
      </c>
    </row>
    <row r="43" spans="1:26" s="29" customFormat="1" outlineLevel="1" collapsed="1" x14ac:dyDescent="0.3">
      <c r="A43" s="27"/>
      <c r="B43" s="14" t="str">
        <f>CONCATENATE("     ","Repair and Maintenance                            ")</f>
        <v xml:space="preserve">     Repair and Maintenance                            </v>
      </c>
      <c r="C43" s="14"/>
      <c r="D43" s="1">
        <f>SUM(OSRRefD22_7x_0)</f>
        <v>67.680000000000007</v>
      </c>
      <c r="E43" s="1"/>
      <c r="F43" s="5">
        <f t="shared" si="24"/>
        <v>0</v>
      </c>
      <c r="G43" s="1"/>
      <c r="H43" s="1">
        <f>SUM(OSRRefH22_7x_0)</f>
        <v>233.10999999999999</v>
      </c>
      <c r="I43" s="1"/>
      <c r="J43" s="5">
        <f t="shared" si="25"/>
        <v>0</v>
      </c>
      <c r="K43" s="1"/>
      <c r="L43" s="1">
        <f t="shared" si="26"/>
        <v>-165.42999999999998</v>
      </c>
      <c r="M43" s="1"/>
      <c r="N43" s="5">
        <f t="shared" si="27"/>
        <v>-0.70966496503796483</v>
      </c>
      <c r="O43" s="14"/>
      <c r="P43" s="1">
        <f>SUM(OSRRefP22_7x_0)</f>
        <v>1968.54</v>
      </c>
      <c r="Q43" s="1"/>
      <c r="R43" s="5">
        <f t="shared" si="28"/>
        <v>0</v>
      </c>
      <c r="S43" s="1"/>
      <c r="T43" s="1">
        <f>SUM(OSRRefT22_7x_0)</f>
        <v>952.87</v>
      </c>
      <c r="U43" s="1"/>
      <c r="V43" s="5">
        <f t="shared" si="29"/>
        <v>0</v>
      </c>
      <c r="W43" s="1"/>
      <c r="X43" s="1">
        <f t="shared" si="30"/>
        <v>1015.67</v>
      </c>
      <c r="Y43" s="1"/>
      <c r="Z43" s="5">
        <f t="shared" si="31"/>
        <v>1.0659061571882837</v>
      </c>
    </row>
    <row r="44" spans="1:26" s="24" customFormat="1" hidden="1" outlineLevel="2" x14ac:dyDescent="0.3">
      <c r="A44" s="28"/>
      <c r="B44" s="11" t="str">
        <f>CONCATENATE("          ", "6371", " - ", "COMPUTER SOFTWARE MAINTENANCE")</f>
        <v xml:space="preserve">          6371 - COMPUTER SOFTWARE MAINTENANCE</v>
      </c>
      <c r="C44" s="11"/>
      <c r="D44" s="6">
        <v>59.95</v>
      </c>
      <c r="E44" s="2"/>
      <c r="F44" s="7">
        <f t="shared" si="24"/>
        <v>0</v>
      </c>
      <c r="G44" s="2"/>
      <c r="H44" s="6">
        <v>224.95</v>
      </c>
      <c r="I44" s="2"/>
      <c r="J44" s="7">
        <f t="shared" si="25"/>
        <v>0</v>
      </c>
      <c r="K44" s="2"/>
      <c r="L44" s="6">
        <f t="shared" si="26"/>
        <v>-165</v>
      </c>
      <c r="M44" s="2"/>
      <c r="N44" s="7">
        <f t="shared" si="27"/>
        <v>-0.73349633251833746</v>
      </c>
      <c r="O44" s="11"/>
      <c r="P44" s="6">
        <v>359.7</v>
      </c>
      <c r="Q44" s="2"/>
      <c r="R44" s="7">
        <f t="shared" si="28"/>
        <v>0</v>
      </c>
      <c r="S44" s="2"/>
      <c r="T44" s="6">
        <v>895.95</v>
      </c>
      <c r="U44" s="2"/>
      <c r="V44" s="7">
        <f t="shared" si="29"/>
        <v>0</v>
      </c>
      <c r="W44" s="2"/>
      <c r="X44" s="6">
        <f t="shared" si="30"/>
        <v>-536.25</v>
      </c>
      <c r="Y44" s="2"/>
      <c r="Z44" s="7">
        <f t="shared" si="31"/>
        <v>-0.5985267034990791</v>
      </c>
    </row>
    <row r="45" spans="1:26" s="24" customFormat="1" hidden="1" outlineLevel="2" x14ac:dyDescent="0.3">
      <c r="A45" s="28"/>
      <c r="B45" s="11" t="str">
        <f>CONCATENATE("          ", "6373", " - ", "MAINTENANCE CONTRACTS")</f>
        <v xml:space="preserve">          6373 - MAINTENANCE CONTRACTS</v>
      </c>
      <c r="C45" s="11"/>
      <c r="D45" s="6">
        <v>7.73</v>
      </c>
      <c r="E45" s="2"/>
      <c r="F45" s="7">
        <f t="shared" si="24"/>
        <v>0</v>
      </c>
      <c r="G45" s="2"/>
      <c r="H45" s="6">
        <v>8.16</v>
      </c>
      <c r="I45" s="2"/>
      <c r="J45" s="7">
        <f t="shared" si="25"/>
        <v>0</v>
      </c>
      <c r="K45" s="2"/>
      <c r="L45" s="6">
        <f t="shared" si="26"/>
        <v>-0.42999999999999972</v>
      </c>
      <c r="M45" s="2"/>
      <c r="N45" s="7">
        <f t="shared" si="27"/>
        <v>-5.2696078431372514E-2</v>
      </c>
      <c r="O45" s="11"/>
      <c r="P45" s="6">
        <v>51.28</v>
      </c>
      <c r="Q45" s="2"/>
      <c r="R45" s="7">
        <f t="shared" si="28"/>
        <v>0</v>
      </c>
      <c r="S45" s="2"/>
      <c r="T45" s="6">
        <v>56.92</v>
      </c>
      <c r="U45" s="2"/>
      <c r="V45" s="7">
        <f t="shared" si="29"/>
        <v>0</v>
      </c>
      <c r="W45" s="2"/>
      <c r="X45" s="6">
        <f t="shared" si="30"/>
        <v>-5.6400000000000006</v>
      </c>
      <c r="Y45" s="2"/>
      <c r="Z45" s="7">
        <f t="shared" si="31"/>
        <v>-9.9086437104708366E-2</v>
      </c>
    </row>
    <row r="46" spans="1:26" s="24" customFormat="1" hidden="1" outlineLevel="2" x14ac:dyDescent="0.3">
      <c r="A46" s="28"/>
      <c r="B46" s="11" t="str">
        <f>CONCATENATE("          ", "6375", " - ", "OUTSIDE REPAIRS &amp; MAINTENANCE")</f>
        <v xml:space="preserve">          6375 - OUTSIDE REPAIRS &amp; MAINTENANCE</v>
      </c>
      <c r="C46" s="11"/>
      <c r="D46" s="6"/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0</v>
      </c>
      <c r="M46" s="2"/>
      <c r="N46" s="7">
        <f t="shared" si="27"/>
        <v>0</v>
      </c>
      <c r="O46" s="11"/>
      <c r="P46" s="6">
        <v>1557.56</v>
      </c>
      <c r="Q46" s="2"/>
      <c r="R46" s="7">
        <f t="shared" si="28"/>
        <v>0</v>
      </c>
      <c r="S46" s="2"/>
      <c r="T46" s="6"/>
      <c r="U46" s="2"/>
      <c r="V46" s="7">
        <f t="shared" si="29"/>
        <v>0</v>
      </c>
      <c r="W46" s="2"/>
      <c r="X46" s="6">
        <f t="shared" si="30"/>
        <v>1557.56</v>
      </c>
      <c r="Y46" s="2"/>
      <c r="Z46" s="7">
        <f t="shared" si="31"/>
        <v>0</v>
      </c>
    </row>
    <row r="47" spans="1:26" s="29" customFormat="1" outlineLevel="1" collapsed="1" x14ac:dyDescent="0.3">
      <c r="A47" s="27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SUM(OSRRefD22_8x_0)</f>
        <v>657.38</v>
      </c>
      <c r="E47" s="1"/>
      <c r="F47" s="5">
        <f t="shared" ref="F47:F51" si="32">IF(D$12=0,0,D47/D$12)</f>
        <v>0</v>
      </c>
      <c r="G47" s="1"/>
      <c r="H47" s="1">
        <f>SUM(OSRRefH22_8x_0)</f>
        <v>512.48</v>
      </c>
      <c r="I47" s="1"/>
      <c r="J47" s="5">
        <f t="shared" ref="J47:J51" si="33">IF(H$12=0,0,H47/H$12)</f>
        <v>0</v>
      </c>
      <c r="K47" s="1"/>
      <c r="L47" s="1">
        <f t="shared" ref="L47:L51" si="34">+D47-H47</f>
        <v>144.89999999999998</v>
      </c>
      <c r="M47" s="1"/>
      <c r="N47" s="5">
        <f t="shared" ref="N47:N51" si="35">IF(H47=0,0,L47/H47)</f>
        <v>0.28274274118014359</v>
      </c>
      <c r="O47" s="14"/>
      <c r="P47" s="1">
        <f>SUM(OSRRefP22_8x_0)</f>
        <v>3997.41</v>
      </c>
      <c r="Q47" s="1"/>
      <c r="R47" s="5">
        <f t="shared" ref="R47:R51" si="36">IF(P$12=0,0,P47/P$12)</f>
        <v>0</v>
      </c>
      <c r="S47" s="1"/>
      <c r="T47" s="1">
        <f>SUM(OSRRefT22_8x_0)</f>
        <v>3074.88</v>
      </c>
      <c r="U47" s="1"/>
      <c r="V47" s="5">
        <f t="shared" ref="V47:V51" si="37">IF(T$12=0,0,T47/T$12)</f>
        <v>0</v>
      </c>
      <c r="W47" s="1"/>
      <c r="X47" s="1">
        <f t="shared" ref="X47:X51" si="38">+P47-T47</f>
        <v>922.52999999999975</v>
      </c>
      <c r="Y47" s="1"/>
      <c r="Z47" s="5">
        <f t="shared" ref="Z47:Z51" si="39">IF(T47=0,0,X47/T47)</f>
        <v>0.30002146425226339</v>
      </c>
    </row>
    <row r="48" spans="1:26" s="24" customFormat="1" hidden="1" outlineLevel="2" x14ac:dyDescent="0.3">
      <c r="A48" s="28"/>
      <c r="B48" s="11" t="str">
        <f>CONCATENATE("          ", "6281", " - ", "STORAGE FEE")</f>
        <v xml:space="preserve">          6281 - STORAGE FEE</v>
      </c>
      <c r="C48" s="11"/>
      <c r="D48" s="6">
        <v>657.38</v>
      </c>
      <c r="E48" s="2"/>
      <c r="F48" s="7">
        <f t="shared" si="32"/>
        <v>0</v>
      </c>
      <c r="G48" s="2"/>
      <c r="H48" s="6">
        <v>512.48</v>
      </c>
      <c r="I48" s="2"/>
      <c r="J48" s="7">
        <f t="shared" si="33"/>
        <v>0</v>
      </c>
      <c r="K48" s="2"/>
      <c r="L48" s="6">
        <f t="shared" si="34"/>
        <v>144.89999999999998</v>
      </c>
      <c r="M48" s="2"/>
      <c r="N48" s="7">
        <f t="shared" si="35"/>
        <v>0.28274274118014359</v>
      </c>
      <c r="O48" s="11"/>
      <c r="P48" s="6">
        <v>3997.41</v>
      </c>
      <c r="Q48" s="2"/>
      <c r="R48" s="7">
        <f t="shared" si="36"/>
        <v>0</v>
      </c>
      <c r="S48" s="2"/>
      <c r="T48" s="6">
        <v>3074.88</v>
      </c>
      <c r="U48" s="2"/>
      <c r="V48" s="7">
        <f t="shared" si="37"/>
        <v>0</v>
      </c>
      <c r="W48" s="2"/>
      <c r="X48" s="6">
        <f t="shared" si="38"/>
        <v>922.52999999999975</v>
      </c>
      <c r="Y48" s="2"/>
      <c r="Z48" s="7">
        <f t="shared" si="39"/>
        <v>0.30002146425226339</v>
      </c>
    </row>
    <row r="49" spans="1:26" s="29" customFormat="1" outlineLevel="1" collapsed="1" x14ac:dyDescent="0.3">
      <c r="A49" s="27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SUM(OSRRefD22_9x_0)</f>
        <v>69.430000000000007</v>
      </c>
      <c r="E49" s="1"/>
      <c r="F49" s="5">
        <f t="shared" si="32"/>
        <v>0</v>
      </c>
      <c r="G49" s="1"/>
      <c r="H49" s="1">
        <f>SUM(OSRRefH22_9x_0)</f>
        <v>68.849999999999994</v>
      </c>
      <c r="I49" s="1"/>
      <c r="J49" s="5">
        <f t="shared" si="33"/>
        <v>0</v>
      </c>
      <c r="K49" s="1"/>
      <c r="L49" s="1">
        <f t="shared" si="34"/>
        <v>0.58000000000001251</v>
      </c>
      <c r="M49" s="1"/>
      <c r="N49" s="5">
        <f t="shared" si="35"/>
        <v>8.4241103848948801E-3</v>
      </c>
      <c r="O49" s="14"/>
      <c r="P49" s="1">
        <f>SUM(OSRRefP22_9x_0)</f>
        <v>1610.25</v>
      </c>
      <c r="Q49" s="1"/>
      <c r="R49" s="5">
        <f t="shared" si="36"/>
        <v>0</v>
      </c>
      <c r="S49" s="1"/>
      <c r="T49" s="1">
        <f>SUM(OSRRefT22_9x_0)</f>
        <v>782.8900000000001</v>
      </c>
      <c r="U49" s="1"/>
      <c r="V49" s="5">
        <f t="shared" si="37"/>
        <v>0</v>
      </c>
      <c r="W49" s="1"/>
      <c r="X49" s="1">
        <f t="shared" si="38"/>
        <v>827.3599999999999</v>
      </c>
      <c r="Y49" s="1"/>
      <c r="Z49" s="5">
        <f t="shared" si="39"/>
        <v>1.05680236048487</v>
      </c>
    </row>
    <row r="50" spans="1:26" s="24" customFormat="1" hidden="1" outlineLevel="2" x14ac:dyDescent="0.3">
      <c r="A50" s="28"/>
      <c r="B50" s="11" t="str">
        <f>CONCATENATE("          ", "6235", " - ", "COVID-19 EXPENSES")</f>
        <v xml:space="preserve">          6235 - COVID-19 EXPENSES</v>
      </c>
      <c r="C50" s="11"/>
      <c r="D50" s="6"/>
      <c r="E50" s="2"/>
      <c r="F50" s="7">
        <f t="shared" si="32"/>
        <v>0</v>
      </c>
      <c r="G50" s="2"/>
      <c r="H50" s="6"/>
      <c r="I50" s="2"/>
      <c r="J50" s="7">
        <f t="shared" si="33"/>
        <v>0</v>
      </c>
      <c r="K50" s="2"/>
      <c r="L50" s="6">
        <f t="shared" si="34"/>
        <v>0</v>
      </c>
      <c r="M50" s="2"/>
      <c r="N50" s="7">
        <f t="shared" si="35"/>
        <v>0</v>
      </c>
      <c r="O50" s="11"/>
      <c r="P50" s="6"/>
      <c r="Q50" s="2"/>
      <c r="R50" s="7">
        <f t="shared" si="36"/>
        <v>0</v>
      </c>
      <c r="S50" s="2"/>
      <c r="T50" s="6">
        <v>426.66</v>
      </c>
      <c r="U50" s="2"/>
      <c r="V50" s="7">
        <f t="shared" si="37"/>
        <v>0</v>
      </c>
      <c r="W50" s="2"/>
      <c r="X50" s="6">
        <f t="shared" si="38"/>
        <v>-426.66</v>
      </c>
      <c r="Y50" s="2"/>
      <c r="Z50" s="7">
        <f t="shared" si="39"/>
        <v>-1</v>
      </c>
    </row>
    <row r="51" spans="1:26" s="24" customFormat="1" hidden="1" outlineLevel="2" x14ac:dyDescent="0.3">
      <c r="A51" s="28"/>
      <c r="B51" s="11" t="str">
        <f>CONCATENATE("          ", "6241", " - ", "OFFICE EXPENSE")</f>
        <v xml:space="preserve">          6241 - OFFICE EXPENSE</v>
      </c>
      <c r="C51" s="11"/>
      <c r="D51" s="6">
        <v>69.430000000000007</v>
      </c>
      <c r="E51" s="2"/>
      <c r="F51" s="7">
        <f t="shared" si="32"/>
        <v>0</v>
      </c>
      <c r="G51" s="2"/>
      <c r="H51" s="6">
        <v>68.849999999999994</v>
      </c>
      <c r="I51" s="2"/>
      <c r="J51" s="7">
        <f t="shared" si="33"/>
        <v>0</v>
      </c>
      <c r="K51" s="2"/>
      <c r="L51" s="6">
        <f t="shared" si="34"/>
        <v>0.58000000000001251</v>
      </c>
      <c r="M51" s="2"/>
      <c r="N51" s="7">
        <f t="shared" si="35"/>
        <v>8.4241103848948801E-3</v>
      </c>
      <c r="O51" s="11"/>
      <c r="P51" s="6">
        <v>1610.25</v>
      </c>
      <c r="Q51" s="2"/>
      <c r="R51" s="7">
        <f t="shared" si="36"/>
        <v>0</v>
      </c>
      <c r="S51" s="2"/>
      <c r="T51" s="6">
        <v>356.23</v>
      </c>
      <c r="U51" s="2"/>
      <c r="V51" s="7">
        <f t="shared" si="37"/>
        <v>0</v>
      </c>
      <c r="W51" s="2"/>
      <c r="X51" s="6">
        <f t="shared" si="38"/>
        <v>1254.02</v>
      </c>
      <c r="Y51" s="2"/>
      <c r="Z51" s="7">
        <f t="shared" si="39"/>
        <v>3.520253768632625</v>
      </c>
    </row>
    <row r="52" spans="1:26" s="29" customFormat="1" outlineLevel="1" collapsed="1" x14ac:dyDescent="0.3">
      <c r="A52" s="27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SUM(OSRRefD22_10x_0)</f>
        <v>345.35</v>
      </c>
      <c r="E52" s="1"/>
      <c r="F52" s="5">
        <f t="shared" ref="F52:F57" si="40">IF(D$12=0,0,D52/D$12)</f>
        <v>0</v>
      </c>
      <c r="G52" s="1"/>
      <c r="H52" s="1">
        <f>SUM(OSRRefH22_10x_0)</f>
        <v>414.15</v>
      </c>
      <c r="I52" s="1"/>
      <c r="J52" s="5">
        <f t="shared" ref="J52:J57" si="41">IF(H$12=0,0,H52/H$12)</f>
        <v>0</v>
      </c>
      <c r="K52" s="1"/>
      <c r="L52" s="1">
        <f t="shared" ref="L52:L57" si="42">+D52-H52</f>
        <v>-68.799999999999955</v>
      </c>
      <c r="M52" s="1"/>
      <c r="N52" s="5">
        <f t="shared" ref="N52:N57" si="43">IF(H52=0,0,L52/H52)</f>
        <v>-0.16612338524689113</v>
      </c>
      <c r="O52" s="14"/>
      <c r="P52" s="1">
        <f>SUM(OSRRefP22_10x_0)</f>
        <v>2557.85</v>
      </c>
      <c r="Q52" s="1"/>
      <c r="R52" s="5">
        <f t="shared" ref="R52:R57" si="44">IF(P$12=0,0,P52/P$12)</f>
        <v>0</v>
      </c>
      <c r="S52" s="1"/>
      <c r="T52" s="1">
        <f>SUM(OSRRefT22_10x_0)</f>
        <v>2520.0500000000002</v>
      </c>
      <c r="U52" s="1"/>
      <c r="V52" s="5">
        <f t="shared" ref="V52:V57" si="45">IF(T$12=0,0,T52/T$12)</f>
        <v>0</v>
      </c>
      <c r="W52" s="1"/>
      <c r="X52" s="1">
        <f t="shared" ref="X52:X57" si="46">+P52-T52</f>
        <v>37.799999999999727</v>
      </c>
      <c r="Y52" s="1"/>
      <c r="Z52" s="5">
        <f t="shared" ref="Z52:Z57" si="47">IF(T52=0,0,X52/T52)</f>
        <v>1.4999702386857295E-2</v>
      </c>
    </row>
    <row r="53" spans="1:26" s="24" customFormat="1" hidden="1" outlineLevel="2" x14ac:dyDescent="0.3">
      <c r="A53" s="28"/>
      <c r="B53" s="11" t="str">
        <f>CONCATENATE("          ", "6309", " - ", "TELEPHONE")</f>
        <v xml:space="preserve">          6309 - TELEPHONE</v>
      </c>
      <c r="C53" s="11"/>
      <c r="D53" s="6">
        <v>345.35</v>
      </c>
      <c r="E53" s="2"/>
      <c r="F53" s="7">
        <f t="shared" si="40"/>
        <v>0</v>
      </c>
      <c r="G53" s="2"/>
      <c r="H53" s="6">
        <v>414.15</v>
      </c>
      <c r="I53" s="2"/>
      <c r="J53" s="7">
        <f t="shared" si="41"/>
        <v>0</v>
      </c>
      <c r="K53" s="2"/>
      <c r="L53" s="6">
        <f t="shared" si="42"/>
        <v>-68.799999999999955</v>
      </c>
      <c r="M53" s="2"/>
      <c r="N53" s="7">
        <f t="shared" si="43"/>
        <v>-0.16612338524689113</v>
      </c>
      <c r="O53" s="11"/>
      <c r="P53" s="6">
        <v>2557.85</v>
      </c>
      <c r="Q53" s="2"/>
      <c r="R53" s="7">
        <f t="shared" si="44"/>
        <v>0</v>
      </c>
      <c r="S53" s="2"/>
      <c r="T53" s="6">
        <v>2520.0500000000002</v>
      </c>
      <c r="U53" s="2"/>
      <c r="V53" s="7">
        <f t="shared" si="45"/>
        <v>0</v>
      </c>
      <c r="W53" s="2"/>
      <c r="X53" s="6">
        <f t="shared" si="46"/>
        <v>37.799999999999727</v>
      </c>
      <c r="Y53" s="2"/>
      <c r="Z53" s="7">
        <f t="shared" si="47"/>
        <v>1.4999702386857295E-2</v>
      </c>
    </row>
    <row r="54" spans="1:26" s="29" customFormat="1" outlineLevel="1" collapsed="1" x14ac:dyDescent="0.3">
      <c r="A54" s="27"/>
      <c r="B54" s="14" t="str">
        <f>CONCATENATE("     ","Training                                          ")</f>
        <v xml:space="preserve">     Training                                          </v>
      </c>
      <c r="C54" s="14"/>
      <c r="D54" s="1">
        <f>SUM(OSRRefD22_11x_0)</f>
        <v>0</v>
      </c>
      <c r="E54" s="1"/>
      <c r="F54" s="5">
        <f t="shared" si="40"/>
        <v>0</v>
      </c>
      <c r="G54" s="1"/>
      <c r="H54" s="1">
        <f>SUM(OSRRefH22_11x_0)</f>
        <v>150</v>
      </c>
      <c r="I54" s="1"/>
      <c r="J54" s="5">
        <f t="shared" si="41"/>
        <v>0</v>
      </c>
      <c r="K54" s="1"/>
      <c r="L54" s="1">
        <f t="shared" si="42"/>
        <v>-150</v>
      </c>
      <c r="M54" s="1"/>
      <c r="N54" s="5">
        <f t="shared" si="43"/>
        <v>-1</v>
      </c>
      <c r="O54" s="14"/>
      <c r="P54" s="1">
        <f>SUM(OSRRefP22_11x_0)</f>
        <v>595</v>
      </c>
      <c r="Q54" s="1"/>
      <c r="R54" s="5">
        <f t="shared" si="44"/>
        <v>0</v>
      </c>
      <c r="S54" s="1"/>
      <c r="T54" s="1">
        <f>SUM(OSRRefT22_11x_0)</f>
        <v>548</v>
      </c>
      <c r="U54" s="1"/>
      <c r="V54" s="5">
        <f t="shared" si="45"/>
        <v>0</v>
      </c>
      <c r="W54" s="1"/>
      <c r="X54" s="1">
        <f t="shared" si="46"/>
        <v>47</v>
      </c>
      <c r="Y54" s="1"/>
      <c r="Z54" s="5">
        <f t="shared" si="47"/>
        <v>8.576642335766424E-2</v>
      </c>
    </row>
    <row r="55" spans="1:26" s="24" customFormat="1" hidden="1" outlineLevel="2" x14ac:dyDescent="0.3">
      <c r="A55" s="28"/>
      <c r="B55" s="11" t="str">
        <f>CONCATENATE("          ", "6376", " - ", "TRAINING")</f>
        <v xml:space="preserve">          6376 - TRAINING</v>
      </c>
      <c r="C55" s="11"/>
      <c r="D55" s="6"/>
      <c r="E55" s="2"/>
      <c r="F55" s="7">
        <f t="shared" si="40"/>
        <v>0</v>
      </c>
      <c r="G55" s="2"/>
      <c r="H55" s="6">
        <v>150</v>
      </c>
      <c r="I55" s="2"/>
      <c r="J55" s="7">
        <f t="shared" si="41"/>
        <v>0</v>
      </c>
      <c r="K55" s="2"/>
      <c r="L55" s="6">
        <f t="shared" si="42"/>
        <v>-150</v>
      </c>
      <c r="M55" s="2"/>
      <c r="N55" s="7">
        <f t="shared" si="43"/>
        <v>-1</v>
      </c>
      <c r="O55" s="11"/>
      <c r="P55" s="6">
        <v>595</v>
      </c>
      <c r="Q55" s="2"/>
      <c r="R55" s="7">
        <f t="shared" si="44"/>
        <v>0</v>
      </c>
      <c r="S55" s="2"/>
      <c r="T55" s="6">
        <v>548</v>
      </c>
      <c r="U55" s="2"/>
      <c r="V55" s="7">
        <f t="shared" si="45"/>
        <v>0</v>
      </c>
      <c r="W55" s="2"/>
      <c r="X55" s="6">
        <f t="shared" si="46"/>
        <v>47</v>
      </c>
      <c r="Y55" s="2"/>
      <c r="Z55" s="7">
        <f t="shared" si="47"/>
        <v>8.576642335766424E-2</v>
      </c>
    </row>
    <row r="56" spans="1:26" s="29" customFormat="1" outlineLevel="1" collapsed="1" x14ac:dyDescent="0.3">
      <c r="A56" s="27"/>
      <c r="B56" s="14" t="str">
        <f>CONCATENATE("     ","Travel                                            ")</f>
        <v xml:space="preserve">     Travel                                            </v>
      </c>
      <c r="C56" s="14"/>
      <c r="D56" s="1">
        <f>SUM(OSRRefD22_12x_0)</f>
        <v>0</v>
      </c>
      <c r="E56" s="1"/>
      <c r="F56" s="5">
        <f t="shared" si="40"/>
        <v>0</v>
      </c>
      <c r="G56" s="1"/>
      <c r="H56" s="1">
        <f>SUM(OSRRefH22_12x_0)</f>
        <v>0</v>
      </c>
      <c r="I56" s="1"/>
      <c r="J56" s="5">
        <f t="shared" si="41"/>
        <v>0</v>
      </c>
      <c r="K56" s="1"/>
      <c r="L56" s="1">
        <f t="shared" si="42"/>
        <v>0</v>
      </c>
      <c r="M56" s="1"/>
      <c r="N56" s="5">
        <f t="shared" si="43"/>
        <v>0</v>
      </c>
      <c r="O56" s="14"/>
      <c r="P56" s="1">
        <f>SUM(OSRRefP22_12x_0)</f>
        <v>30.4</v>
      </c>
      <c r="Q56" s="1"/>
      <c r="R56" s="5">
        <f t="shared" si="44"/>
        <v>0</v>
      </c>
      <c r="S56" s="1"/>
      <c r="T56" s="1">
        <f>SUM(OSRRefT22_12x_0)</f>
        <v>46.62</v>
      </c>
      <c r="U56" s="1"/>
      <c r="V56" s="5">
        <f t="shared" si="45"/>
        <v>0</v>
      </c>
      <c r="W56" s="1"/>
      <c r="X56" s="1">
        <f t="shared" si="46"/>
        <v>-16.22</v>
      </c>
      <c r="Y56" s="1"/>
      <c r="Z56" s="5">
        <f t="shared" si="47"/>
        <v>-0.34791934791934792</v>
      </c>
    </row>
    <row r="57" spans="1:26" s="24" customFormat="1" hidden="1" outlineLevel="2" x14ac:dyDescent="0.3">
      <c r="A57" s="28"/>
      <c r="B57" s="11" t="str">
        <f>CONCATENATE("          ", "6294", " - ", "TRAVEL OPERATIONAL")</f>
        <v xml:space="preserve">          6294 - TRAVEL OPERATIONAL</v>
      </c>
      <c r="C57" s="11"/>
      <c r="D57" s="6"/>
      <c r="E57" s="2"/>
      <c r="F57" s="7">
        <f t="shared" si="40"/>
        <v>0</v>
      </c>
      <c r="G57" s="2"/>
      <c r="H57" s="6"/>
      <c r="I57" s="2"/>
      <c r="J57" s="7">
        <f t="shared" si="41"/>
        <v>0</v>
      </c>
      <c r="K57" s="2"/>
      <c r="L57" s="6">
        <f t="shared" si="42"/>
        <v>0</v>
      </c>
      <c r="M57" s="2"/>
      <c r="N57" s="7">
        <f t="shared" si="43"/>
        <v>0</v>
      </c>
      <c r="O57" s="11"/>
      <c r="P57" s="6">
        <v>30.4</v>
      </c>
      <c r="Q57" s="2"/>
      <c r="R57" s="7">
        <f t="shared" si="44"/>
        <v>0</v>
      </c>
      <c r="S57" s="2"/>
      <c r="T57" s="6">
        <v>46.62</v>
      </c>
      <c r="U57" s="2"/>
      <c r="V57" s="7">
        <f t="shared" si="45"/>
        <v>0</v>
      </c>
      <c r="W57" s="2"/>
      <c r="X57" s="6">
        <f t="shared" si="46"/>
        <v>-16.22</v>
      </c>
      <c r="Y57" s="2"/>
      <c r="Z57" s="7">
        <f t="shared" si="47"/>
        <v>-0.34791934791934792</v>
      </c>
    </row>
    <row r="58" spans="1:26" s="53" customFormat="1" x14ac:dyDescent="0.3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3">
      <c r="A59" s="10"/>
      <c r="B59" s="25" t="s">
        <v>292</v>
      </c>
      <c r="C59" s="10"/>
      <c r="D59" s="4">
        <f>SUM(0)</f>
        <v>0</v>
      </c>
      <c r="E59" s="4"/>
      <c r="F59" s="12">
        <f>IF(D$12=0,0,D59/D$12)</f>
        <v>0</v>
      </c>
      <c r="G59" s="4"/>
      <c r="H59" s="4">
        <f>SUM(0)</f>
        <v>0</v>
      </c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>
        <f>SUM(0)</f>
        <v>0</v>
      </c>
      <c r="Q59" s="4"/>
      <c r="R59" s="12">
        <f>IF(P$12=0,0,P59/P$12)</f>
        <v>0</v>
      </c>
      <c r="S59" s="4"/>
      <c r="T59" s="4">
        <f>SUM(0)</f>
        <v>0</v>
      </c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3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3">
      <c r="A61" s="10"/>
      <c r="B61" s="26" t="s">
        <v>276</v>
      </c>
      <c r="C61" s="26"/>
      <c r="D61" s="20">
        <f>+D16-D18+D59</f>
        <v>-38170.729999999989</v>
      </c>
      <c r="E61" s="13"/>
      <c r="F61" s="21">
        <f>IF(D$12=0,0,D61/D$12)</f>
        <v>0</v>
      </c>
      <c r="G61" s="13"/>
      <c r="H61" s="20">
        <f>+H16-H18+H59</f>
        <v>-34402.75</v>
      </c>
      <c r="I61" s="13"/>
      <c r="J61" s="21">
        <f>IF(H$12=0,0,H61/H$12)</f>
        <v>0</v>
      </c>
      <c r="K61" s="15"/>
      <c r="L61" s="20">
        <f>+D61-H61</f>
        <v>-3767.9799999999886</v>
      </c>
      <c r="M61" s="15"/>
      <c r="N61" s="21">
        <f>IF(H61=0,0,L61/H61)</f>
        <v>0.10952554664961343</v>
      </c>
      <c r="O61" s="25"/>
      <c r="P61" s="20">
        <f>+P16-P18+P59</f>
        <v>-243048.88999999998</v>
      </c>
      <c r="Q61" s="13"/>
      <c r="R61" s="21">
        <f>IF(P$12=0,0,P61/P$12)</f>
        <v>0</v>
      </c>
      <c r="S61" s="13"/>
      <c r="T61" s="20">
        <f>+T16-T18+T59</f>
        <v>-224997.35000000003</v>
      </c>
      <c r="U61" s="13"/>
      <c r="V61" s="21">
        <f>IF(T$12=0,0,T61/T$12)</f>
        <v>0</v>
      </c>
      <c r="W61" s="15"/>
      <c r="X61" s="20">
        <f>+P61-T61</f>
        <v>-18051.53999999995</v>
      </c>
      <c r="Y61" s="15"/>
      <c r="Z61" s="21">
        <f>IF(T61=0,0,X61/T61)</f>
        <v>8.0230011597914139E-2</v>
      </c>
    </row>
    <row r="62" spans="1:26" x14ac:dyDescent="0.3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3">
      <c r="A63" s="51"/>
      <c r="B63" s="10" t="s">
        <v>127</v>
      </c>
      <c r="C63" s="10"/>
      <c r="D63" s="4"/>
      <c r="E63" s="4"/>
      <c r="F63" s="12">
        <f>IF(D$12=0,0,D63/D$12)</f>
        <v>0</v>
      </c>
      <c r="G63" s="4"/>
      <c r="H63" s="4"/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/>
      <c r="Q63" s="4"/>
      <c r="R63" s="12">
        <f>IF(P$12=0,0,P63/P$12)</f>
        <v>0</v>
      </c>
      <c r="S63" s="4"/>
      <c r="T63" s="4"/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3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" thickBot="1" x14ac:dyDescent="0.35">
      <c r="A65" s="10"/>
      <c r="B65" s="26" t="s">
        <v>125</v>
      </c>
      <c r="C65" s="26"/>
      <c r="D65" s="32">
        <f>+D61-D63</f>
        <v>-38170.729999999989</v>
      </c>
      <c r="E65" s="13"/>
      <c r="F65" s="35">
        <f>IF(D$12=0,0,D65/D$12)</f>
        <v>0</v>
      </c>
      <c r="G65" s="13"/>
      <c r="H65" s="32">
        <f>+H61-H63</f>
        <v>-34402.75</v>
      </c>
      <c r="I65" s="13"/>
      <c r="J65" s="35">
        <f>IF(H$12=0,0,H65/H$12)</f>
        <v>0</v>
      </c>
      <c r="K65" s="15"/>
      <c r="L65" s="32">
        <f>D65-H65</f>
        <v>-3767.9799999999886</v>
      </c>
      <c r="M65" s="15"/>
      <c r="N65" s="35">
        <f>IF(H65=0,0,L65/H65)</f>
        <v>0.10952554664961343</v>
      </c>
      <c r="O65" s="25"/>
      <c r="P65" s="32">
        <f>+P61-P63</f>
        <v>-243048.88999999998</v>
      </c>
      <c r="Q65" s="13"/>
      <c r="R65" s="35">
        <f>IF(P$12=0,0,P65/P$12)</f>
        <v>0</v>
      </c>
      <c r="S65" s="13"/>
      <c r="T65" s="32">
        <f>+T61-T63</f>
        <v>-224997.35000000003</v>
      </c>
      <c r="U65" s="13"/>
      <c r="V65" s="35">
        <f>IF(T$12=0,0,T65/T$12)</f>
        <v>0</v>
      </c>
      <c r="W65" s="15"/>
      <c r="X65" s="32">
        <f>P65-T65</f>
        <v>-18051.53999999995</v>
      </c>
      <c r="Y65" s="15"/>
      <c r="Z65" s="35">
        <f>IF(T65=0,0,X65/T65)</f>
        <v>8.0230011597914139E-2</v>
      </c>
    </row>
    <row r="66" spans="1:26" ht="15" thickTop="1" x14ac:dyDescent="0.3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3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" thickBot="1" x14ac:dyDescent="0.35">
      <c r="A68" s="10"/>
      <c r="B68" s="26" t="s">
        <v>293</v>
      </c>
      <c r="C68" s="26"/>
      <c r="D68" s="31">
        <f>SUM(D65:D67)</f>
        <v>-38170.729999999989</v>
      </c>
      <c r="E68" s="13"/>
      <c r="F68" s="33">
        <f>IF(D$12=0,0,D68/D$12)</f>
        <v>0</v>
      </c>
      <c r="G68" s="13"/>
      <c r="H68" s="31">
        <f>SUM(H65:H67)</f>
        <v>-34402.75</v>
      </c>
      <c r="I68" s="13"/>
      <c r="J68" s="33">
        <f>IF(H$12=0,0,H68/H$12)</f>
        <v>0</v>
      </c>
      <c r="K68" s="15"/>
      <c r="L68" s="31">
        <f>+D68-H68</f>
        <v>-3767.9799999999886</v>
      </c>
      <c r="M68" s="15"/>
      <c r="N68" s="33">
        <f>IF(H68=0,0,L68/H68)</f>
        <v>0.10952554664961343</v>
      </c>
      <c r="O68" s="25"/>
      <c r="P68" s="31">
        <f>SUM(P65:P67)</f>
        <v>-243048.88999999998</v>
      </c>
      <c r="Q68" s="13"/>
      <c r="R68" s="33">
        <f>IF(P$12=0,0,P68/P$12)</f>
        <v>0</v>
      </c>
      <c r="S68" s="13"/>
      <c r="T68" s="31">
        <f>SUM(T65:T67)</f>
        <v>-224997.35000000003</v>
      </c>
      <c r="U68" s="13"/>
      <c r="V68" s="33">
        <f>IF(T$12=0,0,T68/T$12)</f>
        <v>0</v>
      </c>
      <c r="W68" s="15"/>
      <c r="X68" s="31">
        <f>+P68-T68</f>
        <v>-18051.53999999995</v>
      </c>
      <c r="Y68" s="15"/>
      <c r="Z68" s="33">
        <f>IF(T68=0,0,X68/T68)</f>
        <v>8.0230011597914139E-2</v>
      </c>
    </row>
    <row r="69" spans="1:26" ht="15" thickTop="1" x14ac:dyDescent="0.3">
      <c r="A69" s="9"/>
      <c r="C69" s="9"/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3">
      <c r="A70" s="9"/>
      <c r="B70" s="60">
        <v>44575.854680405093</v>
      </c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3">
      <c r="A71" s="9"/>
      <c r="B71" s="57" t="s">
        <v>56</v>
      </c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3">
      <c r="A72" s="9"/>
      <c r="B72" s="59"/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3"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","203", " - ", "Human Resources")</f>
        <v>Department 203 - Human Resources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22">
        <f>SUM(OSRRefD22x_0)</f>
        <v>55888.94</v>
      </c>
      <c r="E18" s="22"/>
      <c r="F18" s="34">
        <f t="shared" ref="F18:F29" si="0">IF(D$12=0,0,D18/D$12)</f>
        <v>0</v>
      </c>
      <c r="G18" s="22"/>
      <c r="H18" s="22">
        <f>SUM(OSRRefH22x_0)</f>
        <v>41240.700000000004</v>
      </c>
      <c r="I18" s="22"/>
      <c r="J18" s="34">
        <f t="shared" ref="J18:J29" si="1">IF(H$12=0,0,H18/H$12)</f>
        <v>0</v>
      </c>
      <c r="K18" s="4"/>
      <c r="L18" s="22">
        <f t="shared" ref="L18:L29" si="2">+D18-H18</f>
        <v>14648.239999999998</v>
      </c>
      <c r="M18" s="4"/>
      <c r="N18" s="34">
        <f t="shared" ref="N18:N29" si="3">IF(H18=0,0,L18/H18)</f>
        <v>0.35518892744303554</v>
      </c>
      <c r="O18" s="10"/>
      <c r="P18" s="22">
        <f>SUM(OSRRefP22x_0)</f>
        <v>319734.90000000002</v>
      </c>
      <c r="Q18" s="22"/>
      <c r="R18" s="34">
        <f t="shared" ref="R18:R29" si="4">IF(P$12=0,0,P18/P$12)</f>
        <v>0</v>
      </c>
      <c r="S18" s="22"/>
      <c r="T18" s="22">
        <f>SUM(OSRRefT22x_0)</f>
        <v>271629.11000000004</v>
      </c>
      <c r="U18" s="22"/>
      <c r="V18" s="34">
        <f t="shared" ref="V18:V29" si="5">IF(T$12=0,0,T18/T$12)</f>
        <v>0</v>
      </c>
      <c r="W18" s="4"/>
      <c r="X18" s="22">
        <f t="shared" ref="X18:X29" si="6">+P18-T18</f>
        <v>48105.789999999979</v>
      </c>
      <c r="Y18" s="4"/>
      <c r="Z18" s="34">
        <f t="shared" ref="Z18:Z29" si="7">IF(T18=0,0,X18/T18)</f>
        <v>0.17710101100725165</v>
      </c>
    </row>
    <row r="19" spans="1:26" s="29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16913.25</v>
      </c>
      <c r="E19" s="1"/>
      <c r="F19" s="5">
        <f t="shared" si="0"/>
        <v>0</v>
      </c>
      <c r="G19" s="1"/>
      <c r="H19" s="1">
        <f>SUM(OSRRefH22_0x_0)</f>
        <v>10978.25</v>
      </c>
      <c r="I19" s="1"/>
      <c r="J19" s="5">
        <f t="shared" si="1"/>
        <v>0</v>
      </c>
      <c r="K19" s="1"/>
      <c r="L19" s="1">
        <f t="shared" si="2"/>
        <v>5935</v>
      </c>
      <c r="M19" s="1"/>
      <c r="N19" s="5">
        <f t="shared" si="3"/>
        <v>0.54061439664791744</v>
      </c>
      <c r="O19" s="14"/>
      <c r="P19" s="1">
        <f>SUM(OSRRefP22_0x_0)</f>
        <v>88086.939999999988</v>
      </c>
      <c r="Q19" s="1"/>
      <c r="R19" s="5">
        <f t="shared" si="4"/>
        <v>0</v>
      </c>
      <c r="S19" s="1"/>
      <c r="T19" s="1">
        <f>SUM(OSRRefT22_0x_0)</f>
        <v>75974.59</v>
      </c>
      <c r="U19" s="1"/>
      <c r="V19" s="5">
        <f t="shared" si="5"/>
        <v>0</v>
      </c>
      <c r="W19" s="1"/>
      <c r="X19" s="1">
        <f t="shared" si="6"/>
        <v>12112.349999999991</v>
      </c>
      <c r="Y19" s="1"/>
      <c r="Z19" s="5">
        <f t="shared" si="7"/>
        <v>0.15942632925034531</v>
      </c>
    </row>
    <row r="20" spans="1:26" s="24" customFormat="1" hidden="1" outlineLevel="2" x14ac:dyDescent="0.3">
      <c r="A20" s="28"/>
      <c r="B20" s="11" t="str">
        <f>CONCATENATE("          ", "6111", " - ", "F.I.C.A.")</f>
        <v xml:space="preserve">          6111 - F.I.C.A.</v>
      </c>
      <c r="C20" s="11"/>
      <c r="D20" s="6">
        <v>2257.63</v>
      </c>
      <c r="E20" s="2"/>
      <c r="F20" s="7">
        <f t="shared" si="0"/>
        <v>0</v>
      </c>
      <c r="G20" s="2"/>
      <c r="H20" s="6">
        <v>1657.48</v>
      </c>
      <c r="I20" s="2"/>
      <c r="J20" s="7">
        <f t="shared" si="1"/>
        <v>0</v>
      </c>
      <c r="K20" s="2"/>
      <c r="L20" s="6">
        <f t="shared" si="2"/>
        <v>600.15000000000009</v>
      </c>
      <c r="M20" s="2"/>
      <c r="N20" s="7">
        <f t="shared" si="3"/>
        <v>0.36208581702343323</v>
      </c>
      <c r="O20" s="11"/>
      <c r="P20" s="6">
        <v>14038.98</v>
      </c>
      <c r="Q20" s="2"/>
      <c r="R20" s="7">
        <f t="shared" si="4"/>
        <v>0</v>
      </c>
      <c r="S20" s="2"/>
      <c r="T20" s="6">
        <v>13334.73</v>
      </c>
      <c r="U20" s="2"/>
      <c r="V20" s="7">
        <f t="shared" si="5"/>
        <v>0</v>
      </c>
      <c r="W20" s="2"/>
      <c r="X20" s="6">
        <f t="shared" si="6"/>
        <v>704.25</v>
      </c>
      <c r="Y20" s="2"/>
      <c r="Z20" s="7">
        <f t="shared" si="7"/>
        <v>5.2813217815433834E-2</v>
      </c>
    </row>
    <row r="21" spans="1:26" s="24" customFormat="1" hidden="1" outlineLevel="2" x14ac:dyDescent="0.3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375.29</v>
      </c>
      <c r="E21" s="2"/>
      <c r="F21" s="7">
        <f t="shared" si="0"/>
        <v>0</v>
      </c>
      <c r="G21" s="2"/>
      <c r="H21" s="6">
        <v>160.16999999999999</v>
      </c>
      <c r="I21" s="2"/>
      <c r="J21" s="7">
        <f t="shared" si="1"/>
        <v>0</v>
      </c>
      <c r="K21" s="2"/>
      <c r="L21" s="6">
        <f t="shared" si="2"/>
        <v>215.12000000000003</v>
      </c>
      <c r="M21" s="2"/>
      <c r="N21" s="7">
        <f t="shared" si="3"/>
        <v>1.3430729849534873</v>
      </c>
      <c r="O21" s="11"/>
      <c r="P21" s="6">
        <v>2350.71</v>
      </c>
      <c r="Q21" s="2"/>
      <c r="R21" s="7">
        <f t="shared" si="4"/>
        <v>0</v>
      </c>
      <c r="S21" s="2"/>
      <c r="T21" s="6">
        <v>660.78</v>
      </c>
      <c r="U21" s="2"/>
      <c r="V21" s="7">
        <f t="shared" si="5"/>
        <v>0</v>
      </c>
      <c r="W21" s="2"/>
      <c r="X21" s="6">
        <f t="shared" si="6"/>
        <v>1689.93</v>
      </c>
      <c r="Y21" s="2"/>
      <c r="Z21" s="7">
        <f t="shared" si="7"/>
        <v>2.5574775265595209</v>
      </c>
    </row>
    <row r="22" spans="1:26" s="24" customFormat="1" hidden="1" outlineLevel="2" x14ac:dyDescent="0.3">
      <c r="A22" s="28"/>
      <c r="B22" s="11" t="str">
        <f>CONCATENATE("          ", "6113", " - ", "GROUP INSURANCE")</f>
        <v xml:space="preserve">          6113 - GROUP INSURANCE</v>
      </c>
      <c r="C22" s="11"/>
      <c r="D22" s="6">
        <v>6048.94</v>
      </c>
      <c r="E22" s="2"/>
      <c r="F22" s="7">
        <f t="shared" si="0"/>
        <v>0</v>
      </c>
      <c r="G22" s="2"/>
      <c r="H22" s="6">
        <v>6091.67</v>
      </c>
      <c r="I22" s="2"/>
      <c r="J22" s="7">
        <f t="shared" si="1"/>
        <v>0</v>
      </c>
      <c r="K22" s="2"/>
      <c r="L22" s="6">
        <f t="shared" si="2"/>
        <v>-42.730000000000473</v>
      </c>
      <c r="M22" s="2"/>
      <c r="N22" s="7">
        <f t="shared" si="3"/>
        <v>-7.0144968456926377E-3</v>
      </c>
      <c r="O22" s="11"/>
      <c r="P22" s="6">
        <v>36327.39</v>
      </c>
      <c r="Q22" s="2"/>
      <c r="R22" s="7">
        <f t="shared" si="4"/>
        <v>0</v>
      </c>
      <c r="S22" s="2"/>
      <c r="T22" s="6">
        <v>36550.019999999997</v>
      </c>
      <c r="U22" s="2"/>
      <c r="V22" s="7">
        <f t="shared" si="5"/>
        <v>0</v>
      </c>
      <c r="W22" s="2"/>
      <c r="X22" s="6">
        <f t="shared" si="6"/>
        <v>-222.62999999999738</v>
      </c>
      <c r="Y22" s="2"/>
      <c r="Z22" s="7">
        <f t="shared" si="7"/>
        <v>-6.091104738109511E-3</v>
      </c>
    </row>
    <row r="23" spans="1:26" s="24" customFormat="1" hidden="1" outlineLevel="2" x14ac:dyDescent="0.3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75.64</v>
      </c>
      <c r="E23" s="2"/>
      <c r="F23" s="7">
        <f t="shared" si="0"/>
        <v>0</v>
      </c>
      <c r="G23" s="2"/>
      <c r="H23" s="6"/>
      <c r="I23" s="2"/>
      <c r="J23" s="7">
        <f t="shared" si="1"/>
        <v>0</v>
      </c>
      <c r="K23" s="2"/>
      <c r="L23" s="6">
        <f t="shared" si="2"/>
        <v>75.64</v>
      </c>
      <c r="M23" s="2"/>
      <c r="N23" s="7">
        <f t="shared" si="3"/>
        <v>0</v>
      </c>
      <c r="O23" s="11"/>
      <c r="P23" s="6">
        <v>473.79</v>
      </c>
      <c r="Q23" s="2"/>
      <c r="R23" s="7">
        <f t="shared" si="4"/>
        <v>0</v>
      </c>
      <c r="S23" s="2"/>
      <c r="T23" s="6">
        <v>394.42</v>
      </c>
      <c r="U23" s="2"/>
      <c r="V23" s="7">
        <f t="shared" si="5"/>
        <v>0</v>
      </c>
      <c r="W23" s="2"/>
      <c r="X23" s="6">
        <f t="shared" si="6"/>
        <v>79.37</v>
      </c>
      <c r="Y23" s="2"/>
      <c r="Z23" s="7">
        <f t="shared" si="7"/>
        <v>0.20123218903706708</v>
      </c>
    </row>
    <row r="24" spans="1:26" s="24" customFormat="1" hidden="1" outlineLevel="2" x14ac:dyDescent="0.3">
      <c r="A24" s="28"/>
      <c r="B24" s="11" t="str">
        <f>CONCATENATE("          ", "6115", " - ", "P.E.R.S.")</f>
        <v xml:space="preserve">          6115 - P.E.R.S.</v>
      </c>
      <c r="C24" s="11"/>
      <c r="D24" s="6">
        <v>1287.54</v>
      </c>
      <c r="E24" s="2"/>
      <c r="F24" s="7">
        <f t="shared" si="0"/>
        <v>0</v>
      </c>
      <c r="G24" s="2"/>
      <c r="H24" s="6">
        <v>1091.48</v>
      </c>
      <c r="I24" s="2"/>
      <c r="J24" s="7">
        <f t="shared" si="1"/>
        <v>0</v>
      </c>
      <c r="K24" s="2"/>
      <c r="L24" s="6">
        <f t="shared" si="2"/>
        <v>196.05999999999995</v>
      </c>
      <c r="M24" s="2"/>
      <c r="N24" s="7">
        <f t="shared" si="3"/>
        <v>0.1796276615238025</v>
      </c>
      <c r="O24" s="11"/>
      <c r="P24" s="6">
        <v>8146.17</v>
      </c>
      <c r="Q24" s="2"/>
      <c r="R24" s="7">
        <f t="shared" si="4"/>
        <v>0</v>
      </c>
      <c r="S24" s="2"/>
      <c r="T24" s="6">
        <v>8371.66</v>
      </c>
      <c r="U24" s="2"/>
      <c r="V24" s="7">
        <f t="shared" si="5"/>
        <v>0</v>
      </c>
      <c r="W24" s="2"/>
      <c r="X24" s="6">
        <f t="shared" si="6"/>
        <v>-225.48999999999978</v>
      </c>
      <c r="Y24" s="2"/>
      <c r="Z24" s="7">
        <f t="shared" si="7"/>
        <v>-2.6934920911742686E-2</v>
      </c>
    </row>
    <row r="25" spans="1:26" s="24" customFormat="1" hidden="1" outlineLevel="2" x14ac:dyDescent="0.3">
      <c r="A25" s="28"/>
      <c r="B25" s="11" t="str">
        <f>CONCATENATE("          ", "6116", " - ", "EDUCATIONAL BENEFITS")</f>
        <v xml:space="preserve">          6116 - EDUCATIONAL BENEFITS</v>
      </c>
      <c r="C25" s="11"/>
      <c r="D25" s="6">
        <v>2636</v>
      </c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2636</v>
      </c>
      <c r="M25" s="2"/>
      <c r="N25" s="7">
        <f t="shared" si="3"/>
        <v>0</v>
      </c>
      <c r="O25" s="11"/>
      <c r="P25" s="6">
        <v>2636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2636</v>
      </c>
      <c r="Y25" s="2"/>
      <c r="Z25" s="7">
        <f t="shared" si="7"/>
        <v>0</v>
      </c>
    </row>
    <row r="26" spans="1:26" s="24" customFormat="1" hidden="1" outlineLevel="2" x14ac:dyDescent="0.3">
      <c r="A26" s="28"/>
      <c r="B26" s="11" t="str">
        <f>CONCATENATE("          ", "6117", " - ", "RETIREMENT STAFF HOURLY")</f>
        <v xml:space="preserve">          6117 - RETIREMENT STAFF HOURLY</v>
      </c>
      <c r="C26" s="11"/>
      <c r="D26" s="6">
        <v>654.36</v>
      </c>
      <c r="E26" s="2"/>
      <c r="F26" s="7">
        <f t="shared" si="0"/>
        <v>0</v>
      </c>
      <c r="G26" s="2"/>
      <c r="H26" s="6">
        <v>590.65</v>
      </c>
      <c r="I26" s="2"/>
      <c r="J26" s="7">
        <f t="shared" si="1"/>
        <v>0</v>
      </c>
      <c r="K26" s="2"/>
      <c r="L26" s="6">
        <f t="shared" si="2"/>
        <v>63.710000000000036</v>
      </c>
      <c r="M26" s="2"/>
      <c r="N26" s="7">
        <f t="shared" si="3"/>
        <v>0.10786421738762388</v>
      </c>
      <c r="O26" s="11"/>
      <c r="P26" s="6">
        <v>3781.36</v>
      </c>
      <c r="Q26" s="2"/>
      <c r="R26" s="7">
        <f t="shared" si="4"/>
        <v>0</v>
      </c>
      <c r="S26" s="2"/>
      <c r="T26" s="6">
        <v>3845.81</v>
      </c>
      <c r="U26" s="2"/>
      <c r="V26" s="7">
        <f t="shared" si="5"/>
        <v>0</v>
      </c>
      <c r="W26" s="2"/>
      <c r="X26" s="6">
        <f t="shared" si="6"/>
        <v>-64.449999999999818</v>
      </c>
      <c r="Y26" s="2"/>
      <c r="Z26" s="7">
        <f t="shared" si="7"/>
        <v>-1.6758498209739903E-2</v>
      </c>
    </row>
    <row r="27" spans="1:26" s="24" customFormat="1" hidden="1" outlineLevel="2" x14ac:dyDescent="0.3">
      <c r="A27" s="28"/>
      <c r="B27" s="11" t="str">
        <f>CONCATENATE("          ", "6118", " - ", "VACATION")</f>
        <v xml:space="preserve">          6118 - VACATION</v>
      </c>
      <c r="C27" s="11"/>
      <c r="D27" s="6">
        <v>1986.81</v>
      </c>
      <c r="E27" s="2"/>
      <c r="F27" s="7">
        <f t="shared" si="0"/>
        <v>0</v>
      </c>
      <c r="G27" s="2"/>
      <c r="H27" s="6">
        <v>478.68</v>
      </c>
      <c r="I27" s="2"/>
      <c r="J27" s="7">
        <f t="shared" si="1"/>
        <v>0</v>
      </c>
      <c r="K27" s="2"/>
      <c r="L27" s="6">
        <f t="shared" si="2"/>
        <v>1508.1299999999999</v>
      </c>
      <c r="M27" s="2"/>
      <c r="N27" s="7">
        <f t="shared" si="3"/>
        <v>3.1506016545500124</v>
      </c>
      <c r="O27" s="11"/>
      <c r="P27" s="6">
        <v>11302.55</v>
      </c>
      <c r="Q27" s="2"/>
      <c r="R27" s="7">
        <f t="shared" si="4"/>
        <v>0</v>
      </c>
      <c r="S27" s="2"/>
      <c r="T27" s="6">
        <v>6574.56</v>
      </c>
      <c r="U27" s="2"/>
      <c r="V27" s="7">
        <f t="shared" si="5"/>
        <v>0</v>
      </c>
      <c r="W27" s="2"/>
      <c r="X27" s="6">
        <f t="shared" si="6"/>
        <v>4727.9899999999989</v>
      </c>
      <c r="Y27" s="2"/>
      <c r="Z27" s="7">
        <f t="shared" si="7"/>
        <v>0.71913405611934467</v>
      </c>
    </row>
    <row r="28" spans="1:26" s="24" customFormat="1" hidden="1" outlineLevel="2" x14ac:dyDescent="0.3">
      <c r="A28" s="28"/>
      <c r="B28" s="11" t="str">
        <f>CONCATENATE("          ", "6119", " - ", "SICK LEAVE")</f>
        <v xml:space="preserve">          6119 - SICK LEAVE</v>
      </c>
      <c r="C28" s="11"/>
      <c r="D28" s="6">
        <v>1329.74</v>
      </c>
      <c r="E28" s="2"/>
      <c r="F28" s="7">
        <f t="shared" si="0"/>
        <v>0</v>
      </c>
      <c r="G28" s="2"/>
      <c r="H28" s="6">
        <v>908.12</v>
      </c>
      <c r="I28" s="2"/>
      <c r="J28" s="7">
        <f t="shared" si="1"/>
        <v>0</v>
      </c>
      <c r="K28" s="2"/>
      <c r="L28" s="6">
        <f t="shared" si="2"/>
        <v>421.62</v>
      </c>
      <c r="M28" s="2"/>
      <c r="N28" s="7">
        <f t="shared" si="3"/>
        <v>0.46427784874245692</v>
      </c>
      <c r="O28" s="11"/>
      <c r="P28" s="6">
        <v>7762.12</v>
      </c>
      <c r="Q28" s="2"/>
      <c r="R28" s="7">
        <f t="shared" si="4"/>
        <v>0</v>
      </c>
      <c r="S28" s="2"/>
      <c r="T28" s="6">
        <v>5902.78</v>
      </c>
      <c r="U28" s="2"/>
      <c r="V28" s="7">
        <f t="shared" si="5"/>
        <v>0</v>
      </c>
      <c r="W28" s="2"/>
      <c r="X28" s="6">
        <f t="shared" si="6"/>
        <v>1859.3400000000001</v>
      </c>
      <c r="Y28" s="2"/>
      <c r="Z28" s="7">
        <f t="shared" si="7"/>
        <v>0.31499395200227692</v>
      </c>
    </row>
    <row r="29" spans="1:26" s="24" customFormat="1" hidden="1" outlineLevel="2" x14ac:dyDescent="0.3">
      <c r="A29" s="28"/>
      <c r="B29" s="11" t="str">
        <f>CONCATENATE("          ", "6156", " - ", "EMPLOYEE MEALS")</f>
        <v xml:space="preserve">          6156 - EMPLOYEE MEALS</v>
      </c>
      <c r="C29" s="11"/>
      <c r="D29" s="6">
        <v>261.3</v>
      </c>
      <c r="E29" s="2"/>
      <c r="F29" s="7">
        <f t="shared" si="0"/>
        <v>0</v>
      </c>
      <c r="G29" s="2"/>
      <c r="H29" s="6"/>
      <c r="I29" s="2"/>
      <c r="J29" s="7">
        <f t="shared" si="1"/>
        <v>0</v>
      </c>
      <c r="K29" s="2"/>
      <c r="L29" s="6">
        <f t="shared" si="2"/>
        <v>261.3</v>
      </c>
      <c r="M29" s="2"/>
      <c r="N29" s="7">
        <f t="shared" si="3"/>
        <v>0</v>
      </c>
      <c r="O29" s="11"/>
      <c r="P29" s="6">
        <v>1267.8699999999999</v>
      </c>
      <c r="Q29" s="2"/>
      <c r="R29" s="7">
        <f t="shared" si="4"/>
        <v>0</v>
      </c>
      <c r="S29" s="2"/>
      <c r="T29" s="6">
        <v>339.83</v>
      </c>
      <c r="U29" s="2"/>
      <c r="V29" s="7">
        <f t="shared" si="5"/>
        <v>0</v>
      </c>
      <c r="W29" s="2"/>
      <c r="X29" s="6">
        <f t="shared" si="6"/>
        <v>928.04</v>
      </c>
      <c r="Y29" s="2"/>
      <c r="Z29" s="7">
        <f t="shared" si="7"/>
        <v>2.730894859194303</v>
      </c>
    </row>
    <row r="30" spans="1:26" s="29" customFormat="1" outlineLevel="1" collapsed="1" x14ac:dyDescent="0.3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28164.43</v>
      </c>
      <c r="E30" s="1"/>
      <c r="F30" s="5">
        <f t="shared" ref="F30:F35" si="8">IF(D$12=0,0,D30/D$12)</f>
        <v>0</v>
      </c>
      <c r="G30" s="1"/>
      <c r="H30" s="1">
        <f>SUM(OSRRefH22_1x_0)</f>
        <v>23993.41</v>
      </c>
      <c r="I30" s="1"/>
      <c r="J30" s="5">
        <f t="shared" ref="J30:J35" si="9">IF(H$12=0,0,H30/H$12)</f>
        <v>0</v>
      </c>
      <c r="K30" s="1"/>
      <c r="L30" s="1">
        <f t="shared" ref="L30:L35" si="10">+D30-H30</f>
        <v>4171.0200000000004</v>
      </c>
      <c r="M30" s="1"/>
      <c r="N30" s="5">
        <f t="shared" ref="N30:N35" si="11">IF(H30=0,0,L30/H30)</f>
        <v>0.17384023363081783</v>
      </c>
      <c r="O30" s="14"/>
      <c r="P30" s="1">
        <f>SUM(OSRRefP22_1x_0)</f>
        <v>170498.69999999998</v>
      </c>
      <c r="Q30" s="1"/>
      <c r="R30" s="5">
        <f t="shared" ref="R30:R35" si="12">IF(P$12=0,0,P30/P$12)</f>
        <v>0</v>
      </c>
      <c r="S30" s="1"/>
      <c r="T30" s="1">
        <f>SUM(OSRRefT22_1x_0)</f>
        <v>159672.59000000003</v>
      </c>
      <c r="U30" s="1"/>
      <c r="V30" s="5">
        <f t="shared" ref="V30:V35" si="13">IF(T$12=0,0,T30/T$12)</f>
        <v>0</v>
      </c>
      <c r="W30" s="1"/>
      <c r="X30" s="1">
        <f t="shared" ref="X30:X35" si="14">+P30-T30</f>
        <v>10826.109999999957</v>
      </c>
      <c r="Y30" s="1"/>
      <c r="Z30" s="5">
        <f t="shared" ref="Z30:Z35" si="15">IF(T30=0,0,X30/T30)</f>
        <v>6.7801931439829183E-2</v>
      </c>
    </row>
    <row r="31" spans="1:26" s="24" customFormat="1" hidden="1" outlineLevel="2" x14ac:dyDescent="0.3">
      <c r="A31" s="28"/>
      <c r="B31" s="11" t="str">
        <f>CONCATENATE("          ", "6001", " - ", "ADMINISTRATIVE SALARIES")</f>
        <v xml:space="preserve">          6001 - ADMINISTRATIVE SALARIES</v>
      </c>
      <c r="C31" s="11"/>
      <c r="D31" s="6">
        <v>11242.34</v>
      </c>
      <c r="E31" s="2"/>
      <c r="F31" s="7">
        <f t="shared" si="8"/>
        <v>0</v>
      </c>
      <c r="G31" s="2"/>
      <c r="H31" s="6">
        <v>9894.68</v>
      </c>
      <c r="I31" s="2"/>
      <c r="J31" s="7">
        <f t="shared" si="9"/>
        <v>0</v>
      </c>
      <c r="K31" s="2"/>
      <c r="L31" s="6">
        <f t="shared" si="10"/>
        <v>1347.6599999999999</v>
      </c>
      <c r="M31" s="2"/>
      <c r="N31" s="7">
        <f t="shared" si="11"/>
        <v>0.13620046327925711</v>
      </c>
      <c r="O31" s="11"/>
      <c r="P31" s="6">
        <v>66725.759999999995</v>
      </c>
      <c r="Q31" s="2"/>
      <c r="R31" s="7">
        <f t="shared" si="12"/>
        <v>0</v>
      </c>
      <c r="S31" s="2"/>
      <c r="T31" s="6">
        <v>60852.3</v>
      </c>
      <c r="U31" s="2"/>
      <c r="V31" s="7">
        <f t="shared" si="13"/>
        <v>0</v>
      </c>
      <c r="W31" s="2"/>
      <c r="X31" s="6">
        <f t="shared" si="14"/>
        <v>5873.4599999999919</v>
      </c>
      <c r="Y31" s="2"/>
      <c r="Z31" s="7">
        <f t="shared" si="15"/>
        <v>9.6519934332802398E-2</v>
      </c>
    </row>
    <row r="32" spans="1:26" s="24" customFormat="1" hidden="1" outlineLevel="2" x14ac:dyDescent="0.3">
      <c r="A32" s="28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>
        <v>18.5</v>
      </c>
      <c r="Q32" s="2"/>
      <c r="R32" s="7">
        <f t="shared" si="12"/>
        <v>0</v>
      </c>
      <c r="S32" s="2"/>
      <c r="T32" s="6"/>
      <c r="U32" s="2"/>
      <c r="V32" s="7">
        <f t="shared" si="13"/>
        <v>0</v>
      </c>
      <c r="W32" s="2"/>
      <c r="X32" s="6">
        <f t="shared" si="14"/>
        <v>18.5</v>
      </c>
      <c r="Y32" s="2"/>
      <c r="Z32" s="7">
        <f t="shared" si="15"/>
        <v>0</v>
      </c>
    </row>
    <row r="33" spans="1:26" s="24" customFormat="1" hidden="1" outlineLevel="2" x14ac:dyDescent="0.3">
      <c r="A33" s="28"/>
      <c r="B33" s="11" t="str">
        <f>CONCATENATE("          ", "6004", " - ", "STAFF HOURLY")</f>
        <v xml:space="preserve">          6004 - STAFF HOURLY</v>
      </c>
      <c r="C33" s="11"/>
      <c r="D33" s="6">
        <v>14607.07</v>
      </c>
      <c r="E33" s="2"/>
      <c r="F33" s="7">
        <f t="shared" si="8"/>
        <v>0</v>
      </c>
      <c r="G33" s="2"/>
      <c r="H33" s="6">
        <v>8881.4500000000007</v>
      </c>
      <c r="I33" s="2"/>
      <c r="J33" s="7">
        <f t="shared" si="9"/>
        <v>0</v>
      </c>
      <c r="K33" s="2"/>
      <c r="L33" s="6">
        <f t="shared" si="10"/>
        <v>5725.619999999999</v>
      </c>
      <c r="M33" s="2"/>
      <c r="N33" s="7">
        <f t="shared" si="11"/>
        <v>0.64467175967888113</v>
      </c>
      <c r="O33" s="11"/>
      <c r="P33" s="6">
        <v>91532.28</v>
      </c>
      <c r="Q33" s="2"/>
      <c r="R33" s="7">
        <f t="shared" si="12"/>
        <v>0</v>
      </c>
      <c r="S33" s="2"/>
      <c r="T33" s="6">
        <v>62554.239999999998</v>
      </c>
      <c r="U33" s="2"/>
      <c r="V33" s="7">
        <f t="shared" si="13"/>
        <v>0</v>
      </c>
      <c r="W33" s="2"/>
      <c r="X33" s="6">
        <f t="shared" si="14"/>
        <v>28978.04</v>
      </c>
      <c r="Y33" s="2"/>
      <c r="Z33" s="7">
        <f t="shared" si="15"/>
        <v>0.46324661605672135</v>
      </c>
    </row>
    <row r="34" spans="1:26" s="24" customFormat="1" hidden="1" outlineLevel="2" x14ac:dyDescent="0.3">
      <c r="A34" s="28"/>
      <c r="B34" s="11" t="str">
        <f>CONCATENATE("          ", "6005", " - ", "TEMPORARY WAGES-HOURLY")</f>
        <v xml:space="preserve">          6005 - TEMPORARY WAGES-HOURLY</v>
      </c>
      <c r="C34" s="11"/>
      <c r="D34" s="6">
        <v>2315.02</v>
      </c>
      <c r="E34" s="2"/>
      <c r="F34" s="7">
        <f t="shared" si="8"/>
        <v>0</v>
      </c>
      <c r="G34" s="2"/>
      <c r="H34" s="6">
        <v>5217.28</v>
      </c>
      <c r="I34" s="2"/>
      <c r="J34" s="7">
        <f t="shared" si="9"/>
        <v>0</v>
      </c>
      <c r="K34" s="2"/>
      <c r="L34" s="6">
        <f t="shared" si="10"/>
        <v>-2902.2599999999998</v>
      </c>
      <c r="M34" s="2"/>
      <c r="N34" s="7">
        <f t="shared" si="11"/>
        <v>-0.55627836727183511</v>
      </c>
      <c r="O34" s="11"/>
      <c r="P34" s="6">
        <v>12222.16</v>
      </c>
      <c r="Q34" s="2"/>
      <c r="R34" s="7">
        <f t="shared" si="12"/>
        <v>0</v>
      </c>
      <c r="S34" s="2"/>
      <c r="T34" s="6">
        <v>36266.050000000003</v>
      </c>
      <c r="U34" s="2"/>
      <c r="V34" s="7">
        <f t="shared" si="13"/>
        <v>0</v>
      </c>
      <c r="W34" s="2"/>
      <c r="X34" s="6">
        <f t="shared" si="14"/>
        <v>-24043.890000000003</v>
      </c>
      <c r="Y34" s="2"/>
      <c r="Z34" s="7">
        <f t="shared" si="15"/>
        <v>-0.66298618129076647</v>
      </c>
    </row>
    <row r="35" spans="1:26" s="24" customFormat="1" hidden="1" outlineLevel="2" x14ac:dyDescent="0.3">
      <c r="A35" s="28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0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9" customFormat="1" outlineLevel="1" collapsed="1" x14ac:dyDescent="0.3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48" si="16">IF(D$12=0,0,D36/D$12)</f>
        <v>0</v>
      </c>
      <c r="G36" s="1"/>
      <c r="H36" s="1">
        <f>SUM(OSRRefH22_2x_0)</f>
        <v>0</v>
      </c>
      <c r="I36" s="1"/>
      <c r="J36" s="5">
        <f t="shared" ref="J36:J48" si="17">IF(H$12=0,0,H36/H$12)</f>
        <v>0</v>
      </c>
      <c r="K36" s="1"/>
      <c r="L36" s="1">
        <f t="shared" ref="L36:L48" si="18">+D36-H36</f>
        <v>0</v>
      </c>
      <c r="M36" s="1"/>
      <c r="N36" s="5">
        <f t="shared" ref="N36:N48" si="19">IF(H36=0,0,L36/H36)</f>
        <v>0</v>
      </c>
      <c r="O36" s="14"/>
      <c r="P36" s="1">
        <f>SUM(OSRRefP22_2x_0)</f>
        <v>343.26</v>
      </c>
      <c r="Q36" s="1"/>
      <c r="R36" s="5">
        <f t="shared" ref="R36:R48" si="20">IF(P$12=0,0,P36/P$12)</f>
        <v>0</v>
      </c>
      <c r="S36" s="1"/>
      <c r="T36" s="1">
        <f>SUM(OSRRefT22_2x_0)</f>
        <v>0</v>
      </c>
      <c r="U36" s="1"/>
      <c r="V36" s="5">
        <f t="shared" ref="V36:V48" si="21">IF(T$12=0,0,T36/T$12)</f>
        <v>0</v>
      </c>
      <c r="W36" s="1"/>
      <c r="X36" s="1">
        <f t="shared" ref="X36:X48" si="22">+P36-T36</f>
        <v>343.26</v>
      </c>
      <c r="Y36" s="1"/>
      <c r="Z36" s="5">
        <f t="shared" ref="Z36:Z48" si="23">IF(T36=0,0,X36/T36)</f>
        <v>0</v>
      </c>
    </row>
    <row r="37" spans="1:26" s="24" customFormat="1" hidden="1" outlineLevel="2" x14ac:dyDescent="0.3">
      <c r="A37" s="28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>
        <v>343.26</v>
      </c>
      <c r="Q37" s="2"/>
      <c r="R37" s="7">
        <f t="shared" si="20"/>
        <v>0</v>
      </c>
      <c r="S37" s="2"/>
      <c r="T37" s="6"/>
      <c r="U37" s="2"/>
      <c r="V37" s="7">
        <f t="shared" si="21"/>
        <v>0</v>
      </c>
      <c r="W37" s="2"/>
      <c r="X37" s="6">
        <f t="shared" si="22"/>
        <v>343.26</v>
      </c>
      <c r="Y37" s="2"/>
      <c r="Z37" s="7">
        <f t="shared" si="23"/>
        <v>0</v>
      </c>
    </row>
    <row r="38" spans="1:26" s="29" customFormat="1" outlineLevel="1" collapsed="1" x14ac:dyDescent="0.3">
      <c r="A38" s="27"/>
      <c r="B38" s="14" t="str">
        <f>CONCATENATE("     ","Employees' Appreciation                           ")</f>
        <v xml:space="preserve">     Employees' Appreciation                           </v>
      </c>
      <c r="C38" s="14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0</v>
      </c>
      <c r="I38" s="1"/>
      <c r="J38" s="5">
        <f t="shared" si="17"/>
        <v>0</v>
      </c>
      <c r="K38" s="1"/>
      <c r="L38" s="1">
        <f t="shared" si="18"/>
        <v>0</v>
      </c>
      <c r="M38" s="1"/>
      <c r="N38" s="5">
        <f t="shared" si="19"/>
        <v>0</v>
      </c>
      <c r="O38" s="14"/>
      <c r="P38" s="1">
        <f>SUM(OSRRefP22_3x_0)</f>
        <v>0</v>
      </c>
      <c r="Q38" s="1"/>
      <c r="R38" s="5">
        <f t="shared" si="20"/>
        <v>0</v>
      </c>
      <c r="S38" s="1"/>
      <c r="T38" s="1">
        <f>SUM(OSRRefT22_3x_0)</f>
        <v>81.56</v>
      </c>
      <c r="U38" s="1"/>
      <c r="V38" s="5">
        <f t="shared" si="21"/>
        <v>0</v>
      </c>
      <c r="W38" s="1"/>
      <c r="X38" s="1">
        <f t="shared" si="22"/>
        <v>-81.56</v>
      </c>
      <c r="Y38" s="1"/>
      <c r="Z38" s="5">
        <f t="shared" si="23"/>
        <v>-1</v>
      </c>
    </row>
    <row r="39" spans="1:26" s="24" customFormat="1" hidden="1" outlineLevel="2" x14ac:dyDescent="0.3">
      <c r="A39" s="28"/>
      <c r="B39" s="11" t="str">
        <f>CONCATENATE("          ", "6277", " - ", "EMPLOYEE APPRECIATION")</f>
        <v xml:space="preserve">          6277 - EMPLOYEE APPRECIATION</v>
      </c>
      <c r="C39" s="11"/>
      <c r="D39" s="6"/>
      <c r="E39" s="2"/>
      <c r="F39" s="7">
        <f t="shared" si="16"/>
        <v>0</v>
      </c>
      <c r="G39" s="2"/>
      <c r="H39" s="6"/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1"/>
      <c r="P39" s="6"/>
      <c r="Q39" s="2"/>
      <c r="R39" s="7">
        <f t="shared" si="20"/>
        <v>0</v>
      </c>
      <c r="S39" s="2"/>
      <c r="T39" s="6">
        <v>81.56</v>
      </c>
      <c r="U39" s="2"/>
      <c r="V39" s="7">
        <f t="shared" si="21"/>
        <v>0</v>
      </c>
      <c r="W39" s="2"/>
      <c r="X39" s="6">
        <f t="shared" si="22"/>
        <v>-81.56</v>
      </c>
      <c r="Y39" s="2"/>
      <c r="Z39" s="7">
        <f t="shared" si="23"/>
        <v>-1</v>
      </c>
    </row>
    <row r="40" spans="1:26" s="29" customFormat="1" outlineLevel="1" collapsed="1" x14ac:dyDescent="0.3">
      <c r="A40" s="27"/>
      <c r="B40" s="14" t="str">
        <f>CONCATENATE("     ","Freight out/Postage                               ")</f>
        <v xml:space="preserve">     Freight out/Postage                               </v>
      </c>
      <c r="C40" s="14"/>
      <c r="D40" s="1">
        <f>SUM(OSRRefD22_4x_0)</f>
        <v>24.37</v>
      </c>
      <c r="E40" s="1"/>
      <c r="F40" s="5">
        <f t="shared" si="16"/>
        <v>0</v>
      </c>
      <c r="G40" s="1"/>
      <c r="H40" s="1">
        <f>SUM(OSRRefH22_4x_0)</f>
        <v>29.5</v>
      </c>
      <c r="I40" s="1"/>
      <c r="J40" s="5">
        <f t="shared" si="17"/>
        <v>0</v>
      </c>
      <c r="K40" s="1"/>
      <c r="L40" s="1">
        <f t="shared" si="18"/>
        <v>-5.129999999999999</v>
      </c>
      <c r="M40" s="1"/>
      <c r="N40" s="5">
        <f t="shared" si="19"/>
        <v>-0.17389830508474574</v>
      </c>
      <c r="O40" s="14"/>
      <c r="P40" s="1">
        <f>SUM(OSRRefP22_4x_0)</f>
        <v>195.15</v>
      </c>
      <c r="Q40" s="1"/>
      <c r="R40" s="5">
        <f t="shared" si="20"/>
        <v>0</v>
      </c>
      <c r="S40" s="1"/>
      <c r="T40" s="1">
        <f>SUM(OSRRefT22_4x_0)</f>
        <v>105.55</v>
      </c>
      <c r="U40" s="1"/>
      <c r="V40" s="5">
        <f t="shared" si="21"/>
        <v>0</v>
      </c>
      <c r="W40" s="1"/>
      <c r="X40" s="1">
        <f t="shared" si="22"/>
        <v>89.600000000000009</v>
      </c>
      <c r="Y40" s="1"/>
      <c r="Z40" s="5">
        <f t="shared" si="23"/>
        <v>0.84888678351492197</v>
      </c>
    </row>
    <row r="41" spans="1:26" s="24" customFormat="1" hidden="1" outlineLevel="2" x14ac:dyDescent="0.3">
      <c r="A41" s="28"/>
      <c r="B41" s="11" t="str">
        <f>CONCATENATE("          ", "6307", " - ", "POSTAGE")</f>
        <v xml:space="preserve">          6307 - POSTAGE</v>
      </c>
      <c r="C41" s="11"/>
      <c r="D41" s="6">
        <v>24.37</v>
      </c>
      <c r="E41" s="2"/>
      <c r="F41" s="7">
        <f t="shared" si="16"/>
        <v>0</v>
      </c>
      <c r="G41" s="2"/>
      <c r="H41" s="6">
        <v>29.5</v>
      </c>
      <c r="I41" s="2"/>
      <c r="J41" s="7">
        <f t="shared" si="17"/>
        <v>0</v>
      </c>
      <c r="K41" s="2"/>
      <c r="L41" s="6">
        <f t="shared" si="18"/>
        <v>-5.129999999999999</v>
      </c>
      <c r="M41" s="2"/>
      <c r="N41" s="7">
        <f t="shared" si="19"/>
        <v>-0.17389830508474574</v>
      </c>
      <c r="O41" s="11"/>
      <c r="P41" s="6">
        <v>195.15</v>
      </c>
      <c r="Q41" s="2"/>
      <c r="R41" s="7">
        <f t="shared" si="20"/>
        <v>0</v>
      </c>
      <c r="S41" s="2"/>
      <c r="T41" s="6">
        <v>105.55</v>
      </c>
      <c r="U41" s="2"/>
      <c r="V41" s="7">
        <f t="shared" si="21"/>
        <v>0</v>
      </c>
      <c r="W41" s="2"/>
      <c r="X41" s="6">
        <f t="shared" si="22"/>
        <v>89.600000000000009</v>
      </c>
      <c r="Y41" s="2"/>
      <c r="Z41" s="7">
        <f t="shared" si="23"/>
        <v>0.84888678351492197</v>
      </c>
    </row>
    <row r="42" spans="1:26" s="29" customFormat="1" outlineLevel="1" collapsed="1" x14ac:dyDescent="0.3">
      <c r="A42" s="27"/>
      <c r="B42" s="14" t="str">
        <f>CONCATENATE("     ","General                                           ")</f>
        <v xml:space="preserve">     General                                           </v>
      </c>
      <c r="C42" s="14"/>
      <c r="D42" s="1">
        <f>SUM(OSRRefD22_5x_0)</f>
        <v>189.5</v>
      </c>
      <c r="E42" s="1"/>
      <c r="F42" s="5">
        <f t="shared" si="16"/>
        <v>0</v>
      </c>
      <c r="G42" s="1"/>
      <c r="H42" s="1">
        <f>SUM(OSRRefH22_5x_0)</f>
        <v>0</v>
      </c>
      <c r="I42" s="1"/>
      <c r="J42" s="5">
        <f t="shared" si="17"/>
        <v>0</v>
      </c>
      <c r="K42" s="1"/>
      <c r="L42" s="1">
        <f t="shared" si="18"/>
        <v>189.5</v>
      </c>
      <c r="M42" s="1"/>
      <c r="N42" s="5">
        <f t="shared" si="19"/>
        <v>0</v>
      </c>
      <c r="O42" s="14"/>
      <c r="P42" s="1">
        <f>SUM(OSRRefP22_5x_0)</f>
        <v>2680.25</v>
      </c>
      <c r="Q42" s="1"/>
      <c r="R42" s="5">
        <f t="shared" si="20"/>
        <v>0</v>
      </c>
      <c r="S42" s="1"/>
      <c r="T42" s="1">
        <f>SUM(OSRRefT22_5x_0)</f>
        <v>166.54</v>
      </c>
      <c r="U42" s="1"/>
      <c r="V42" s="5">
        <f t="shared" si="21"/>
        <v>0</v>
      </c>
      <c r="W42" s="1"/>
      <c r="X42" s="1">
        <f t="shared" si="22"/>
        <v>2513.71</v>
      </c>
      <c r="Y42" s="1"/>
      <c r="Z42" s="5">
        <f t="shared" si="23"/>
        <v>15.093731235739163</v>
      </c>
    </row>
    <row r="43" spans="1:26" s="24" customFormat="1" hidden="1" outlineLevel="2" x14ac:dyDescent="0.3">
      <c r="A43" s="28"/>
      <c r="B43" s="11" t="str">
        <f>CONCATENATE("          ", "6279", " - ", "GENERAL EXPENSE")</f>
        <v xml:space="preserve">          6279 - GENERAL EXPENSE</v>
      </c>
      <c r="C43" s="11"/>
      <c r="D43" s="6">
        <v>189.5</v>
      </c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189.5</v>
      </c>
      <c r="M43" s="2"/>
      <c r="N43" s="7">
        <f t="shared" si="19"/>
        <v>0</v>
      </c>
      <c r="O43" s="11"/>
      <c r="P43" s="6">
        <v>2680.25</v>
      </c>
      <c r="Q43" s="2"/>
      <c r="R43" s="7">
        <f t="shared" si="20"/>
        <v>0</v>
      </c>
      <c r="S43" s="2"/>
      <c r="T43" s="6">
        <v>166.54</v>
      </c>
      <c r="U43" s="2"/>
      <c r="V43" s="7">
        <f t="shared" si="21"/>
        <v>0</v>
      </c>
      <c r="W43" s="2"/>
      <c r="X43" s="6">
        <f t="shared" si="22"/>
        <v>2513.71</v>
      </c>
      <c r="Y43" s="2"/>
      <c r="Z43" s="7">
        <f t="shared" si="23"/>
        <v>15.093731235739163</v>
      </c>
    </row>
    <row r="44" spans="1:26" s="29" customFormat="1" outlineLevel="1" collapsed="1" x14ac:dyDescent="0.3">
      <c r="A44" s="27"/>
      <c r="B44" s="14" t="str">
        <f>CONCATENATE("     ","Insurance                                         ")</f>
        <v xml:space="preserve">     Insurance                                         </v>
      </c>
      <c r="C44" s="14"/>
      <c r="D44" s="1">
        <f>SUM(OSRRefD22_6x_0)</f>
        <v>88.99</v>
      </c>
      <c r="E44" s="1"/>
      <c r="F44" s="5">
        <f t="shared" si="16"/>
        <v>0</v>
      </c>
      <c r="G44" s="1"/>
      <c r="H44" s="1">
        <f>SUM(OSRRefH22_6x_0)</f>
        <v>65.47</v>
      </c>
      <c r="I44" s="1"/>
      <c r="J44" s="5">
        <f t="shared" si="17"/>
        <v>0</v>
      </c>
      <c r="K44" s="1"/>
      <c r="L44" s="1">
        <f t="shared" si="18"/>
        <v>23.519999999999996</v>
      </c>
      <c r="M44" s="1"/>
      <c r="N44" s="5">
        <f t="shared" si="19"/>
        <v>0.35924851076829079</v>
      </c>
      <c r="O44" s="14"/>
      <c r="P44" s="1">
        <f>SUM(OSRRefP22_6x_0)</f>
        <v>533.94000000000005</v>
      </c>
      <c r="Q44" s="1"/>
      <c r="R44" s="5">
        <f t="shared" si="20"/>
        <v>0</v>
      </c>
      <c r="S44" s="1"/>
      <c r="T44" s="1">
        <f>SUM(OSRRefT22_6x_0)</f>
        <v>392.82</v>
      </c>
      <c r="U44" s="1"/>
      <c r="V44" s="5">
        <f t="shared" si="21"/>
        <v>0</v>
      </c>
      <c r="W44" s="1"/>
      <c r="X44" s="1">
        <f t="shared" si="22"/>
        <v>141.12000000000006</v>
      </c>
      <c r="Y44" s="1"/>
      <c r="Z44" s="5">
        <f t="shared" si="23"/>
        <v>0.35924851076829101</v>
      </c>
    </row>
    <row r="45" spans="1:26" s="24" customFormat="1" hidden="1" outlineLevel="2" x14ac:dyDescent="0.3">
      <c r="A45" s="28"/>
      <c r="B45" s="11" t="str">
        <f>CONCATENATE("          ", "6314", " - ", "LIABILITY INSURANCE")</f>
        <v xml:space="preserve">          6314 - LIABILITY INSURANCE</v>
      </c>
      <c r="C45" s="11"/>
      <c r="D45" s="6">
        <v>88.99</v>
      </c>
      <c r="E45" s="2"/>
      <c r="F45" s="7">
        <f t="shared" si="16"/>
        <v>0</v>
      </c>
      <c r="G45" s="2"/>
      <c r="H45" s="6">
        <v>65.47</v>
      </c>
      <c r="I45" s="2"/>
      <c r="J45" s="7">
        <f t="shared" si="17"/>
        <v>0</v>
      </c>
      <c r="K45" s="2"/>
      <c r="L45" s="6">
        <f t="shared" si="18"/>
        <v>23.519999999999996</v>
      </c>
      <c r="M45" s="2"/>
      <c r="N45" s="7">
        <f t="shared" si="19"/>
        <v>0.35924851076829079</v>
      </c>
      <c r="O45" s="11"/>
      <c r="P45" s="6">
        <v>533.94000000000005</v>
      </c>
      <c r="Q45" s="2"/>
      <c r="R45" s="7">
        <f t="shared" si="20"/>
        <v>0</v>
      </c>
      <c r="S45" s="2"/>
      <c r="T45" s="6">
        <v>392.82</v>
      </c>
      <c r="U45" s="2"/>
      <c r="V45" s="7">
        <f t="shared" si="21"/>
        <v>0</v>
      </c>
      <c r="W45" s="2"/>
      <c r="X45" s="6">
        <f t="shared" si="22"/>
        <v>141.12000000000006</v>
      </c>
      <c r="Y45" s="2"/>
      <c r="Z45" s="7">
        <f t="shared" si="23"/>
        <v>0.35924851076829101</v>
      </c>
    </row>
    <row r="46" spans="1:26" s="29" customFormat="1" outlineLevel="1" collapsed="1" x14ac:dyDescent="0.3">
      <c r="A46" s="27"/>
      <c r="B46" s="14" t="str">
        <f>CONCATENATE("     ","Professional Services                             ")</f>
        <v xml:space="preserve">     Professional Services                             </v>
      </c>
      <c r="C46" s="14"/>
      <c r="D46" s="1">
        <f>SUM(OSRRefD22_7x_0)</f>
        <v>693.21</v>
      </c>
      <c r="E46" s="1"/>
      <c r="F46" s="5">
        <f t="shared" si="16"/>
        <v>0</v>
      </c>
      <c r="G46" s="1"/>
      <c r="H46" s="1">
        <f>SUM(OSRRefH22_7x_0)</f>
        <v>840</v>
      </c>
      <c r="I46" s="1"/>
      <c r="J46" s="5">
        <f t="shared" si="17"/>
        <v>0</v>
      </c>
      <c r="K46" s="1"/>
      <c r="L46" s="1">
        <f t="shared" si="18"/>
        <v>-146.78999999999996</v>
      </c>
      <c r="M46" s="1"/>
      <c r="N46" s="5">
        <f t="shared" si="19"/>
        <v>-0.17474999999999996</v>
      </c>
      <c r="O46" s="14"/>
      <c r="P46" s="1">
        <f>SUM(OSRRefP22_7x_0)</f>
        <v>10307.58</v>
      </c>
      <c r="Q46" s="1"/>
      <c r="R46" s="5">
        <f t="shared" si="20"/>
        <v>0</v>
      </c>
      <c r="S46" s="1"/>
      <c r="T46" s="1">
        <f>SUM(OSRRefT22_7x_0)</f>
        <v>5642.58</v>
      </c>
      <c r="U46" s="1"/>
      <c r="V46" s="5">
        <f t="shared" si="21"/>
        <v>0</v>
      </c>
      <c r="W46" s="1"/>
      <c r="X46" s="1">
        <f t="shared" si="22"/>
        <v>4665</v>
      </c>
      <c r="Y46" s="1"/>
      <c r="Z46" s="5">
        <f t="shared" si="23"/>
        <v>0.82674946566995955</v>
      </c>
    </row>
    <row r="47" spans="1:26" s="24" customFormat="1" hidden="1" outlineLevel="2" x14ac:dyDescent="0.3">
      <c r="A47" s="28"/>
      <c r="B47" s="11" t="str">
        <f>CONCATENATE("          ", "6334", " - ", "LEGAL COUNCIL EXPENSE")</f>
        <v xml:space="preserve">          6334 - LEGAL COUNCIL EXPENSE</v>
      </c>
      <c r="C47" s="11"/>
      <c r="D47" s="6"/>
      <c r="E47" s="2"/>
      <c r="F47" s="7">
        <f t="shared" si="16"/>
        <v>0</v>
      </c>
      <c r="G47" s="2"/>
      <c r="H47" s="6">
        <v>840</v>
      </c>
      <c r="I47" s="2"/>
      <c r="J47" s="7">
        <f t="shared" si="17"/>
        <v>0</v>
      </c>
      <c r="K47" s="2"/>
      <c r="L47" s="6">
        <f t="shared" si="18"/>
        <v>-840</v>
      </c>
      <c r="M47" s="2"/>
      <c r="N47" s="7">
        <f t="shared" si="19"/>
        <v>-1</v>
      </c>
      <c r="O47" s="11"/>
      <c r="P47" s="6">
        <v>3255</v>
      </c>
      <c r="Q47" s="2"/>
      <c r="R47" s="7">
        <f t="shared" si="20"/>
        <v>0</v>
      </c>
      <c r="S47" s="2"/>
      <c r="T47" s="6">
        <v>1225</v>
      </c>
      <c r="U47" s="2"/>
      <c r="V47" s="7">
        <f t="shared" si="21"/>
        <v>0</v>
      </c>
      <c r="W47" s="2"/>
      <c r="X47" s="6">
        <f t="shared" si="22"/>
        <v>2030</v>
      </c>
      <c r="Y47" s="2"/>
      <c r="Z47" s="7">
        <f t="shared" si="23"/>
        <v>1.6571428571428573</v>
      </c>
    </row>
    <row r="48" spans="1:26" s="24" customFormat="1" hidden="1" outlineLevel="2" x14ac:dyDescent="0.3">
      <c r="A48" s="28"/>
      <c r="B48" s="11" t="str">
        <f>CONCATENATE("          ", "6336", " - ", "PROFESSIONAL SERVICES")</f>
        <v xml:space="preserve">          6336 - PROFESSIONAL SERVICES</v>
      </c>
      <c r="C48" s="11"/>
      <c r="D48" s="6">
        <v>693.21</v>
      </c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693.21</v>
      </c>
      <c r="M48" s="2"/>
      <c r="N48" s="7">
        <f t="shared" si="19"/>
        <v>0</v>
      </c>
      <c r="O48" s="11"/>
      <c r="P48" s="6">
        <v>7052.58</v>
      </c>
      <c r="Q48" s="2"/>
      <c r="R48" s="7">
        <f t="shared" si="20"/>
        <v>0</v>
      </c>
      <c r="S48" s="2"/>
      <c r="T48" s="6">
        <v>4417.58</v>
      </c>
      <c r="U48" s="2"/>
      <c r="V48" s="7">
        <f t="shared" si="21"/>
        <v>0</v>
      </c>
      <c r="W48" s="2"/>
      <c r="X48" s="6">
        <f t="shared" si="22"/>
        <v>2635</v>
      </c>
      <c r="Y48" s="2"/>
      <c r="Z48" s="7">
        <f t="shared" si="23"/>
        <v>0.59648042593456152</v>
      </c>
    </row>
    <row r="49" spans="1:26" s="29" customFormat="1" outlineLevel="1" collapsed="1" x14ac:dyDescent="0.3">
      <c r="A49" s="27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SUM(OSRRefD22_8x_0)</f>
        <v>8154.97</v>
      </c>
      <c r="E49" s="1"/>
      <c r="F49" s="5">
        <f t="shared" ref="F49:F51" si="24">IF(D$12=0,0,D49/D$12)</f>
        <v>0</v>
      </c>
      <c r="G49" s="1"/>
      <c r="H49" s="1">
        <f>SUM(OSRRefH22_8x_0)</f>
        <v>4785.9799999999996</v>
      </c>
      <c r="I49" s="1"/>
      <c r="J49" s="5">
        <f t="shared" ref="J49:J51" si="25">IF(H$12=0,0,H49/H$12)</f>
        <v>0</v>
      </c>
      <c r="K49" s="1"/>
      <c r="L49" s="1">
        <f t="shared" ref="L49:L51" si="26">+D49-H49</f>
        <v>3368.9900000000007</v>
      </c>
      <c r="M49" s="1"/>
      <c r="N49" s="5">
        <f t="shared" ref="N49:N51" si="27">IF(H49=0,0,L49/H49)</f>
        <v>0.70392897588372727</v>
      </c>
      <c r="O49" s="14"/>
      <c r="P49" s="1">
        <f>SUM(OSRRefP22_8x_0)</f>
        <v>34516.969999999994</v>
      </c>
      <c r="Q49" s="1"/>
      <c r="R49" s="5">
        <f t="shared" ref="R49:R51" si="28">IF(P$12=0,0,P49/P$12)</f>
        <v>0</v>
      </c>
      <c r="S49" s="1"/>
      <c r="T49" s="1">
        <f>SUM(OSRRefT22_8x_0)</f>
        <v>24939.59</v>
      </c>
      <c r="U49" s="1"/>
      <c r="V49" s="5">
        <f t="shared" ref="V49:V51" si="29">IF(T$12=0,0,T49/T$12)</f>
        <v>0</v>
      </c>
      <c r="W49" s="1"/>
      <c r="X49" s="1">
        <f t="shared" ref="X49:X51" si="30">+P49-T49</f>
        <v>9577.3799999999937</v>
      </c>
      <c r="Y49" s="1"/>
      <c r="Z49" s="5">
        <f t="shared" ref="Z49:Z51" si="31">IF(T49=0,0,X49/T49)</f>
        <v>0.38402315354823369</v>
      </c>
    </row>
    <row r="50" spans="1:26" s="24" customFormat="1" hidden="1" outlineLevel="2" x14ac:dyDescent="0.3">
      <c r="A50" s="28"/>
      <c r="B50" s="11" t="str">
        <f>CONCATENATE("          ", "6371", " - ", "COMPUTER SOFTWARE MAINTENANCE")</f>
        <v xml:space="preserve">          6371 - COMPUTER SOFTWARE MAINTENANCE</v>
      </c>
      <c r="C50" s="11"/>
      <c r="D50" s="6">
        <v>8154.97</v>
      </c>
      <c r="E50" s="2"/>
      <c r="F50" s="7">
        <f t="shared" si="24"/>
        <v>0</v>
      </c>
      <c r="G50" s="2"/>
      <c r="H50" s="6">
        <v>4785.9799999999996</v>
      </c>
      <c r="I50" s="2"/>
      <c r="J50" s="7">
        <f t="shared" si="25"/>
        <v>0</v>
      </c>
      <c r="K50" s="2"/>
      <c r="L50" s="6">
        <f t="shared" si="26"/>
        <v>3368.9900000000007</v>
      </c>
      <c r="M50" s="2"/>
      <c r="N50" s="7">
        <f t="shared" si="27"/>
        <v>0.70392897588372727</v>
      </c>
      <c r="O50" s="11"/>
      <c r="P50" s="6">
        <v>34218.629999999997</v>
      </c>
      <c r="Q50" s="2"/>
      <c r="R50" s="7">
        <f t="shared" si="28"/>
        <v>0</v>
      </c>
      <c r="S50" s="2"/>
      <c r="T50" s="6">
        <v>24881.5</v>
      </c>
      <c r="U50" s="2"/>
      <c r="V50" s="7">
        <f t="shared" si="29"/>
        <v>0</v>
      </c>
      <c r="W50" s="2"/>
      <c r="X50" s="6">
        <f t="shared" si="30"/>
        <v>9337.1299999999974</v>
      </c>
      <c r="Y50" s="2"/>
      <c r="Z50" s="7">
        <f t="shared" si="31"/>
        <v>0.37526395112834826</v>
      </c>
    </row>
    <row r="51" spans="1:26" s="24" customFormat="1" hidden="1" outlineLevel="2" x14ac:dyDescent="0.3">
      <c r="A51" s="28"/>
      <c r="B51" s="11" t="str">
        <f>CONCATENATE("          ", "6373", " - ", "MAINTENANCE CONTRACTS")</f>
        <v xml:space="preserve">          6373 - MAINTENANCE CONTRACTS</v>
      </c>
      <c r="C51" s="11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1"/>
      <c r="P51" s="6">
        <v>298.33999999999997</v>
      </c>
      <c r="Q51" s="2"/>
      <c r="R51" s="7">
        <f t="shared" si="28"/>
        <v>0</v>
      </c>
      <c r="S51" s="2"/>
      <c r="T51" s="6">
        <v>58.09</v>
      </c>
      <c r="U51" s="2"/>
      <c r="V51" s="7">
        <f t="shared" si="29"/>
        <v>0</v>
      </c>
      <c r="W51" s="2"/>
      <c r="X51" s="6">
        <f t="shared" si="30"/>
        <v>240.24999999999997</v>
      </c>
      <c r="Y51" s="2"/>
      <c r="Z51" s="7">
        <f t="shared" si="31"/>
        <v>4.1358237218109819</v>
      </c>
    </row>
    <row r="52" spans="1:26" s="29" customFormat="1" outlineLevel="1" collapsed="1" x14ac:dyDescent="0.3">
      <c r="A52" s="27"/>
      <c r="B52" s="14" t="str">
        <f>CONCATENATE("     ","Subscriptions &amp; Dues                              ")</f>
        <v xml:space="preserve">     Subscriptions &amp; Dues                              </v>
      </c>
      <c r="C52" s="14"/>
      <c r="D52" s="1">
        <f>SUM(OSRRefD22_9x_0)</f>
        <v>795</v>
      </c>
      <c r="E52" s="1"/>
      <c r="F52" s="5">
        <f t="shared" ref="F52:F58" si="32">IF(D$12=0,0,D52/D$12)</f>
        <v>0</v>
      </c>
      <c r="G52" s="1"/>
      <c r="H52" s="1">
        <f>SUM(OSRRefH22_9x_0)</f>
        <v>0</v>
      </c>
      <c r="I52" s="1"/>
      <c r="J52" s="5">
        <f t="shared" ref="J52:J58" si="33">IF(H$12=0,0,H52/H$12)</f>
        <v>0</v>
      </c>
      <c r="K52" s="1"/>
      <c r="L52" s="1">
        <f t="shared" ref="L52:L58" si="34">+D52-H52</f>
        <v>795</v>
      </c>
      <c r="M52" s="1"/>
      <c r="N52" s="5">
        <f t="shared" ref="N52:N58" si="35">IF(H52=0,0,L52/H52)</f>
        <v>0</v>
      </c>
      <c r="O52" s="14"/>
      <c r="P52" s="1">
        <f>SUM(OSRRefP22_9x_0)</f>
        <v>1452</v>
      </c>
      <c r="Q52" s="1"/>
      <c r="R52" s="5">
        <f t="shared" ref="R52:R58" si="36">IF(P$12=0,0,P52/P$12)</f>
        <v>0</v>
      </c>
      <c r="S52" s="1"/>
      <c r="T52" s="1">
        <f>SUM(OSRRefT22_9x_0)</f>
        <v>534.99</v>
      </c>
      <c r="U52" s="1"/>
      <c r="V52" s="5">
        <f t="shared" ref="V52:V58" si="37">IF(T$12=0,0,T52/T$12)</f>
        <v>0</v>
      </c>
      <c r="W52" s="1"/>
      <c r="X52" s="1">
        <f t="shared" ref="X52:X58" si="38">+P52-T52</f>
        <v>917.01</v>
      </c>
      <c r="Y52" s="1"/>
      <c r="Z52" s="5">
        <f t="shared" ref="Z52:Z58" si="39">IF(T52=0,0,X52/T52)</f>
        <v>1.7140694218583525</v>
      </c>
    </row>
    <row r="53" spans="1:26" s="24" customFormat="1" hidden="1" outlineLevel="2" x14ac:dyDescent="0.3">
      <c r="A53" s="28"/>
      <c r="B53" s="11" t="str">
        <f>CONCATENATE("          ", "6258", " - ", "MEMBERSHIP DUES")</f>
        <v xml:space="preserve">          6258 - MEMBERSHIP DUES</v>
      </c>
      <c r="C53" s="11"/>
      <c r="D53" s="6">
        <v>795</v>
      </c>
      <c r="E53" s="2"/>
      <c r="F53" s="7">
        <f t="shared" si="32"/>
        <v>0</v>
      </c>
      <c r="G53" s="2"/>
      <c r="H53" s="6"/>
      <c r="I53" s="2"/>
      <c r="J53" s="7">
        <f t="shared" si="33"/>
        <v>0</v>
      </c>
      <c r="K53" s="2"/>
      <c r="L53" s="6">
        <f t="shared" si="34"/>
        <v>795</v>
      </c>
      <c r="M53" s="2"/>
      <c r="N53" s="7">
        <f t="shared" si="35"/>
        <v>0</v>
      </c>
      <c r="O53" s="11"/>
      <c r="P53" s="6">
        <v>1452</v>
      </c>
      <c r="Q53" s="2"/>
      <c r="R53" s="7">
        <f t="shared" si="36"/>
        <v>0</v>
      </c>
      <c r="S53" s="2"/>
      <c r="T53" s="6">
        <v>534.99</v>
      </c>
      <c r="U53" s="2"/>
      <c r="V53" s="7">
        <f t="shared" si="37"/>
        <v>0</v>
      </c>
      <c r="W53" s="2"/>
      <c r="X53" s="6">
        <f t="shared" si="38"/>
        <v>917.01</v>
      </c>
      <c r="Y53" s="2"/>
      <c r="Z53" s="7">
        <f t="shared" si="39"/>
        <v>1.7140694218583525</v>
      </c>
    </row>
    <row r="54" spans="1:26" s="29" customFormat="1" outlineLevel="1" collapsed="1" x14ac:dyDescent="0.3">
      <c r="A54" s="27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SUM(OSRRefD22_10x_0)</f>
        <v>583.22</v>
      </c>
      <c r="E54" s="1"/>
      <c r="F54" s="5">
        <f t="shared" si="32"/>
        <v>0</v>
      </c>
      <c r="G54" s="1"/>
      <c r="H54" s="1">
        <f>SUM(OSRRefH22_10x_0)</f>
        <v>224.69</v>
      </c>
      <c r="I54" s="1"/>
      <c r="J54" s="5">
        <f t="shared" si="33"/>
        <v>0</v>
      </c>
      <c r="K54" s="1"/>
      <c r="L54" s="1">
        <f t="shared" si="34"/>
        <v>358.53000000000003</v>
      </c>
      <c r="M54" s="1"/>
      <c r="N54" s="5">
        <f t="shared" si="35"/>
        <v>1.5956651386354535</v>
      </c>
      <c r="O54" s="14"/>
      <c r="P54" s="1">
        <f>SUM(OSRRefP22_10x_0)</f>
        <v>7823.76</v>
      </c>
      <c r="Q54" s="1"/>
      <c r="R54" s="5">
        <f t="shared" si="36"/>
        <v>0</v>
      </c>
      <c r="S54" s="1"/>
      <c r="T54" s="1">
        <f>SUM(OSRRefT22_10x_0)</f>
        <v>1514.85</v>
      </c>
      <c r="U54" s="1"/>
      <c r="V54" s="5">
        <f t="shared" si="37"/>
        <v>0</v>
      </c>
      <c r="W54" s="1"/>
      <c r="X54" s="1">
        <f t="shared" si="38"/>
        <v>6308.91</v>
      </c>
      <c r="Y54" s="1"/>
      <c r="Z54" s="5">
        <f t="shared" si="39"/>
        <v>4.1647093771660559</v>
      </c>
    </row>
    <row r="55" spans="1:26" s="24" customFormat="1" hidden="1" outlineLevel="2" x14ac:dyDescent="0.3">
      <c r="A55" s="28"/>
      <c r="B55" s="11" t="str">
        <f>CONCATENATE("          ", "6235", " - ", "COVID-19 EXPENSES")</f>
        <v xml:space="preserve">          6235 - COVID-19 EXPENSES</v>
      </c>
      <c r="C55" s="11"/>
      <c r="D55" s="6"/>
      <c r="E55" s="2"/>
      <c r="F55" s="7">
        <f t="shared" si="32"/>
        <v>0</v>
      </c>
      <c r="G55" s="2"/>
      <c r="H55" s="6"/>
      <c r="I55" s="2"/>
      <c r="J55" s="7">
        <f t="shared" si="33"/>
        <v>0</v>
      </c>
      <c r="K55" s="2"/>
      <c r="L55" s="6">
        <f t="shared" si="34"/>
        <v>0</v>
      </c>
      <c r="M55" s="2"/>
      <c r="N55" s="7">
        <f t="shared" si="35"/>
        <v>0</v>
      </c>
      <c r="O55" s="11"/>
      <c r="P55" s="6">
        <v>2447.77</v>
      </c>
      <c r="Q55" s="2"/>
      <c r="R55" s="7">
        <f t="shared" si="36"/>
        <v>0</v>
      </c>
      <c r="S55" s="2"/>
      <c r="T55" s="6">
        <v>210.58</v>
      </c>
      <c r="U55" s="2"/>
      <c r="V55" s="7">
        <f t="shared" si="37"/>
        <v>0</v>
      </c>
      <c r="W55" s="2"/>
      <c r="X55" s="6">
        <f t="shared" si="38"/>
        <v>2237.19</v>
      </c>
      <c r="Y55" s="2"/>
      <c r="Z55" s="7">
        <f t="shared" si="39"/>
        <v>10.623943394434418</v>
      </c>
    </row>
    <row r="56" spans="1:26" s="24" customFormat="1" hidden="1" outlineLevel="2" x14ac:dyDescent="0.3">
      <c r="A56" s="28"/>
      <c r="B56" s="11" t="str">
        <f>CONCATENATE("          ", "6241", " - ", "OFFICE EXPENSE")</f>
        <v xml:space="preserve">          6241 - OFFICE EXPENSE</v>
      </c>
      <c r="C56" s="11"/>
      <c r="D56" s="6">
        <v>583.22</v>
      </c>
      <c r="E56" s="2"/>
      <c r="F56" s="7">
        <f t="shared" si="32"/>
        <v>0</v>
      </c>
      <c r="G56" s="2"/>
      <c r="H56" s="6">
        <v>224.69</v>
      </c>
      <c r="I56" s="2"/>
      <c r="J56" s="7">
        <f t="shared" si="33"/>
        <v>0</v>
      </c>
      <c r="K56" s="2"/>
      <c r="L56" s="6">
        <f t="shared" si="34"/>
        <v>358.53000000000003</v>
      </c>
      <c r="M56" s="2"/>
      <c r="N56" s="7">
        <f t="shared" si="35"/>
        <v>1.5956651386354535</v>
      </c>
      <c r="O56" s="11"/>
      <c r="P56" s="6">
        <v>1991.3</v>
      </c>
      <c r="Q56" s="2"/>
      <c r="R56" s="7">
        <f t="shared" si="36"/>
        <v>0</v>
      </c>
      <c r="S56" s="2"/>
      <c r="T56" s="6">
        <v>1081.56</v>
      </c>
      <c r="U56" s="2"/>
      <c r="V56" s="7">
        <f t="shared" si="37"/>
        <v>0</v>
      </c>
      <c r="W56" s="2"/>
      <c r="X56" s="6">
        <f t="shared" si="38"/>
        <v>909.74</v>
      </c>
      <c r="Y56" s="2"/>
      <c r="Z56" s="7">
        <f t="shared" si="39"/>
        <v>0.84113687636377088</v>
      </c>
    </row>
    <row r="57" spans="1:26" s="24" customFormat="1" hidden="1" outlineLevel="2" x14ac:dyDescent="0.3">
      <c r="A57" s="28"/>
      <c r="B57" s="11" t="str">
        <f>CONCATENATE("          ", "6244", " - ", "SAFETY SUPPLY EXPENSE")</f>
        <v xml:space="preserve">          6244 - SAFETY SUPPLY EXPENSE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>
        <v>600</v>
      </c>
      <c r="Q57" s="2"/>
      <c r="R57" s="7">
        <f t="shared" si="36"/>
        <v>0</v>
      </c>
      <c r="S57" s="2"/>
      <c r="T57" s="6">
        <v>222.71</v>
      </c>
      <c r="U57" s="2"/>
      <c r="V57" s="7">
        <f t="shared" si="37"/>
        <v>0</v>
      </c>
      <c r="W57" s="2"/>
      <c r="X57" s="6">
        <f t="shared" si="38"/>
        <v>377.28999999999996</v>
      </c>
      <c r="Y57" s="2"/>
      <c r="Z57" s="7">
        <f t="shared" si="39"/>
        <v>1.6940864801760134</v>
      </c>
    </row>
    <row r="58" spans="1:26" s="24" customFormat="1" hidden="1" outlineLevel="2" x14ac:dyDescent="0.3">
      <c r="A58" s="28"/>
      <c r="B58" s="11" t="str">
        <f>CONCATENATE("          ", "6248", " - ", "UNIFORMS")</f>
        <v xml:space="preserve">          6248 - UNIFORMS</v>
      </c>
      <c r="C58" s="11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1"/>
      <c r="P58" s="6">
        <v>2784.69</v>
      </c>
      <c r="Q58" s="2"/>
      <c r="R58" s="7">
        <f t="shared" si="36"/>
        <v>0</v>
      </c>
      <c r="S58" s="2"/>
      <c r="T58" s="6"/>
      <c r="U58" s="2"/>
      <c r="V58" s="7">
        <f t="shared" si="37"/>
        <v>0</v>
      </c>
      <c r="W58" s="2"/>
      <c r="X58" s="6">
        <f t="shared" si="38"/>
        <v>2784.69</v>
      </c>
      <c r="Y58" s="2"/>
      <c r="Z58" s="7">
        <f t="shared" si="39"/>
        <v>0</v>
      </c>
    </row>
    <row r="59" spans="1:26" s="29" customFormat="1" outlineLevel="1" collapsed="1" x14ac:dyDescent="0.3">
      <c r="A59" s="27"/>
      <c r="B59" s="14" t="str">
        <f>CONCATENATE("     ","Telephone/Data Lines                              ")</f>
        <v xml:space="preserve">     Telephone/Data Lines                              </v>
      </c>
      <c r="C59" s="14"/>
      <c r="D59" s="1">
        <f>SUM(OSRRefD22_11x_0)</f>
        <v>282</v>
      </c>
      <c r="E59" s="1"/>
      <c r="F59" s="5">
        <f t="shared" ref="F59:F64" si="40">IF(D$12=0,0,D59/D$12)</f>
        <v>0</v>
      </c>
      <c r="G59" s="1"/>
      <c r="H59" s="1">
        <f>SUM(OSRRefH22_11x_0)</f>
        <v>323.39999999999998</v>
      </c>
      <c r="I59" s="1"/>
      <c r="J59" s="5">
        <f t="shared" ref="J59:J64" si="41">IF(H$12=0,0,H59/H$12)</f>
        <v>0</v>
      </c>
      <c r="K59" s="1"/>
      <c r="L59" s="1">
        <f t="shared" ref="L59:L64" si="42">+D59-H59</f>
        <v>-41.399999999999977</v>
      </c>
      <c r="M59" s="1"/>
      <c r="N59" s="5">
        <f t="shared" ref="N59:N64" si="43">IF(H59=0,0,L59/H59)</f>
        <v>-0.12801484230055651</v>
      </c>
      <c r="O59" s="14"/>
      <c r="P59" s="1">
        <f>SUM(OSRRefP22_11x_0)</f>
        <v>2821.35</v>
      </c>
      <c r="Q59" s="1"/>
      <c r="R59" s="5">
        <f t="shared" ref="R59:R64" si="44">IF(P$12=0,0,P59/P$12)</f>
        <v>0</v>
      </c>
      <c r="S59" s="1"/>
      <c r="T59" s="1">
        <f>SUM(OSRRefT22_11x_0)</f>
        <v>1980.45</v>
      </c>
      <c r="U59" s="1"/>
      <c r="V59" s="5">
        <f t="shared" ref="V59:V64" si="45">IF(T$12=0,0,T59/T$12)</f>
        <v>0</v>
      </c>
      <c r="W59" s="1"/>
      <c r="X59" s="1">
        <f t="shared" ref="X59:X64" si="46">+P59-T59</f>
        <v>840.89999999999986</v>
      </c>
      <c r="Y59" s="1"/>
      <c r="Z59" s="5">
        <f t="shared" ref="Z59:Z64" si="47">IF(T59=0,0,X59/T59)</f>
        <v>0.42460046959024456</v>
      </c>
    </row>
    <row r="60" spans="1:26" s="24" customFormat="1" hidden="1" outlineLevel="2" x14ac:dyDescent="0.3">
      <c r="A60" s="28"/>
      <c r="B60" s="11" t="str">
        <f>CONCATENATE("          ", "6309", " - ", "TELEPHONE")</f>
        <v xml:space="preserve">          6309 - TELEPHONE</v>
      </c>
      <c r="C60" s="11"/>
      <c r="D60" s="6">
        <v>282</v>
      </c>
      <c r="E60" s="2"/>
      <c r="F60" s="7">
        <f t="shared" si="40"/>
        <v>0</v>
      </c>
      <c r="G60" s="2"/>
      <c r="H60" s="6">
        <v>323.39999999999998</v>
      </c>
      <c r="I60" s="2"/>
      <c r="J60" s="7">
        <f t="shared" si="41"/>
        <v>0</v>
      </c>
      <c r="K60" s="2"/>
      <c r="L60" s="6">
        <f t="shared" si="42"/>
        <v>-41.399999999999977</v>
      </c>
      <c r="M60" s="2"/>
      <c r="N60" s="7">
        <f t="shared" si="43"/>
        <v>-0.12801484230055651</v>
      </c>
      <c r="O60" s="11"/>
      <c r="P60" s="6">
        <v>2821.35</v>
      </c>
      <c r="Q60" s="2"/>
      <c r="R60" s="7">
        <f t="shared" si="44"/>
        <v>0</v>
      </c>
      <c r="S60" s="2"/>
      <c r="T60" s="6">
        <v>1980.45</v>
      </c>
      <c r="U60" s="2"/>
      <c r="V60" s="7">
        <f t="shared" si="45"/>
        <v>0</v>
      </c>
      <c r="W60" s="2"/>
      <c r="X60" s="6">
        <f t="shared" si="46"/>
        <v>840.89999999999986</v>
      </c>
      <c r="Y60" s="2"/>
      <c r="Z60" s="7">
        <f t="shared" si="47"/>
        <v>0.42460046959024456</v>
      </c>
    </row>
    <row r="61" spans="1:26" s="29" customFormat="1" outlineLevel="1" collapsed="1" x14ac:dyDescent="0.3">
      <c r="A61" s="27"/>
      <c r="B61" s="14" t="str">
        <f>CONCATENATE("     ","Training                                          ")</f>
        <v xml:space="preserve">     Training                                          </v>
      </c>
      <c r="C61" s="14"/>
      <c r="D61" s="1">
        <f>SUM(OSRRefD22_12x_0)</f>
        <v>0</v>
      </c>
      <c r="E61" s="1"/>
      <c r="F61" s="5">
        <f t="shared" si="40"/>
        <v>0</v>
      </c>
      <c r="G61" s="1"/>
      <c r="H61" s="1">
        <f>SUM(OSRRefH22_12x_0)</f>
        <v>0</v>
      </c>
      <c r="I61" s="1"/>
      <c r="J61" s="5">
        <f t="shared" si="41"/>
        <v>0</v>
      </c>
      <c r="K61" s="1"/>
      <c r="L61" s="1">
        <f t="shared" si="42"/>
        <v>0</v>
      </c>
      <c r="M61" s="1"/>
      <c r="N61" s="5">
        <f t="shared" si="43"/>
        <v>0</v>
      </c>
      <c r="O61" s="14"/>
      <c r="P61" s="1">
        <f>SUM(OSRRefP22_12x_0)</f>
        <v>475</v>
      </c>
      <c r="Q61" s="1"/>
      <c r="R61" s="5">
        <f t="shared" si="44"/>
        <v>0</v>
      </c>
      <c r="S61" s="1"/>
      <c r="T61" s="1">
        <f>SUM(OSRRefT22_12x_0)</f>
        <v>-97</v>
      </c>
      <c r="U61" s="1"/>
      <c r="V61" s="5">
        <f t="shared" si="45"/>
        <v>0</v>
      </c>
      <c r="W61" s="1"/>
      <c r="X61" s="1">
        <f t="shared" si="46"/>
        <v>572</v>
      </c>
      <c r="Y61" s="1"/>
      <c r="Z61" s="5">
        <f t="shared" si="47"/>
        <v>-5.8969072164948457</v>
      </c>
    </row>
    <row r="62" spans="1:26" s="24" customFormat="1" hidden="1" outlineLevel="2" x14ac:dyDescent="0.3">
      <c r="A62" s="28"/>
      <c r="B62" s="11" t="str">
        <f>CONCATENATE("          ", "6376", " - ", "TRAINING")</f>
        <v xml:space="preserve">          6376 - TRAINING</v>
      </c>
      <c r="C62" s="11"/>
      <c r="D62" s="6"/>
      <c r="E62" s="2"/>
      <c r="F62" s="7">
        <f t="shared" si="40"/>
        <v>0</v>
      </c>
      <c r="G62" s="2"/>
      <c r="H62" s="6"/>
      <c r="I62" s="2"/>
      <c r="J62" s="7">
        <f t="shared" si="41"/>
        <v>0</v>
      </c>
      <c r="K62" s="2"/>
      <c r="L62" s="6">
        <f t="shared" si="42"/>
        <v>0</v>
      </c>
      <c r="M62" s="2"/>
      <c r="N62" s="7">
        <f t="shared" si="43"/>
        <v>0</v>
      </c>
      <c r="O62" s="11"/>
      <c r="P62" s="6">
        <v>475</v>
      </c>
      <c r="Q62" s="2"/>
      <c r="R62" s="7">
        <f t="shared" si="44"/>
        <v>0</v>
      </c>
      <c r="S62" s="2"/>
      <c r="T62" s="6">
        <v>-97</v>
      </c>
      <c r="U62" s="2"/>
      <c r="V62" s="7">
        <f t="shared" si="45"/>
        <v>0</v>
      </c>
      <c r="W62" s="2"/>
      <c r="X62" s="6">
        <f t="shared" si="46"/>
        <v>572</v>
      </c>
      <c r="Y62" s="2"/>
      <c r="Z62" s="7">
        <f t="shared" si="47"/>
        <v>-5.8969072164948457</v>
      </c>
    </row>
    <row r="63" spans="1:26" s="29" customFormat="1" outlineLevel="1" collapsed="1" x14ac:dyDescent="0.3">
      <c r="A63" s="27"/>
      <c r="B63" s="14" t="str">
        <f>CONCATENATE("     ","Travel                                            ")</f>
        <v xml:space="preserve">     Travel                                            </v>
      </c>
      <c r="C63" s="14"/>
      <c r="D63" s="1">
        <f>SUM(OSRRefD22_13x_0)</f>
        <v>0</v>
      </c>
      <c r="E63" s="1"/>
      <c r="F63" s="5">
        <f t="shared" si="40"/>
        <v>0</v>
      </c>
      <c r="G63" s="1"/>
      <c r="H63" s="1">
        <f>SUM(OSRRefH22_13x_0)</f>
        <v>0</v>
      </c>
      <c r="I63" s="1"/>
      <c r="J63" s="5">
        <f t="shared" si="41"/>
        <v>0</v>
      </c>
      <c r="K63" s="1"/>
      <c r="L63" s="1">
        <f t="shared" si="42"/>
        <v>0</v>
      </c>
      <c r="M63" s="1"/>
      <c r="N63" s="5">
        <f t="shared" si="43"/>
        <v>0</v>
      </c>
      <c r="O63" s="14"/>
      <c r="P63" s="1">
        <f>SUM(OSRRefP22_13x_0)</f>
        <v>0</v>
      </c>
      <c r="Q63" s="1"/>
      <c r="R63" s="5">
        <f t="shared" si="44"/>
        <v>0</v>
      </c>
      <c r="S63" s="1"/>
      <c r="T63" s="1">
        <f>SUM(OSRRefT22_13x_0)</f>
        <v>720</v>
      </c>
      <c r="U63" s="1"/>
      <c r="V63" s="5">
        <f t="shared" si="45"/>
        <v>0</v>
      </c>
      <c r="W63" s="1"/>
      <c r="X63" s="1">
        <f t="shared" si="46"/>
        <v>-720</v>
      </c>
      <c r="Y63" s="1"/>
      <c r="Z63" s="5">
        <f t="shared" si="47"/>
        <v>-1</v>
      </c>
    </row>
    <row r="64" spans="1:26" s="24" customFormat="1" hidden="1" outlineLevel="2" x14ac:dyDescent="0.3">
      <c r="A64" s="28"/>
      <c r="B64" s="11" t="str">
        <f>CONCATENATE("          ", "6292", " - ", "TRAVEL/CONFERENCE")</f>
        <v xml:space="preserve">          6292 - TRAVEL/CONFERENCE</v>
      </c>
      <c r="C64" s="11"/>
      <c r="D64" s="6"/>
      <c r="E64" s="2"/>
      <c r="F64" s="7">
        <f t="shared" si="40"/>
        <v>0</v>
      </c>
      <c r="G64" s="2"/>
      <c r="H64" s="6"/>
      <c r="I64" s="2"/>
      <c r="J64" s="7">
        <f t="shared" si="41"/>
        <v>0</v>
      </c>
      <c r="K64" s="2"/>
      <c r="L64" s="6">
        <f t="shared" si="42"/>
        <v>0</v>
      </c>
      <c r="M64" s="2"/>
      <c r="N64" s="7">
        <f t="shared" si="43"/>
        <v>0</v>
      </c>
      <c r="O64" s="11"/>
      <c r="P64" s="6"/>
      <c r="Q64" s="2"/>
      <c r="R64" s="7">
        <f t="shared" si="44"/>
        <v>0</v>
      </c>
      <c r="S64" s="2"/>
      <c r="T64" s="6">
        <v>720</v>
      </c>
      <c r="U64" s="2"/>
      <c r="V64" s="7">
        <f t="shared" si="45"/>
        <v>0</v>
      </c>
      <c r="W64" s="2"/>
      <c r="X64" s="6">
        <f t="shared" si="46"/>
        <v>-720</v>
      </c>
      <c r="Y64" s="2"/>
      <c r="Z64" s="7">
        <f t="shared" si="47"/>
        <v>-1</v>
      </c>
    </row>
    <row r="65" spans="1:26" s="53" customFormat="1" x14ac:dyDescent="0.3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3">
      <c r="A66" s="10"/>
      <c r="B66" s="25" t="s">
        <v>292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3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3">
      <c r="A68" s="10"/>
      <c r="B68" s="26" t="s">
        <v>276</v>
      </c>
      <c r="C68" s="26"/>
      <c r="D68" s="20">
        <f>+D16-D18+D66</f>
        <v>-55888.94</v>
      </c>
      <c r="E68" s="13"/>
      <c r="F68" s="21">
        <f>IF(D$12=0,0,D68/D$12)</f>
        <v>0</v>
      </c>
      <c r="G68" s="13"/>
      <c r="H68" s="20">
        <f>+H16-H18+H66</f>
        <v>-41240.700000000004</v>
      </c>
      <c r="I68" s="13"/>
      <c r="J68" s="21">
        <f>IF(H$12=0,0,H68/H$12)</f>
        <v>0</v>
      </c>
      <c r="K68" s="15"/>
      <c r="L68" s="20">
        <f>+D68-H68</f>
        <v>-14648.239999999998</v>
      </c>
      <c r="M68" s="15"/>
      <c r="N68" s="21">
        <f>IF(H68=0,0,L68/H68)</f>
        <v>0.35518892744303554</v>
      </c>
      <c r="O68" s="25"/>
      <c r="P68" s="20">
        <f>+P16-P18+P66</f>
        <v>-319734.90000000002</v>
      </c>
      <c r="Q68" s="13"/>
      <c r="R68" s="21">
        <f>IF(P$12=0,0,P68/P$12)</f>
        <v>0</v>
      </c>
      <c r="S68" s="13"/>
      <c r="T68" s="20">
        <f>+T16-T18+T66</f>
        <v>-271629.11000000004</v>
      </c>
      <c r="U68" s="13"/>
      <c r="V68" s="21">
        <f>IF(T$12=0,0,T68/T$12)</f>
        <v>0</v>
      </c>
      <c r="W68" s="15"/>
      <c r="X68" s="20">
        <f>+P68-T68</f>
        <v>-48105.789999999979</v>
      </c>
      <c r="Y68" s="15"/>
      <c r="Z68" s="21">
        <f>IF(T68=0,0,X68/T68)</f>
        <v>0.17710101100725165</v>
      </c>
    </row>
    <row r="69" spans="1:26" x14ac:dyDescent="0.3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3">
      <c r="A70" s="51"/>
      <c r="B70" s="10" t="s">
        <v>127</v>
      </c>
      <c r="C70" s="10"/>
      <c r="D70" s="4"/>
      <c r="E70" s="4"/>
      <c r="F70" s="12">
        <f>IF(D$12=0,0,D70/D$12)</f>
        <v>0</v>
      </c>
      <c r="G70" s="4"/>
      <c r="H70" s="4"/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/>
      <c r="Q70" s="4"/>
      <c r="R70" s="12">
        <f>IF(P$12=0,0,P70/P$12)</f>
        <v>0</v>
      </c>
      <c r="S70" s="4"/>
      <c r="T70" s="4"/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3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" thickBot="1" x14ac:dyDescent="0.35">
      <c r="A72" s="10"/>
      <c r="B72" s="26" t="s">
        <v>125</v>
      </c>
      <c r="C72" s="26"/>
      <c r="D72" s="32">
        <f>+D68-D70</f>
        <v>-55888.94</v>
      </c>
      <c r="E72" s="13"/>
      <c r="F72" s="35">
        <f>IF(D$12=0,0,D72/D$12)</f>
        <v>0</v>
      </c>
      <c r="G72" s="13"/>
      <c r="H72" s="32">
        <f>+H68-H70</f>
        <v>-41240.700000000004</v>
      </c>
      <c r="I72" s="13"/>
      <c r="J72" s="35">
        <f>IF(H$12=0,0,H72/H$12)</f>
        <v>0</v>
      </c>
      <c r="K72" s="15"/>
      <c r="L72" s="32">
        <f>D72-H72</f>
        <v>-14648.239999999998</v>
      </c>
      <c r="M72" s="15"/>
      <c r="N72" s="35">
        <f>IF(H72=0,0,L72/H72)</f>
        <v>0.35518892744303554</v>
      </c>
      <c r="O72" s="25"/>
      <c r="P72" s="32">
        <f>+P68-P70</f>
        <v>-319734.90000000002</v>
      </c>
      <c r="Q72" s="13"/>
      <c r="R72" s="35">
        <f>IF(P$12=0,0,P72/P$12)</f>
        <v>0</v>
      </c>
      <c r="S72" s="13"/>
      <c r="T72" s="32">
        <f>+T68-T70</f>
        <v>-271629.11000000004</v>
      </c>
      <c r="U72" s="13"/>
      <c r="V72" s="35">
        <f>IF(T$12=0,0,T72/T$12)</f>
        <v>0</v>
      </c>
      <c r="W72" s="15"/>
      <c r="X72" s="32">
        <f>P72-T72</f>
        <v>-48105.789999999979</v>
      </c>
      <c r="Y72" s="15"/>
      <c r="Z72" s="35">
        <f>IF(T72=0,0,X72/T72)</f>
        <v>0.17710101100725165</v>
      </c>
    </row>
    <row r="73" spans="1:26" ht="15" thickTop="1" x14ac:dyDescent="0.3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3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" thickBot="1" x14ac:dyDescent="0.35">
      <c r="A75" s="10"/>
      <c r="B75" s="26" t="s">
        <v>293</v>
      </c>
      <c r="C75" s="26"/>
      <c r="D75" s="31">
        <f>SUM(D72:D74)</f>
        <v>-55888.94</v>
      </c>
      <c r="E75" s="13"/>
      <c r="F75" s="33">
        <f>IF(D$12=0,0,D75/D$12)</f>
        <v>0</v>
      </c>
      <c r="G75" s="13"/>
      <c r="H75" s="31">
        <f>SUM(H72:H74)</f>
        <v>-41240.700000000004</v>
      </c>
      <c r="I75" s="13"/>
      <c r="J75" s="33">
        <f>IF(H$12=0,0,H75/H$12)</f>
        <v>0</v>
      </c>
      <c r="K75" s="15"/>
      <c r="L75" s="31">
        <f>+D75-H75</f>
        <v>-14648.239999999998</v>
      </c>
      <c r="M75" s="15"/>
      <c r="N75" s="33">
        <f>IF(H75=0,0,L75/H75)</f>
        <v>0.35518892744303554</v>
      </c>
      <c r="O75" s="25"/>
      <c r="P75" s="31">
        <f>SUM(P72:P74)</f>
        <v>-319734.90000000002</v>
      </c>
      <c r="Q75" s="13"/>
      <c r="R75" s="33">
        <f>IF(P$12=0,0,P75/P$12)</f>
        <v>0</v>
      </c>
      <c r="S75" s="13"/>
      <c r="T75" s="31">
        <f>SUM(T72:T74)</f>
        <v>-271629.11000000004</v>
      </c>
      <c r="U75" s="13"/>
      <c r="V75" s="33">
        <f>IF(T$12=0,0,T75/T$12)</f>
        <v>0</v>
      </c>
      <c r="W75" s="15"/>
      <c r="X75" s="31">
        <f>+P75-T75</f>
        <v>-48105.789999999979</v>
      </c>
      <c r="Y75" s="15"/>
      <c r="Z75" s="33">
        <f>IF(T75=0,0,X75/T75)</f>
        <v>0.17710101100725165</v>
      </c>
    </row>
    <row r="76" spans="1:26" ht="15" thickTop="1" x14ac:dyDescent="0.3">
      <c r="A76" s="9"/>
      <c r="C76" s="9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3">
      <c r="A77" s="9"/>
      <c r="B77" s="60">
        <v>44575.854680405093</v>
      </c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3">
      <c r="A78" s="9"/>
      <c r="B78" s="57" t="s">
        <v>56</v>
      </c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3">
      <c r="A79" s="9"/>
      <c r="B79" s="59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3"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outlinePr summaryBelow="0" summaryRight="0"/>
  </sheetPr>
  <dimension ref="A2:Z6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","204", " - ", "Information Technology")</f>
        <v>Department 204 - Information Technology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22">
        <f>SUM(OSRRefD22x_0)</f>
        <v>45531.519999999997</v>
      </c>
      <c r="E18" s="22"/>
      <c r="F18" s="34">
        <f t="shared" ref="F18:F28" si="0">IF(D$12=0,0,D18/D$12)</f>
        <v>0</v>
      </c>
      <c r="G18" s="22"/>
      <c r="H18" s="22">
        <f>SUM(OSRRefH22x_0)</f>
        <v>44863.99</v>
      </c>
      <c r="I18" s="22"/>
      <c r="J18" s="34">
        <f t="shared" ref="J18:J28" si="1">IF(H$12=0,0,H18/H$12)</f>
        <v>0</v>
      </c>
      <c r="K18" s="4"/>
      <c r="L18" s="22">
        <f t="shared" ref="L18:L28" si="2">+D18-H18</f>
        <v>667.52999999999884</v>
      </c>
      <c r="M18" s="4"/>
      <c r="N18" s="34">
        <f t="shared" ref="N18:N28" si="3">IF(H18=0,0,L18/H18)</f>
        <v>1.4878970862823367E-2</v>
      </c>
      <c r="O18" s="10"/>
      <c r="P18" s="22">
        <f>SUM(OSRRefP22x_0)</f>
        <v>267959.36000000004</v>
      </c>
      <c r="Q18" s="22"/>
      <c r="R18" s="34">
        <f t="shared" ref="R18:R28" si="4">IF(P$12=0,0,P18/P$12)</f>
        <v>0</v>
      </c>
      <c r="S18" s="22"/>
      <c r="T18" s="22">
        <f>SUM(OSRRefT22x_0)</f>
        <v>306555.24000000005</v>
      </c>
      <c r="U18" s="22"/>
      <c r="V18" s="34">
        <f t="shared" ref="V18:V28" si="5">IF(T$12=0,0,T18/T$12)</f>
        <v>0</v>
      </c>
      <c r="W18" s="4"/>
      <c r="X18" s="22">
        <f t="shared" ref="X18:X28" si="6">+P18-T18</f>
        <v>-38595.880000000005</v>
      </c>
      <c r="Y18" s="4"/>
      <c r="Z18" s="34">
        <f t="shared" ref="Z18:Z28" si="7">IF(T18=0,0,X18/T18)</f>
        <v>-0.12590187660794838</v>
      </c>
    </row>
    <row r="19" spans="1:26" s="29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11086.919999999998</v>
      </c>
      <c r="E19" s="1"/>
      <c r="F19" s="5">
        <f t="shared" si="0"/>
        <v>0</v>
      </c>
      <c r="G19" s="1"/>
      <c r="H19" s="1">
        <f>SUM(OSRRefH22_0x_0)</f>
        <v>11286.69</v>
      </c>
      <c r="I19" s="1"/>
      <c r="J19" s="5">
        <f t="shared" si="1"/>
        <v>0</v>
      </c>
      <c r="K19" s="1"/>
      <c r="L19" s="1">
        <f t="shared" si="2"/>
        <v>-199.77000000000226</v>
      </c>
      <c r="M19" s="1"/>
      <c r="N19" s="5">
        <f t="shared" si="3"/>
        <v>-1.7699609008487188E-2</v>
      </c>
      <c r="O19" s="14"/>
      <c r="P19" s="1">
        <f>SUM(OSRRefP22_0x_0)</f>
        <v>67332.030000000013</v>
      </c>
      <c r="Q19" s="1"/>
      <c r="R19" s="5">
        <f t="shared" si="4"/>
        <v>0</v>
      </c>
      <c r="S19" s="1"/>
      <c r="T19" s="1">
        <f>SUM(OSRRefT22_0x_0)</f>
        <v>77088.929999999978</v>
      </c>
      <c r="U19" s="1"/>
      <c r="V19" s="5">
        <f t="shared" si="5"/>
        <v>0</v>
      </c>
      <c r="W19" s="1"/>
      <c r="X19" s="1">
        <f t="shared" si="6"/>
        <v>-9756.8999999999651</v>
      </c>
      <c r="Y19" s="1"/>
      <c r="Z19" s="5">
        <f t="shared" si="7"/>
        <v>-0.12656681056540761</v>
      </c>
    </row>
    <row r="20" spans="1:26" s="24" customFormat="1" hidden="1" outlineLevel="2" x14ac:dyDescent="0.3">
      <c r="A20" s="28"/>
      <c r="B20" s="11" t="str">
        <f>CONCATENATE("          ", "6111", " - ", "F.I.C.A.")</f>
        <v xml:space="preserve">          6111 - F.I.C.A.</v>
      </c>
      <c r="C20" s="11"/>
      <c r="D20" s="6">
        <v>1498.83</v>
      </c>
      <c r="E20" s="2"/>
      <c r="F20" s="7">
        <f t="shared" si="0"/>
        <v>0</v>
      </c>
      <c r="G20" s="2"/>
      <c r="H20" s="6">
        <v>1398.36</v>
      </c>
      <c r="I20" s="2"/>
      <c r="J20" s="7">
        <f t="shared" si="1"/>
        <v>0</v>
      </c>
      <c r="K20" s="2"/>
      <c r="L20" s="6">
        <f t="shared" si="2"/>
        <v>100.47000000000003</v>
      </c>
      <c r="M20" s="2"/>
      <c r="N20" s="7">
        <f t="shared" si="3"/>
        <v>7.1848451042649988E-2</v>
      </c>
      <c r="O20" s="11"/>
      <c r="P20" s="6">
        <v>9343.32</v>
      </c>
      <c r="Q20" s="2"/>
      <c r="R20" s="7">
        <f t="shared" si="4"/>
        <v>0</v>
      </c>
      <c r="S20" s="2"/>
      <c r="T20" s="6">
        <v>11290.57</v>
      </c>
      <c r="U20" s="2"/>
      <c r="V20" s="7">
        <f t="shared" si="5"/>
        <v>0</v>
      </c>
      <c r="W20" s="2"/>
      <c r="X20" s="6">
        <f t="shared" si="6"/>
        <v>-1947.25</v>
      </c>
      <c r="Y20" s="2"/>
      <c r="Z20" s="7">
        <f t="shared" si="7"/>
        <v>-0.1724669347960289</v>
      </c>
    </row>
    <row r="21" spans="1:26" s="24" customFormat="1" hidden="1" outlineLevel="2" x14ac:dyDescent="0.3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245.51</v>
      </c>
      <c r="E21" s="2"/>
      <c r="F21" s="7">
        <f t="shared" si="0"/>
        <v>0</v>
      </c>
      <c r="G21" s="2"/>
      <c r="H21" s="6">
        <v>194.42</v>
      </c>
      <c r="I21" s="2"/>
      <c r="J21" s="7">
        <f t="shared" si="1"/>
        <v>0</v>
      </c>
      <c r="K21" s="2"/>
      <c r="L21" s="6">
        <f t="shared" si="2"/>
        <v>51.09</v>
      </c>
      <c r="M21" s="2"/>
      <c r="N21" s="7">
        <f t="shared" si="3"/>
        <v>0.262781606830573</v>
      </c>
      <c r="O21" s="11"/>
      <c r="P21" s="6">
        <v>1568.31</v>
      </c>
      <c r="Q21" s="2"/>
      <c r="R21" s="7">
        <f t="shared" si="4"/>
        <v>0</v>
      </c>
      <c r="S21" s="2"/>
      <c r="T21" s="6">
        <v>673.56</v>
      </c>
      <c r="U21" s="2"/>
      <c r="V21" s="7">
        <f t="shared" si="5"/>
        <v>0</v>
      </c>
      <c r="W21" s="2"/>
      <c r="X21" s="6">
        <f t="shared" si="6"/>
        <v>894.75</v>
      </c>
      <c r="Y21" s="2"/>
      <c r="Z21" s="7">
        <f t="shared" si="7"/>
        <v>1.3283894530554072</v>
      </c>
    </row>
    <row r="22" spans="1:26" s="24" customFormat="1" hidden="1" outlineLevel="2" x14ac:dyDescent="0.3">
      <c r="A22" s="28"/>
      <c r="B22" s="11" t="str">
        <f>CONCATENATE("          ", "6113", " - ", "GROUP INSURANCE")</f>
        <v xml:space="preserve">          6113 - GROUP INSURANCE</v>
      </c>
      <c r="C22" s="11"/>
      <c r="D22" s="6">
        <v>4833.2700000000004</v>
      </c>
      <c r="E22" s="2"/>
      <c r="F22" s="7">
        <f t="shared" si="0"/>
        <v>0</v>
      </c>
      <c r="G22" s="2"/>
      <c r="H22" s="6">
        <v>5541.03</v>
      </c>
      <c r="I22" s="2"/>
      <c r="J22" s="7">
        <f t="shared" si="1"/>
        <v>0</v>
      </c>
      <c r="K22" s="2"/>
      <c r="L22" s="6">
        <f t="shared" si="2"/>
        <v>-707.75999999999931</v>
      </c>
      <c r="M22" s="2"/>
      <c r="N22" s="7">
        <f t="shared" si="3"/>
        <v>-0.12773076485779708</v>
      </c>
      <c r="O22" s="11"/>
      <c r="P22" s="6">
        <v>29033.37</v>
      </c>
      <c r="Q22" s="2"/>
      <c r="R22" s="7">
        <f t="shared" si="4"/>
        <v>0</v>
      </c>
      <c r="S22" s="2"/>
      <c r="T22" s="6">
        <v>33380.379999999997</v>
      </c>
      <c r="U22" s="2"/>
      <c r="V22" s="7">
        <f t="shared" si="5"/>
        <v>0</v>
      </c>
      <c r="W22" s="2"/>
      <c r="X22" s="6">
        <f t="shared" si="6"/>
        <v>-4347.0099999999984</v>
      </c>
      <c r="Y22" s="2"/>
      <c r="Z22" s="7">
        <f t="shared" si="7"/>
        <v>-0.13022649832027072</v>
      </c>
    </row>
    <row r="23" spans="1:26" s="24" customFormat="1" hidden="1" outlineLevel="2" x14ac:dyDescent="0.3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49.48</v>
      </c>
      <c r="E23" s="2"/>
      <c r="F23" s="7">
        <f t="shared" si="0"/>
        <v>0</v>
      </c>
      <c r="G23" s="2"/>
      <c r="H23" s="6"/>
      <c r="I23" s="2"/>
      <c r="J23" s="7">
        <f t="shared" si="1"/>
        <v>0</v>
      </c>
      <c r="K23" s="2"/>
      <c r="L23" s="6">
        <f t="shared" si="2"/>
        <v>49.48</v>
      </c>
      <c r="M23" s="2"/>
      <c r="N23" s="7">
        <f t="shared" si="3"/>
        <v>0</v>
      </c>
      <c r="O23" s="11"/>
      <c r="P23" s="6">
        <v>316.08</v>
      </c>
      <c r="Q23" s="2"/>
      <c r="R23" s="7">
        <f t="shared" si="4"/>
        <v>0</v>
      </c>
      <c r="S23" s="2"/>
      <c r="T23" s="6">
        <v>338.33</v>
      </c>
      <c r="U23" s="2"/>
      <c r="V23" s="7">
        <f t="shared" si="5"/>
        <v>0</v>
      </c>
      <c r="W23" s="2"/>
      <c r="X23" s="6">
        <f t="shared" si="6"/>
        <v>-22.25</v>
      </c>
      <c r="Y23" s="2"/>
      <c r="Z23" s="7">
        <f t="shared" si="7"/>
        <v>-6.5764194721130265E-2</v>
      </c>
    </row>
    <row r="24" spans="1:26" s="24" customFormat="1" hidden="1" outlineLevel="2" x14ac:dyDescent="0.3">
      <c r="A24" s="28"/>
      <c r="B24" s="11" t="str">
        <f>CONCATENATE("          ", "6115", " - ", "P.E.R.S.")</f>
        <v xml:space="preserve">          6115 - P.E.R.S.</v>
      </c>
      <c r="C24" s="11"/>
      <c r="D24" s="6">
        <v>1907.46</v>
      </c>
      <c r="E24" s="2"/>
      <c r="F24" s="7">
        <f t="shared" si="0"/>
        <v>0</v>
      </c>
      <c r="G24" s="2"/>
      <c r="H24" s="6">
        <v>1861.21</v>
      </c>
      <c r="I24" s="2"/>
      <c r="J24" s="7">
        <f t="shared" si="1"/>
        <v>0</v>
      </c>
      <c r="K24" s="2"/>
      <c r="L24" s="6">
        <f t="shared" si="2"/>
        <v>46.25</v>
      </c>
      <c r="M24" s="2"/>
      <c r="N24" s="7">
        <f t="shared" si="3"/>
        <v>2.4849425911100842E-2</v>
      </c>
      <c r="O24" s="11"/>
      <c r="P24" s="6">
        <v>12068.4</v>
      </c>
      <c r="Q24" s="2"/>
      <c r="R24" s="7">
        <f t="shared" si="4"/>
        <v>0</v>
      </c>
      <c r="S24" s="2"/>
      <c r="T24" s="6">
        <v>13553.09</v>
      </c>
      <c r="U24" s="2"/>
      <c r="V24" s="7">
        <f t="shared" si="5"/>
        <v>0</v>
      </c>
      <c r="W24" s="2"/>
      <c r="X24" s="6">
        <f t="shared" si="6"/>
        <v>-1484.6900000000005</v>
      </c>
      <c r="Y24" s="2"/>
      <c r="Z24" s="7">
        <f t="shared" si="7"/>
        <v>-0.10954623631954045</v>
      </c>
    </row>
    <row r="25" spans="1:26" s="24" customFormat="1" hidden="1" outlineLevel="2" x14ac:dyDescent="0.3">
      <c r="A25" s="28"/>
      <c r="B25" s="11" t="str">
        <f>CONCATENATE("          ", "6117", " - ", "RETIREMENT STAFF HOURLY")</f>
        <v xml:space="preserve">          6117 - RETIREMENT STAFF HOURLY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912.28</v>
      </c>
      <c r="U25" s="2"/>
      <c r="V25" s="7">
        <f t="shared" si="5"/>
        <v>0</v>
      </c>
      <c r="W25" s="2"/>
      <c r="X25" s="6">
        <f t="shared" si="6"/>
        <v>-912.28</v>
      </c>
      <c r="Y25" s="2"/>
      <c r="Z25" s="7">
        <f t="shared" si="7"/>
        <v>-1</v>
      </c>
    </row>
    <row r="26" spans="1:26" s="24" customFormat="1" hidden="1" outlineLevel="2" x14ac:dyDescent="0.3">
      <c r="A26" s="28"/>
      <c r="B26" s="11" t="str">
        <f>CONCATENATE("          ", "6118", " - ", "VACATION")</f>
        <v xml:space="preserve">          6118 - VACATION</v>
      </c>
      <c r="C26" s="11"/>
      <c r="D26" s="6">
        <v>1493.96</v>
      </c>
      <c r="E26" s="2"/>
      <c r="F26" s="7">
        <f t="shared" si="0"/>
        <v>0</v>
      </c>
      <c r="G26" s="2"/>
      <c r="H26" s="6">
        <v>1345.28</v>
      </c>
      <c r="I26" s="2"/>
      <c r="J26" s="7">
        <f t="shared" si="1"/>
        <v>0</v>
      </c>
      <c r="K26" s="2"/>
      <c r="L26" s="6">
        <f t="shared" si="2"/>
        <v>148.68000000000006</v>
      </c>
      <c r="M26" s="2"/>
      <c r="N26" s="7">
        <f t="shared" si="3"/>
        <v>0.11051974310180786</v>
      </c>
      <c r="O26" s="11"/>
      <c r="P26" s="6">
        <v>8158.22</v>
      </c>
      <c r="Q26" s="2"/>
      <c r="R26" s="7">
        <f t="shared" si="4"/>
        <v>0</v>
      </c>
      <c r="S26" s="2"/>
      <c r="T26" s="6">
        <v>9391.1200000000008</v>
      </c>
      <c r="U26" s="2"/>
      <c r="V26" s="7">
        <f t="shared" si="5"/>
        <v>0</v>
      </c>
      <c r="W26" s="2"/>
      <c r="X26" s="6">
        <f t="shared" si="6"/>
        <v>-1232.9000000000005</v>
      </c>
      <c r="Y26" s="2"/>
      <c r="Z26" s="7">
        <f t="shared" si="7"/>
        <v>-0.13128359556687599</v>
      </c>
    </row>
    <row r="27" spans="1:26" s="24" customFormat="1" hidden="1" outlineLevel="2" x14ac:dyDescent="0.3">
      <c r="A27" s="28"/>
      <c r="B27" s="11" t="str">
        <f>CONCATENATE("          ", "6119", " - ", "SICK LEAVE")</f>
        <v xml:space="preserve">          6119 - SICK LEAVE</v>
      </c>
      <c r="C27" s="11"/>
      <c r="D27" s="6">
        <v>877.84</v>
      </c>
      <c r="E27" s="2"/>
      <c r="F27" s="7">
        <f t="shared" si="0"/>
        <v>0</v>
      </c>
      <c r="G27" s="2"/>
      <c r="H27" s="6">
        <v>844.06</v>
      </c>
      <c r="I27" s="2"/>
      <c r="J27" s="7">
        <f t="shared" si="1"/>
        <v>0</v>
      </c>
      <c r="K27" s="2"/>
      <c r="L27" s="6">
        <f t="shared" si="2"/>
        <v>33.780000000000086</v>
      </c>
      <c r="M27" s="2"/>
      <c r="N27" s="7">
        <f t="shared" si="3"/>
        <v>4.002085159822772E-2</v>
      </c>
      <c r="O27" s="11"/>
      <c r="P27" s="6">
        <v>5553.95</v>
      </c>
      <c r="Q27" s="2"/>
      <c r="R27" s="7">
        <f t="shared" si="4"/>
        <v>0</v>
      </c>
      <c r="S27" s="2"/>
      <c r="T27" s="6">
        <v>6261.29</v>
      </c>
      <c r="U27" s="2"/>
      <c r="V27" s="7">
        <f t="shared" si="5"/>
        <v>0</v>
      </c>
      <c r="W27" s="2"/>
      <c r="X27" s="6">
        <f t="shared" si="6"/>
        <v>-707.34000000000015</v>
      </c>
      <c r="Y27" s="2"/>
      <c r="Z27" s="7">
        <f t="shared" si="7"/>
        <v>-0.11297033039517418</v>
      </c>
    </row>
    <row r="28" spans="1:26" s="24" customFormat="1" hidden="1" outlineLevel="2" x14ac:dyDescent="0.3">
      <c r="A28" s="28"/>
      <c r="B28" s="11" t="str">
        <f>CONCATENATE("          ", "6156", " - ", "EMPLOYEE MEALS")</f>
        <v xml:space="preserve">          6156 - EMPLOYEE MEALS</v>
      </c>
      <c r="C28" s="11"/>
      <c r="D28" s="6">
        <v>180.57</v>
      </c>
      <c r="E28" s="2"/>
      <c r="F28" s="7">
        <f t="shared" si="0"/>
        <v>0</v>
      </c>
      <c r="G28" s="2"/>
      <c r="H28" s="6">
        <v>102.33</v>
      </c>
      <c r="I28" s="2"/>
      <c r="J28" s="7">
        <f t="shared" si="1"/>
        <v>0</v>
      </c>
      <c r="K28" s="2"/>
      <c r="L28" s="6">
        <f t="shared" si="2"/>
        <v>78.239999999999995</v>
      </c>
      <c r="M28" s="2"/>
      <c r="N28" s="7">
        <f t="shared" si="3"/>
        <v>0.76458516564057455</v>
      </c>
      <c r="O28" s="11"/>
      <c r="P28" s="6">
        <v>1290.3800000000001</v>
      </c>
      <c r="Q28" s="2"/>
      <c r="R28" s="7">
        <f t="shared" si="4"/>
        <v>0</v>
      </c>
      <c r="S28" s="2"/>
      <c r="T28" s="6">
        <v>1288.31</v>
      </c>
      <c r="U28" s="2"/>
      <c r="V28" s="7">
        <f t="shared" si="5"/>
        <v>0</v>
      </c>
      <c r="W28" s="2"/>
      <c r="X28" s="6">
        <f t="shared" si="6"/>
        <v>2.0700000000001637</v>
      </c>
      <c r="Y28" s="2"/>
      <c r="Z28" s="7">
        <f t="shared" si="7"/>
        <v>1.6067561378861948E-3</v>
      </c>
    </row>
    <row r="29" spans="1:26" s="29" customFormat="1" outlineLevel="1" collapsed="1" x14ac:dyDescent="0.3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18389.099999999999</v>
      </c>
      <c r="E29" s="1"/>
      <c r="F29" s="5">
        <f t="shared" ref="F29:F32" si="8">IF(D$12=0,0,D29/D$12)</f>
        <v>0</v>
      </c>
      <c r="G29" s="1"/>
      <c r="H29" s="1">
        <f>SUM(OSRRefH22_1x_0)</f>
        <v>16907.8</v>
      </c>
      <c r="I29" s="1"/>
      <c r="J29" s="5">
        <f t="shared" ref="J29:J32" si="9">IF(H$12=0,0,H29/H$12)</f>
        <v>0</v>
      </c>
      <c r="K29" s="1"/>
      <c r="L29" s="1">
        <f t="shared" ref="L29:L32" si="10">+D29-H29</f>
        <v>1481.2999999999993</v>
      </c>
      <c r="M29" s="1"/>
      <c r="N29" s="5">
        <f t="shared" ref="N29:N32" si="11">IF(H29=0,0,L29/H29)</f>
        <v>8.7610451980742576E-2</v>
      </c>
      <c r="O29" s="14"/>
      <c r="P29" s="1">
        <f>SUM(OSRRefP22_1x_0)</f>
        <v>111027.99</v>
      </c>
      <c r="Q29" s="1"/>
      <c r="R29" s="5">
        <f t="shared" ref="R29:R32" si="12">IF(P$12=0,0,P29/P$12)</f>
        <v>0</v>
      </c>
      <c r="S29" s="1"/>
      <c r="T29" s="1">
        <f>SUM(OSRRefT22_1x_0)</f>
        <v>124226.35</v>
      </c>
      <c r="U29" s="1"/>
      <c r="V29" s="5">
        <f t="shared" ref="V29:V32" si="13">IF(T$12=0,0,T29/T$12)</f>
        <v>0</v>
      </c>
      <c r="W29" s="1"/>
      <c r="X29" s="1">
        <f t="shared" ref="X29:X32" si="14">+P29-T29</f>
        <v>-13198.36</v>
      </c>
      <c r="Y29" s="1"/>
      <c r="Z29" s="5">
        <f t="shared" ref="Z29:Z32" si="15">IF(T29=0,0,X29/T29)</f>
        <v>-0.1062444481384183</v>
      </c>
    </row>
    <row r="30" spans="1:26" s="24" customFormat="1" hidden="1" outlineLevel="2" x14ac:dyDescent="0.3">
      <c r="A30" s="28"/>
      <c r="B30" s="11" t="str">
        <f>CONCATENATE("          ", "6002", " - ", "STAFF SALARIES")</f>
        <v xml:space="preserve">          6002 - STAFF SALARIES</v>
      </c>
      <c r="C30" s="11"/>
      <c r="D30" s="6">
        <v>18389.099999999999</v>
      </c>
      <c r="E30" s="2"/>
      <c r="F30" s="7">
        <f t="shared" si="8"/>
        <v>0</v>
      </c>
      <c r="G30" s="2"/>
      <c r="H30" s="6">
        <v>16907.8</v>
      </c>
      <c r="I30" s="2"/>
      <c r="J30" s="7">
        <f t="shared" si="9"/>
        <v>0</v>
      </c>
      <c r="K30" s="2"/>
      <c r="L30" s="6">
        <f t="shared" si="10"/>
        <v>1481.2999999999993</v>
      </c>
      <c r="M30" s="2"/>
      <c r="N30" s="7">
        <f t="shared" si="11"/>
        <v>8.7610451980742576E-2</v>
      </c>
      <c r="O30" s="11"/>
      <c r="P30" s="6">
        <v>111027.99</v>
      </c>
      <c r="Q30" s="2"/>
      <c r="R30" s="7">
        <f t="shared" si="12"/>
        <v>0</v>
      </c>
      <c r="S30" s="2"/>
      <c r="T30" s="6">
        <v>110013.11</v>
      </c>
      <c r="U30" s="2"/>
      <c r="V30" s="7">
        <f t="shared" si="13"/>
        <v>0</v>
      </c>
      <c r="W30" s="2"/>
      <c r="X30" s="6">
        <f t="shared" si="14"/>
        <v>1014.8800000000047</v>
      </c>
      <c r="Y30" s="2"/>
      <c r="Z30" s="7">
        <f t="shared" si="15"/>
        <v>9.2250823560937837E-3</v>
      </c>
    </row>
    <row r="31" spans="1:26" s="24" customFormat="1" hidden="1" outlineLevel="2" x14ac:dyDescent="0.3">
      <c r="A31" s="28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14213.24</v>
      </c>
      <c r="U31" s="2"/>
      <c r="V31" s="7">
        <f t="shared" si="13"/>
        <v>0</v>
      </c>
      <c r="W31" s="2"/>
      <c r="X31" s="6">
        <f t="shared" si="14"/>
        <v>-14213.24</v>
      </c>
      <c r="Y31" s="2"/>
      <c r="Z31" s="7">
        <f t="shared" si="15"/>
        <v>-1</v>
      </c>
    </row>
    <row r="32" spans="1:26" s="24" customFormat="1" hidden="1" outlineLevel="2" x14ac:dyDescent="0.3">
      <c r="A32" s="28"/>
      <c r="B32" s="11" t="str">
        <f>CONCATENATE("          ", "6007", " - ", "STUDENT HOURLY")</f>
        <v xml:space="preserve">          6007 - STUDENT HOURLY</v>
      </c>
      <c r="C32" s="11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9" customFormat="1" outlineLevel="1" collapsed="1" x14ac:dyDescent="0.3">
      <c r="A33" s="27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SUM(OSRRefD22_2x_0)</f>
        <v>2140.89</v>
      </c>
      <c r="E33" s="1"/>
      <c r="F33" s="5">
        <f t="shared" ref="F33:F43" si="16">IF(D$12=0,0,D33/D$12)</f>
        <v>0</v>
      </c>
      <c r="G33" s="1"/>
      <c r="H33" s="1">
        <f>SUM(OSRRefH22_2x_0)</f>
        <v>4994.03</v>
      </c>
      <c r="I33" s="1"/>
      <c r="J33" s="5">
        <f t="shared" ref="J33:J43" si="17">IF(H$12=0,0,H33/H$12)</f>
        <v>0</v>
      </c>
      <c r="K33" s="1"/>
      <c r="L33" s="1">
        <f t="shared" ref="L33:L43" si="18">+D33-H33</f>
        <v>-2853.14</v>
      </c>
      <c r="M33" s="1"/>
      <c r="N33" s="5">
        <f t="shared" ref="N33:N43" si="19">IF(H33=0,0,L33/H33)</f>
        <v>-0.57131014431230887</v>
      </c>
      <c r="O33" s="14"/>
      <c r="P33" s="1">
        <f>SUM(OSRRefP22_2x_0)</f>
        <v>21717.78</v>
      </c>
      <c r="Q33" s="1"/>
      <c r="R33" s="5">
        <f t="shared" ref="R33:R43" si="20">IF(P$12=0,0,P33/P$12)</f>
        <v>0</v>
      </c>
      <c r="S33" s="1"/>
      <c r="T33" s="1">
        <f>SUM(OSRRefT22_2x_0)</f>
        <v>31534.7</v>
      </c>
      <c r="U33" s="1"/>
      <c r="V33" s="5">
        <f t="shared" ref="V33:V43" si="21">IF(T$12=0,0,T33/T$12)</f>
        <v>0</v>
      </c>
      <c r="W33" s="1"/>
      <c r="X33" s="1">
        <f t="shared" ref="X33:X43" si="22">+P33-T33</f>
        <v>-9816.9200000000019</v>
      </c>
      <c r="Y33" s="1"/>
      <c r="Z33" s="5">
        <f t="shared" ref="Z33:Z43" si="23">IF(T33=0,0,X33/T33)</f>
        <v>-0.31130532397644506</v>
      </c>
    </row>
    <row r="34" spans="1:26" s="24" customFormat="1" hidden="1" outlineLevel="2" x14ac:dyDescent="0.3">
      <c r="A34" s="28"/>
      <c r="B34" s="11" t="str">
        <f>CONCATENATE("          ", "6322", " - ", "EQUIPMENT DEPRECIATION EXPENSE")</f>
        <v xml:space="preserve">          6322 - EQUIPMENT DEPRECIATION EXPENSE</v>
      </c>
      <c r="C34" s="11"/>
      <c r="D34" s="6">
        <v>2140.89</v>
      </c>
      <c r="E34" s="2"/>
      <c r="F34" s="7">
        <f t="shared" si="16"/>
        <v>0</v>
      </c>
      <c r="G34" s="2"/>
      <c r="H34" s="6">
        <v>4994.03</v>
      </c>
      <c r="I34" s="2"/>
      <c r="J34" s="7">
        <f t="shared" si="17"/>
        <v>0</v>
      </c>
      <c r="K34" s="2"/>
      <c r="L34" s="6">
        <f t="shared" si="18"/>
        <v>-2853.14</v>
      </c>
      <c r="M34" s="2"/>
      <c r="N34" s="7">
        <f t="shared" si="19"/>
        <v>-0.57131014431230887</v>
      </c>
      <c r="O34" s="11"/>
      <c r="P34" s="6">
        <v>21717.78</v>
      </c>
      <c r="Q34" s="2"/>
      <c r="R34" s="7">
        <f t="shared" si="20"/>
        <v>0</v>
      </c>
      <c r="S34" s="2"/>
      <c r="T34" s="6">
        <v>31534.7</v>
      </c>
      <c r="U34" s="2"/>
      <c r="V34" s="7">
        <f t="shared" si="21"/>
        <v>0</v>
      </c>
      <c r="W34" s="2"/>
      <c r="X34" s="6">
        <f t="shared" si="22"/>
        <v>-9816.9200000000019</v>
      </c>
      <c r="Y34" s="2"/>
      <c r="Z34" s="7">
        <f t="shared" si="23"/>
        <v>-0.31130532397644506</v>
      </c>
    </row>
    <row r="35" spans="1:26" s="29" customFormat="1" outlineLevel="1" collapsed="1" x14ac:dyDescent="0.3">
      <c r="A35" s="27"/>
      <c r="B35" s="14" t="str">
        <f>CONCATENATE("     ","Freight out/Postage                               ")</f>
        <v xml:space="preserve">     Freight out/Postage                               </v>
      </c>
      <c r="C35" s="14"/>
      <c r="D35" s="1">
        <f>SUM(OSRRefD22_3x_0)</f>
        <v>0</v>
      </c>
      <c r="E35" s="1"/>
      <c r="F35" s="5">
        <f t="shared" si="16"/>
        <v>0</v>
      </c>
      <c r="G35" s="1"/>
      <c r="H35" s="1">
        <f>SUM(OSRRefH22_3x_0)</f>
        <v>0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4"/>
      <c r="P35" s="1">
        <f>SUM(OSRRefP22_3x_0)</f>
        <v>0</v>
      </c>
      <c r="Q35" s="1"/>
      <c r="R35" s="5">
        <f t="shared" si="20"/>
        <v>0</v>
      </c>
      <c r="S35" s="1"/>
      <c r="T35" s="1">
        <f>SUM(OSRRefT22_3x_0)</f>
        <v>5.7</v>
      </c>
      <c r="U35" s="1"/>
      <c r="V35" s="5">
        <f t="shared" si="21"/>
        <v>0</v>
      </c>
      <c r="W35" s="1"/>
      <c r="X35" s="1">
        <f t="shared" si="22"/>
        <v>-5.7</v>
      </c>
      <c r="Y35" s="1"/>
      <c r="Z35" s="5">
        <f t="shared" si="23"/>
        <v>-1</v>
      </c>
    </row>
    <row r="36" spans="1:26" s="24" customFormat="1" hidden="1" outlineLevel="2" x14ac:dyDescent="0.3">
      <c r="A36" s="28"/>
      <c r="B36" s="11" t="str">
        <f>CONCATENATE("          ", "6307", " - ", "POSTAGE")</f>
        <v xml:space="preserve">          6307 - POSTAGE</v>
      </c>
      <c r="C36" s="11"/>
      <c r="D36" s="6"/>
      <c r="E36" s="2"/>
      <c r="F36" s="7">
        <f t="shared" si="16"/>
        <v>0</v>
      </c>
      <c r="G36" s="2"/>
      <c r="H36" s="6"/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/>
      <c r="Q36" s="2"/>
      <c r="R36" s="7">
        <f t="shared" si="20"/>
        <v>0</v>
      </c>
      <c r="S36" s="2"/>
      <c r="T36" s="6">
        <v>5.7</v>
      </c>
      <c r="U36" s="2"/>
      <c r="V36" s="7">
        <f t="shared" si="21"/>
        <v>0</v>
      </c>
      <c r="W36" s="2"/>
      <c r="X36" s="6">
        <f t="shared" si="22"/>
        <v>-5.7</v>
      </c>
      <c r="Y36" s="2"/>
      <c r="Z36" s="7">
        <f t="shared" si="23"/>
        <v>-1</v>
      </c>
    </row>
    <row r="37" spans="1:26" s="29" customFormat="1" outlineLevel="1" collapsed="1" x14ac:dyDescent="0.3">
      <c r="A37" s="27"/>
      <c r="B37" s="14" t="str">
        <f>CONCATENATE("     ","Insurance                                         ")</f>
        <v xml:space="preserve">     Insurance                                         </v>
      </c>
      <c r="C37" s="14"/>
      <c r="D37" s="1">
        <f>SUM(OSRRefD22_4x_0)</f>
        <v>76.569999999999993</v>
      </c>
      <c r="E37" s="1"/>
      <c r="F37" s="5">
        <f t="shared" si="16"/>
        <v>0</v>
      </c>
      <c r="G37" s="1"/>
      <c r="H37" s="1">
        <f>SUM(OSRRefH22_4x_0)</f>
        <v>56.34</v>
      </c>
      <c r="I37" s="1"/>
      <c r="J37" s="5">
        <f t="shared" si="17"/>
        <v>0</v>
      </c>
      <c r="K37" s="1"/>
      <c r="L37" s="1">
        <f t="shared" si="18"/>
        <v>20.22999999999999</v>
      </c>
      <c r="M37" s="1"/>
      <c r="N37" s="5">
        <f t="shared" si="19"/>
        <v>0.35906993255236047</v>
      </c>
      <c r="O37" s="14"/>
      <c r="P37" s="1">
        <f>SUM(OSRRefP22_4x_0)</f>
        <v>459.42</v>
      </c>
      <c r="Q37" s="1"/>
      <c r="R37" s="5">
        <f t="shared" si="20"/>
        <v>0</v>
      </c>
      <c r="S37" s="1"/>
      <c r="T37" s="1">
        <f>SUM(OSRRefT22_4x_0)</f>
        <v>338.04</v>
      </c>
      <c r="U37" s="1"/>
      <c r="V37" s="5">
        <f t="shared" si="21"/>
        <v>0</v>
      </c>
      <c r="W37" s="1"/>
      <c r="X37" s="1">
        <f t="shared" si="22"/>
        <v>121.38</v>
      </c>
      <c r="Y37" s="1"/>
      <c r="Z37" s="5">
        <f t="shared" si="23"/>
        <v>0.35906993255236064</v>
      </c>
    </row>
    <row r="38" spans="1:26" s="24" customFormat="1" hidden="1" outlineLevel="2" x14ac:dyDescent="0.3">
      <c r="A38" s="28"/>
      <c r="B38" s="11" t="str">
        <f>CONCATENATE("          ", "6314", " - ", "LIABILITY INSURANCE")</f>
        <v xml:space="preserve">          6314 - LIABILITY INSURANCE</v>
      </c>
      <c r="C38" s="11"/>
      <c r="D38" s="6">
        <v>76.569999999999993</v>
      </c>
      <c r="E38" s="2"/>
      <c r="F38" s="7">
        <f t="shared" si="16"/>
        <v>0</v>
      </c>
      <c r="G38" s="2"/>
      <c r="H38" s="6">
        <v>56.34</v>
      </c>
      <c r="I38" s="2"/>
      <c r="J38" s="7">
        <f t="shared" si="17"/>
        <v>0</v>
      </c>
      <c r="K38" s="2"/>
      <c r="L38" s="6">
        <f t="shared" si="18"/>
        <v>20.22999999999999</v>
      </c>
      <c r="M38" s="2"/>
      <c r="N38" s="7">
        <f t="shared" si="19"/>
        <v>0.35906993255236047</v>
      </c>
      <c r="O38" s="11"/>
      <c r="P38" s="6">
        <v>459.42</v>
      </c>
      <c r="Q38" s="2"/>
      <c r="R38" s="7">
        <f t="shared" si="20"/>
        <v>0</v>
      </c>
      <c r="S38" s="2"/>
      <c r="T38" s="6">
        <v>338.04</v>
      </c>
      <c r="U38" s="2"/>
      <c r="V38" s="7">
        <f t="shared" si="21"/>
        <v>0</v>
      </c>
      <c r="W38" s="2"/>
      <c r="X38" s="6">
        <f t="shared" si="22"/>
        <v>121.38</v>
      </c>
      <c r="Y38" s="2"/>
      <c r="Z38" s="7">
        <f t="shared" si="23"/>
        <v>0.35906993255236064</v>
      </c>
    </row>
    <row r="39" spans="1:26" s="29" customFormat="1" outlineLevel="1" collapsed="1" x14ac:dyDescent="0.3">
      <c r="A39" s="27"/>
      <c r="B39" s="14" t="str">
        <f>CONCATENATE("     ","Repair and Maintenance                            ")</f>
        <v xml:space="preserve">     Repair and Maintenance                            </v>
      </c>
      <c r="C39" s="14"/>
      <c r="D39" s="1">
        <f>SUM(OSRRefD22_5x_0)</f>
        <v>13219.65</v>
      </c>
      <c r="E39" s="1"/>
      <c r="F39" s="5">
        <f t="shared" si="16"/>
        <v>0</v>
      </c>
      <c r="G39" s="1"/>
      <c r="H39" s="1">
        <f>SUM(OSRRefH22_5x_0)</f>
        <v>10572</v>
      </c>
      <c r="I39" s="1"/>
      <c r="J39" s="5">
        <f t="shared" si="17"/>
        <v>0</v>
      </c>
      <c r="K39" s="1"/>
      <c r="L39" s="1">
        <f t="shared" si="18"/>
        <v>2647.6499999999996</v>
      </c>
      <c r="M39" s="1"/>
      <c r="N39" s="5">
        <f t="shared" si="19"/>
        <v>0.25043984108967077</v>
      </c>
      <c r="O39" s="14"/>
      <c r="P39" s="1">
        <f>SUM(OSRRefP22_5x_0)</f>
        <v>61057.229999999996</v>
      </c>
      <c r="Q39" s="1"/>
      <c r="R39" s="5">
        <f t="shared" si="20"/>
        <v>0</v>
      </c>
      <c r="S39" s="1"/>
      <c r="T39" s="1">
        <f>SUM(OSRRefT22_5x_0)</f>
        <v>71168.160000000003</v>
      </c>
      <c r="U39" s="1"/>
      <c r="V39" s="5">
        <f t="shared" si="21"/>
        <v>0</v>
      </c>
      <c r="W39" s="1"/>
      <c r="X39" s="1">
        <f t="shared" si="22"/>
        <v>-10110.930000000008</v>
      </c>
      <c r="Y39" s="1"/>
      <c r="Z39" s="5">
        <f t="shared" si="23"/>
        <v>-0.14207097668395541</v>
      </c>
    </row>
    <row r="40" spans="1:26" s="24" customFormat="1" hidden="1" outlineLevel="2" x14ac:dyDescent="0.3">
      <c r="A40" s="28"/>
      <c r="B40" s="11" t="str">
        <f>CONCATENATE("          ", "6371", " - ", "COMPUTER SOFTWARE MAINTENANCE")</f>
        <v xml:space="preserve">          6371 - COMPUTER SOFTWARE MAINTENANCE</v>
      </c>
      <c r="C40" s="11"/>
      <c r="D40" s="6"/>
      <c r="E40" s="2"/>
      <c r="F40" s="7">
        <f t="shared" si="16"/>
        <v>0</v>
      </c>
      <c r="G40" s="2"/>
      <c r="H40" s="6">
        <v>-2020</v>
      </c>
      <c r="I40" s="2"/>
      <c r="J40" s="7">
        <f t="shared" si="17"/>
        <v>0</v>
      </c>
      <c r="K40" s="2"/>
      <c r="L40" s="6">
        <f t="shared" si="18"/>
        <v>2020</v>
      </c>
      <c r="M40" s="2"/>
      <c r="N40" s="7">
        <f t="shared" si="19"/>
        <v>-1</v>
      </c>
      <c r="O40" s="11"/>
      <c r="P40" s="6">
        <v>1824</v>
      </c>
      <c r="Q40" s="2"/>
      <c r="R40" s="7">
        <f t="shared" si="20"/>
        <v>0</v>
      </c>
      <c r="S40" s="2"/>
      <c r="T40" s="6">
        <v>416.16</v>
      </c>
      <c r="U40" s="2"/>
      <c r="V40" s="7">
        <f t="shared" si="21"/>
        <v>0</v>
      </c>
      <c r="W40" s="2"/>
      <c r="X40" s="6">
        <f t="shared" si="22"/>
        <v>1407.84</v>
      </c>
      <c r="Y40" s="2"/>
      <c r="Z40" s="7">
        <f t="shared" si="23"/>
        <v>3.3829296424452129</v>
      </c>
    </row>
    <row r="41" spans="1:26" s="24" customFormat="1" hidden="1" outlineLevel="2" x14ac:dyDescent="0.3">
      <c r="A41" s="28"/>
      <c r="B41" s="11" t="str">
        <f>CONCATENATE("          ", "6372", " - ", "COMPUTER HARDWARE MAINTENANCE")</f>
        <v xml:space="preserve">          6372 - COMPUTER HARDWARE MAINTENANCE</v>
      </c>
      <c r="C41" s="11"/>
      <c r="D41" s="6">
        <v>3752.4</v>
      </c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3752.4</v>
      </c>
      <c r="M41" s="2"/>
      <c r="N41" s="7">
        <f t="shared" si="19"/>
        <v>0</v>
      </c>
      <c r="O41" s="11"/>
      <c r="P41" s="6">
        <v>4760.47</v>
      </c>
      <c r="Q41" s="2"/>
      <c r="R41" s="7">
        <f t="shared" si="20"/>
        <v>0</v>
      </c>
      <c r="S41" s="2"/>
      <c r="T41" s="6"/>
      <c r="U41" s="2"/>
      <c r="V41" s="7">
        <f t="shared" si="21"/>
        <v>0</v>
      </c>
      <c r="W41" s="2"/>
      <c r="X41" s="6">
        <f t="shared" si="22"/>
        <v>4760.47</v>
      </c>
      <c r="Y41" s="2"/>
      <c r="Z41" s="7">
        <f t="shared" si="23"/>
        <v>0</v>
      </c>
    </row>
    <row r="42" spans="1:26" s="24" customFormat="1" hidden="1" outlineLevel="2" x14ac:dyDescent="0.3">
      <c r="A42" s="28"/>
      <c r="B42" s="11" t="str">
        <f>CONCATENATE("          ", "6373", " - ", "MAINTENANCE CONTRACTS")</f>
        <v xml:space="preserve">          6373 - MAINTENANCE CONTRACTS</v>
      </c>
      <c r="C42" s="11"/>
      <c r="D42" s="6">
        <v>9467.25</v>
      </c>
      <c r="E42" s="2"/>
      <c r="F42" s="7">
        <f t="shared" si="16"/>
        <v>0</v>
      </c>
      <c r="G42" s="2"/>
      <c r="H42" s="6">
        <v>12592</v>
      </c>
      <c r="I42" s="2"/>
      <c r="J42" s="7">
        <f t="shared" si="17"/>
        <v>0</v>
      </c>
      <c r="K42" s="2"/>
      <c r="L42" s="6">
        <f t="shared" si="18"/>
        <v>-3124.75</v>
      </c>
      <c r="M42" s="2"/>
      <c r="N42" s="7">
        <f t="shared" si="19"/>
        <v>-0.24815358958068615</v>
      </c>
      <c r="O42" s="11"/>
      <c r="P42" s="6">
        <v>54425.24</v>
      </c>
      <c r="Q42" s="2"/>
      <c r="R42" s="7">
        <f t="shared" si="20"/>
        <v>0</v>
      </c>
      <c r="S42" s="2"/>
      <c r="T42" s="6">
        <v>70752</v>
      </c>
      <c r="U42" s="2"/>
      <c r="V42" s="7">
        <f t="shared" si="21"/>
        <v>0</v>
      </c>
      <c r="W42" s="2"/>
      <c r="X42" s="6">
        <f t="shared" si="22"/>
        <v>-16326.760000000002</v>
      </c>
      <c r="Y42" s="2"/>
      <c r="Z42" s="7">
        <f t="shared" si="23"/>
        <v>-0.23076040253279062</v>
      </c>
    </row>
    <row r="43" spans="1:26" s="24" customFormat="1" hidden="1" outlineLevel="2" x14ac:dyDescent="0.3">
      <c r="A43" s="28"/>
      <c r="B43" s="11" t="str">
        <f>CONCATENATE("          ", "6375", " - ", "OUTSIDE REPAIRS &amp; MAINTENANCE")</f>
        <v xml:space="preserve">          6375 - OUTSIDE REPAIRS &amp; MAINTENANCE</v>
      </c>
      <c r="C43" s="11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>
        <v>47.52</v>
      </c>
      <c r="Q43" s="2"/>
      <c r="R43" s="7">
        <f t="shared" si="20"/>
        <v>0</v>
      </c>
      <c r="S43" s="2"/>
      <c r="T43" s="6"/>
      <c r="U43" s="2"/>
      <c r="V43" s="7">
        <f t="shared" si="21"/>
        <v>0</v>
      </c>
      <c r="W43" s="2"/>
      <c r="X43" s="6">
        <f t="shared" si="22"/>
        <v>47.52</v>
      </c>
      <c r="Y43" s="2"/>
      <c r="Z43" s="7">
        <f t="shared" si="23"/>
        <v>0</v>
      </c>
    </row>
    <row r="44" spans="1:26" s="29" customFormat="1" outlineLevel="1" collapsed="1" x14ac:dyDescent="0.3">
      <c r="A44" s="27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SUM(OSRRefD22_6x_0)</f>
        <v>0</v>
      </c>
      <c r="E44" s="1"/>
      <c r="F44" s="5">
        <f t="shared" ref="F44:F48" si="24">IF(D$12=0,0,D44/D$12)</f>
        <v>0</v>
      </c>
      <c r="G44" s="1"/>
      <c r="H44" s="1">
        <f>SUM(OSRRefH22_6x_0)</f>
        <v>0</v>
      </c>
      <c r="I44" s="1"/>
      <c r="J44" s="5">
        <f t="shared" ref="J44:J48" si="25">IF(H$12=0,0,H44/H$12)</f>
        <v>0</v>
      </c>
      <c r="K44" s="1"/>
      <c r="L44" s="1">
        <f t="shared" ref="L44:L48" si="26">+D44-H44</f>
        <v>0</v>
      </c>
      <c r="M44" s="1"/>
      <c r="N44" s="5">
        <f t="shared" ref="N44:N48" si="27">IF(H44=0,0,L44/H44)</f>
        <v>0</v>
      </c>
      <c r="O44" s="14"/>
      <c r="P44" s="1">
        <f>SUM(OSRRefP22_6x_0)</f>
        <v>1355.57</v>
      </c>
      <c r="Q44" s="1"/>
      <c r="R44" s="5">
        <f t="shared" ref="R44:R48" si="28">IF(P$12=0,0,P44/P$12)</f>
        <v>0</v>
      </c>
      <c r="S44" s="1"/>
      <c r="T44" s="1">
        <f>SUM(OSRRefT22_6x_0)</f>
        <v>-3004.18</v>
      </c>
      <c r="U44" s="1"/>
      <c r="V44" s="5">
        <f t="shared" ref="V44:V48" si="29">IF(T$12=0,0,T44/T$12)</f>
        <v>0</v>
      </c>
      <c r="W44" s="1"/>
      <c r="X44" s="1">
        <f t="shared" ref="X44:X48" si="30">+P44-T44</f>
        <v>4359.75</v>
      </c>
      <c r="Y44" s="1"/>
      <c r="Z44" s="5">
        <f t="shared" ref="Z44:Z48" si="31">IF(T44=0,0,X44/T44)</f>
        <v>-1.4512279557150372</v>
      </c>
    </row>
    <row r="45" spans="1:26" s="24" customFormat="1" hidden="1" outlineLevel="2" x14ac:dyDescent="0.3">
      <c r="A45" s="28"/>
      <c r="B45" s="11" t="str">
        <f>CONCATENATE("          ", "6241", " - ", "OFFICE EXPENSE")</f>
        <v xml:space="preserve">          6241 - OFFICE EXPENSE</v>
      </c>
      <c r="C45" s="11"/>
      <c r="D45" s="6"/>
      <c r="E45" s="2"/>
      <c r="F45" s="7">
        <f t="shared" si="24"/>
        <v>0</v>
      </c>
      <c r="G45" s="2"/>
      <c r="H45" s="6"/>
      <c r="I45" s="2"/>
      <c r="J45" s="7">
        <f t="shared" si="25"/>
        <v>0</v>
      </c>
      <c r="K45" s="2"/>
      <c r="L45" s="6">
        <f t="shared" si="26"/>
        <v>0</v>
      </c>
      <c r="M45" s="2"/>
      <c r="N45" s="7">
        <f t="shared" si="27"/>
        <v>0</v>
      </c>
      <c r="O45" s="11"/>
      <c r="P45" s="6">
        <v>1355.57</v>
      </c>
      <c r="Q45" s="2"/>
      <c r="R45" s="7">
        <f t="shared" si="28"/>
        <v>0</v>
      </c>
      <c r="S45" s="2"/>
      <c r="T45" s="6">
        <v>-3004.18</v>
      </c>
      <c r="U45" s="2"/>
      <c r="V45" s="7">
        <f t="shared" si="29"/>
        <v>0</v>
      </c>
      <c r="W45" s="2"/>
      <c r="X45" s="6">
        <f t="shared" si="30"/>
        <v>4359.75</v>
      </c>
      <c r="Y45" s="2"/>
      <c r="Z45" s="7">
        <f t="shared" si="31"/>
        <v>-1.4512279557150372</v>
      </c>
    </row>
    <row r="46" spans="1:26" s="29" customFormat="1" outlineLevel="1" collapsed="1" x14ac:dyDescent="0.3">
      <c r="A46" s="27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SUM(OSRRefD22_7x_0)</f>
        <v>519.39</v>
      </c>
      <c r="E46" s="1"/>
      <c r="F46" s="5">
        <f t="shared" si="24"/>
        <v>0</v>
      </c>
      <c r="G46" s="1"/>
      <c r="H46" s="1">
        <f>SUM(OSRRefH22_7x_0)</f>
        <v>948.13</v>
      </c>
      <c r="I46" s="1"/>
      <c r="J46" s="5">
        <f t="shared" si="25"/>
        <v>0</v>
      </c>
      <c r="K46" s="1"/>
      <c r="L46" s="1">
        <f t="shared" si="26"/>
        <v>-428.74</v>
      </c>
      <c r="M46" s="1"/>
      <c r="N46" s="5">
        <f t="shared" si="27"/>
        <v>-0.45219537405208149</v>
      </c>
      <c r="O46" s="14"/>
      <c r="P46" s="1">
        <f>SUM(OSRRefP22_7x_0)</f>
        <v>4910.34</v>
      </c>
      <c r="Q46" s="1"/>
      <c r="R46" s="5">
        <f t="shared" si="28"/>
        <v>0</v>
      </c>
      <c r="S46" s="1"/>
      <c r="T46" s="1">
        <f>SUM(OSRRefT22_7x_0)</f>
        <v>5098.54</v>
      </c>
      <c r="U46" s="1"/>
      <c r="V46" s="5">
        <f t="shared" si="29"/>
        <v>0</v>
      </c>
      <c r="W46" s="1"/>
      <c r="X46" s="1">
        <f t="shared" si="30"/>
        <v>-188.19999999999982</v>
      </c>
      <c r="Y46" s="1"/>
      <c r="Z46" s="5">
        <f t="shared" si="31"/>
        <v>-3.6912527900143925E-2</v>
      </c>
    </row>
    <row r="47" spans="1:26" s="24" customFormat="1" hidden="1" outlineLevel="2" x14ac:dyDescent="0.3">
      <c r="A47" s="28"/>
      <c r="B47" s="11" t="str">
        <f>CONCATENATE("          ", "6303", " - ", "DATA PHONE LINES")</f>
        <v xml:space="preserve">          6303 - DATA PHONE LINES</v>
      </c>
      <c r="C47" s="11"/>
      <c r="D47" s="6">
        <v>81.99</v>
      </c>
      <c r="E47" s="2"/>
      <c r="F47" s="7">
        <f t="shared" si="24"/>
        <v>0</v>
      </c>
      <c r="G47" s="2"/>
      <c r="H47" s="6">
        <v>238.97</v>
      </c>
      <c r="I47" s="2"/>
      <c r="J47" s="7">
        <f t="shared" si="25"/>
        <v>0</v>
      </c>
      <c r="K47" s="2"/>
      <c r="L47" s="6">
        <f t="shared" si="26"/>
        <v>-156.98000000000002</v>
      </c>
      <c r="M47" s="2"/>
      <c r="N47" s="7">
        <f t="shared" si="27"/>
        <v>-0.65690254006779103</v>
      </c>
      <c r="O47" s="11"/>
      <c r="P47" s="6">
        <v>909.89</v>
      </c>
      <c r="Q47" s="2"/>
      <c r="R47" s="7">
        <f t="shared" si="28"/>
        <v>0</v>
      </c>
      <c r="S47" s="2"/>
      <c r="T47" s="6">
        <v>764.9</v>
      </c>
      <c r="U47" s="2"/>
      <c r="V47" s="7">
        <f t="shared" si="29"/>
        <v>0</v>
      </c>
      <c r="W47" s="2"/>
      <c r="X47" s="6">
        <f t="shared" si="30"/>
        <v>144.99</v>
      </c>
      <c r="Y47" s="2"/>
      <c r="Z47" s="7">
        <f t="shared" si="31"/>
        <v>0.18955419009020788</v>
      </c>
    </row>
    <row r="48" spans="1:26" s="24" customFormat="1" hidden="1" outlineLevel="2" x14ac:dyDescent="0.3">
      <c r="A48" s="28"/>
      <c r="B48" s="11" t="str">
        <f>CONCATENATE("          ", "6309", " - ", "TELEPHONE")</f>
        <v xml:space="preserve">          6309 - TELEPHONE</v>
      </c>
      <c r="C48" s="11"/>
      <c r="D48" s="6">
        <v>437.4</v>
      </c>
      <c r="E48" s="2"/>
      <c r="F48" s="7">
        <f t="shared" si="24"/>
        <v>0</v>
      </c>
      <c r="G48" s="2"/>
      <c r="H48" s="6">
        <v>709.16</v>
      </c>
      <c r="I48" s="2"/>
      <c r="J48" s="7">
        <f t="shared" si="25"/>
        <v>0</v>
      </c>
      <c r="K48" s="2"/>
      <c r="L48" s="6">
        <f t="shared" si="26"/>
        <v>-271.76</v>
      </c>
      <c r="M48" s="2"/>
      <c r="N48" s="7">
        <f t="shared" si="27"/>
        <v>-0.38321394325681085</v>
      </c>
      <c r="O48" s="11"/>
      <c r="P48" s="6">
        <v>4000.45</v>
      </c>
      <c r="Q48" s="2"/>
      <c r="R48" s="7">
        <f t="shared" si="28"/>
        <v>0</v>
      </c>
      <c r="S48" s="2"/>
      <c r="T48" s="6">
        <v>4333.6400000000003</v>
      </c>
      <c r="U48" s="2"/>
      <c r="V48" s="7">
        <f t="shared" si="29"/>
        <v>0</v>
      </c>
      <c r="W48" s="2"/>
      <c r="X48" s="6">
        <f t="shared" si="30"/>
        <v>-333.19000000000051</v>
      </c>
      <c r="Y48" s="2"/>
      <c r="Z48" s="7">
        <f t="shared" si="31"/>
        <v>-7.6884558938905972E-2</v>
      </c>
    </row>
    <row r="49" spans="1:26" s="29" customFormat="1" outlineLevel="1" collapsed="1" x14ac:dyDescent="0.3">
      <c r="A49" s="27"/>
      <c r="B49" s="14" t="str">
        <f>CONCATENATE("     ","Training                                          ")</f>
        <v xml:space="preserve">     Training                                          </v>
      </c>
      <c r="C49" s="14"/>
      <c r="D49" s="1">
        <f>SUM(OSRRefD22_8x_0)</f>
        <v>99</v>
      </c>
      <c r="E49" s="1"/>
      <c r="F49" s="5">
        <f t="shared" ref="F49:F50" si="32">IF(D$12=0,0,D49/D$12)</f>
        <v>0</v>
      </c>
      <c r="G49" s="1"/>
      <c r="H49" s="1">
        <f>SUM(OSRRefH22_8x_0)</f>
        <v>99</v>
      </c>
      <c r="I49" s="1"/>
      <c r="J49" s="5">
        <f t="shared" ref="J49:J50" si="33">IF(H$12=0,0,H49/H$12)</f>
        <v>0</v>
      </c>
      <c r="K49" s="1"/>
      <c r="L49" s="1">
        <f t="shared" ref="L49:L50" si="34">+D49-H49</f>
        <v>0</v>
      </c>
      <c r="M49" s="1"/>
      <c r="N49" s="5">
        <f t="shared" ref="N49:N50" si="35">IF(H49=0,0,L49/H49)</f>
        <v>0</v>
      </c>
      <c r="O49" s="14"/>
      <c r="P49" s="1">
        <f>SUM(OSRRefP22_8x_0)</f>
        <v>99</v>
      </c>
      <c r="Q49" s="1"/>
      <c r="R49" s="5">
        <f t="shared" ref="R49:R50" si="36">IF(P$12=0,0,P49/P$12)</f>
        <v>0</v>
      </c>
      <c r="S49" s="1"/>
      <c r="T49" s="1">
        <f>SUM(OSRRefT22_8x_0)</f>
        <v>99</v>
      </c>
      <c r="U49" s="1"/>
      <c r="V49" s="5">
        <f t="shared" ref="V49:V50" si="37">IF(T$12=0,0,T49/T$12)</f>
        <v>0</v>
      </c>
      <c r="W49" s="1"/>
      <c r="X49" s="1">
        <f t="shared" ref="X49:X50" si="38">+P49-T49</f>
        <v>0</v>
      </c>
      <c r="Y49" s="1"/>
      <c r="Z49" s="5">
        <f t="shared" ref="Z49:Z50" si="39">IF(T49=0,0,X49/T49)</f>
        <v>0</v>
      </c>
    </row>
    <row r="50" spans="1:26" s="24" customFormat="1" hidden="1" outlineLevel="2" x14ac:dyDescent="0.3">
      <c r="A50" s="28"/>
      <c r="B50" s="11" t="str">
        <f>CONCATENATE("          ", "6376", " - ", "TRAINING")</f>
        <v xml:space="preserve">          6376 - TRAINING</v>
      </c>
      <c r="C50" s="11"/>
      <c r="D50" s="6">
        <v>99</v>
      </c>
      <c r="E50" s="2"/>
      <c r="F50" s="7">
        <f t="shared" si="32"/>
        <v>0</v>
      </c>
      <c r="G50" s="2"/>
      <c r="H50" s="6">
        <v>99</v>
      </c>
      <c r="I50" s="2"/>
      <c r="J50" s="7">
        <f t="shared" si="33"/>
        <v>0</v>
      </c>
      <c r="K50" s="2"/>
      <c r="L50" s="6">
        <f t="shared" si="34"/>
        <v>0</v>
      </c>
      <c r="M50" s="2"/>
      <c r="N50" s="7">
        <f t="shared" si="35"/>
        <v>0</v>
      </c>
      <c r="O50" s="11"/>
      <c r="P50" s="6">
        <v>99</v>
      </c>
      <c r="Q50" s="2"/>
      <c r="R50" s="7">
        <f t="shared" si="36"/>
        <v>0</v>
      </c>
      <c r="S50" s="2"/>
      <c r="T50" s="6">
        <v>99</v>
      </c>
      <c r="U50" s="2"/>
      <c r="V50" s="7">
        <f t="shared" si="37"/>
        <v>0</v>
      </c>
      <c r="W50" s="2"/>
      <c r="X50" s="6">
        <f t="shared" si="38"/>
        <v>0</v>
      </c>
      <c r="Y50" s="2"/>
      <c r="Z50" s="7">
        <f t="shared" si="39"/>
        <v>0</v>
      </c>
    </row>
    <row r="51" spans="1:26" s="53" customFormat="1" x14ac:dyDescent="0.3">
      <c r="A51" s="37"/>
      <c r="B51" s="37"/>
      <c r="C51" s="37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3">
      <c r="A52" s="10"/>
      <c r="B52" s="25" t="s">
        <v>292</v>
      </c>
      <c r="C52" s="10"/>
      <c r="D52" s="4">
        <f>SUM(0)</f>
        <v>0</v>
      </c>
      <c r="E52" s="4"/>
      <c r="F52" s="12">
        <f>IF(D$12=0,0,D52/D$12)</f>
        <v>0</v>
      </c>
      <c r="G52" s="4"/>
      <c r="H52" s="4">
        <f>SUM(0)</f>
        <v>0</v>
      </c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>
        <f>SUM(0)</f>
        <v>0</v>
      </c>
      <c r="Q52" s="4"/>
      <c r="R52" s="12">
        <f>IF(P$12=0,0,P52/P$12)</f>
        <v>0</v>
      </c>
      <c r="S52" s="4"/>
      <c r="T52" s="4">
        <f>SUM(0)</f>
        <v>0</v>
      </c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3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3">
      <c r="A54" s="10"/>
      <c r="B54" s="26" t="s">
        <v>276</v>
      </c>
      <c r="C54" s="26"/>
      <c r="D54" s="20">
        <f>+D16-D18+D52</f>
        <v>-45531.519999999997</v>
      </c>
      <c r="E54" s="13"/>
      <c r="F54" s="21">
        <f>IF(D$12=0,0,D54/D$12)</f>
        <v>0</v>
      </c>
      <c r="G54" s="13"/>
      <c r="H54" s="20">
        <f>+H16-H18+H52</f>
        <v>-44863.99</v>
      </c>
      <c r="I54" s="13"/>
      <c r="J54" s="21">
        <f>IF(H$12=0,0,H54/H$12)</f>
        <v>0</v>
      </c>
      <c r="K54" s="15"/>
      <c r="L54" s="20">
        <f>+D54-H54</f>
        <v>-667.52999999999884</v>
      </c>
      <c r="M54" s="15"/>
      <c r="N54" s="21">
        <f>IF(H54=0,0,L54/H54)</f>
        <v>1.4878970862823367E-2</v>
      </c>
      <c r="O54" s="25"/>
      <c r="P54" s="20">
        <f>+P16-P18+P52</f>
        <v>-267959.36000000004</v>
      </c>
      <c r="Q54" s="13"/>
      <c r="R54" s="21">
        <f>IF(P$12=0,0,P54/P$12)</f>
        <v>0</v>
      </c>
      <c r="S54" s="13"/>
      <c r="T54" s="20">
        <f>+T16-T18+T52</f>
        <v>-306555.24000000005</v>
      </c>
      <c r="U54" s="13"/>
      <c r="V54" s="21">
        <f>IF(T$12=0,0,T54/T$12)</f>
        <v>0</v>
      </c>
      <c r="W54" s="15"/>
      <c r="X54" s="20">
        <f>+P54-T54</f>
        <v>38595.880000000005</v>
      </c>
      <c r="Y54" s="15"/>
      <c r="Z54" s="21">
        <f>IF(T54=0,0,X54/T54)</f>
        <v>-0.12590187660794838</v>
      </c>
    </row>
    <row r="55" spans="1:26" x14ac:dyDescent="0.3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3">
      <c r="A56" s="51"/>
      <c r="B56" s="10" t="s">
        <v>127</v>
      </c>
      <c r="C56" s="10"/>
      <c r="D56" s="4"/>
      <c r="E56" s="4"/>
      <c r="F56" s="12">
        <f>IF(D$12=0,0,D56/D$12)</f>
        <v>0</v>
      </c>
      <c r="G56" s="4"/>
      <c r="H56" s="4"/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/>
      <c r="Q56" s="4"/>
      <c r="R56" s="12">
        <f>IF(P$12=0,0,P56/P$12)</f>
        <v>0</v>
      </c>
      <c r="S56" s="4"/>
      <c r="T56" s="4"/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3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" thickBot="1" x14ac:dyDescent="0.35">
      <c r="A58" s="10"/>
      <c r="B58" s="26" t="s">
        <v>125</v>
      </c>
      <c r="C58" s="26"/>
      <c r="D58" s="32">
        <f>+D54-D56</f>
        <v>-45531.519999999997</v>
      </c>
      <c r="E58" s="13"/>
      <c r="F58" s="35">
        <f>IF(D$12=0,0,D58/D$12)</f>
        <v>0</v>
      </c>
      <c r="G58" s="13"/>
      <c r="H58" s="32">
        <f>+H54-H56</f>
        <v>-44863.99</v>
      </c>
      <c r="I58" s="13"/>
      <c r="J58" s="35">
        <f>IF(H$12=0,0,H58/H$12)</f>
        <v>0</v>
      </c>
      <c r="K58" s="15"/>
      <c r="L58" s="32">
        <f>D58-H58</f>
        <v>-667.52999999999884</v>
      </c>
      <c r="M58" s="15"/>
      <c r="N58" s="35">
        <f>IF(H58=0,0,L58/H58)</f>
        <v>1.4878970862823367E-2</v>
      </c>
      <c r="O58" s="25"/>
      <c r="P58" s="32">
        <f>+P54-P56</f>
        <v>-267959.36000000004</v>
      </c>
      <c r="Q58" s="13"/>
      <c r="R58" s="35">
        <f>IF(P$12=0,0,P58/P$12)</f>
        <v>0</v>
      </c>
      <c r="S58" s="13"/>
      <c r="T58" s="32">
        <f>+T54-T56</f>
        <v>-306555.24000000005</v>
      </c>
      <c r="U58" s="13"/>
      <c r="V58" s="35">
        <f>IF(T$12=0,0,T58/T$12)</f>
        <v>0</v>
      </c>
      <c r="W58" s="15"/>
      <c r="X58" s="32">
        <f>P58-T58</f>
        <v>38595.880000000005</v>
      </c>
      <c r="Y58" s="15"/>
      <c r="Z58" s="35">
        <f>IF(T58=0,0,X58/T58)</f>
        <v>-0.12590187660794838</v>
      </c>
    </row>
    <row r="59" spans="1:26" ht="15" thickTop="1" x14ac:dyDescent="0.3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x14ac:dyDescent="0.3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" thickBot="1" x14ac:dyDescent="0.35">
      <c r="A61" s="10"/>
      <c r="B61" s="26" t="s">
        <v>293</v>
      </c>
      <c r="C61" s="26"/>
      <c r="D61" s="31">
        <f>SUM(D58:D60)</f>
        <v>-45531.519999999997</v>
      </c>
      <c r="E61" s="13"/>
      <c r="F61" s="33">
        <f>IF(D$12=0,0,D61/D$12)</f>
        <v>0</v>
      </c>
      <c r="G61" s="13"/>
      <c r="H61" s="31">
        <f>SUM(H58:H60)</f>
        <v>-44863.99</v>
      </c>
      <c r="I61" s="13"/>
      <c r="J61" s="33">
        <f>IF(H$12=0,0,H61/H$12)</f>
        <v>0</v>
      </c>
      <c r="K61" s="15"/>
      <c r="L61" s="31">
        <f>+D61-H61</f>
        <v>-667.52999999999884</v>
      </c>
      <c r="M61" s="15"/>
      <c r="N61" s="33">
        <f>IF(H61=0,0,L61/H61)</f>
        <v>1.4878970862823367E-2</v>
      </c>
      <c r="O61" s="25"/>
      <c r="P61" s="31">
        <f>SUM(P58:P60)</f>
        <v>-267959.36000000004</v>
      </c>
      <c r="Q61" s="13"/>
      <c r="R61" s="33">
        <f>IF(P$12=0,0,P61/P$12)</f>
        <v>0</v>
      </c>
      <c r="S61" s="13"/>
      <c r="T61" s="31">
        <f>SUM(T58:T60)</f>
        <v>-306555.24000000005</v>
      </c>
      <c r="U61" s="13"/>
      <c r="V61" s="33">
        <f>IF(T$12=0,0,T61/T$12)</f>
        <v>0</v>
      </c>
      <c r="W61" s="15"/>
      <c r="X61" s="31">
        <f>+P61-T61</f>
        <v>38595.880000000005</v>
      </c>
      <c r="Y61" s="15"/>
      <c r="Z61" s="33">
        <f>IF(T61=0,0,X61/T61)</f>
        <v>-0.12590187660794838</v>
      </c>
    </row>
    <row r="62" spans="1:26" ht="15" thickTop="1" x14ac:dyDescent="0.3">
      <c r="A62" s="9"/>
      <c r="C62" s="9"/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  <row r="63" spans="1:26" x14ac:dyDescent="0.3">
      <c r="A63" s="9"/>
      <c r="B63" s="60">
        <v>44575.854680405093</v>
      </c>
      <c r="D63" s="17"/>
      <c r="E63" s="17"/>
      <c r="G63" s="17"/>
      <c r="H63" s="17"/>
      <c r="I63" s="17"/>
      <c r="J63" s="43"/>
      <c r="K63" s="17"/>
      <c r="L63" s="17"/>
      <c r="M63" s="17"/>
      <c r="P63" s="17"/>
      <c r="Q63" s="17"/>
      <c r="R63" s="43"/>
      <c r="S63" s="17"/>
      <c r="T63" s="17"/>
      <c r="U63" s="17"/>
      <c r="V63" s="43"/>
      <c r="W63" s="17"/>
      <c r="X63" s="17"/>
    </row>
    <row r="64" spans="1:26" x14ac:dyDescent="0.3">
      <c r="A64" s="9"/>
      <c r="B64" s="57" t="s">
        <v>56</v>
      </c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  <row r="65" spans="1:24" x14ac:dyDescent="0.3">
      <c r="A65" s="9"/>
      <c r="B65" s="59"/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  <row r="66" spans="1:24" x14ac:dyDescent="0.3"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","205", " - ", "Maintenance")</f>
        <v>Department 205 - Maintenance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22">
        <f>SUM(OSRRefD22x_0)</f>
        <v>7684.0999999999995</v>
      </c>
      <c r="E18" s="22"/>
      <c r="F18" s="34">
        <f t="shared" ref="F18:F27" si="0">IF(D$12=0,0,D18/D$12)</f>
        <v>0</v>
      </c>
      <c r="G18" s="22"/>
      <c r="H18" s="22">
        <f>SUM(OSRRefH22x_0)</f>
        <v>7720.61</v>
      </c>
      <c r="I18" s="22"/>
      <c r="J18" s="34">
        <f t="shared" ref="J18:J27" si="1">IF(H$12=0,0,H18/H$12)</f>
        <v>0</v>
      </c>
      <c r="K18" s="4"/>
      <c r="L18" s="22">
        <f t="shared" ref="L18:L27" si="2">+D18-H18</f>
        <v>-36.510000000000218</v>
      </c>
      <c r="M18" s="4"/>
      <c r="N18" s="34">
        <f t="shared" ref="N18:N27" si="3">IF(H18=0,0,L18/H18)</f>
        <v>-4.7289009547173367E-3</v>
      </c>
      <c r="O18" s="10"/>
      <c r="P18" s="22">
        <f>SUM(OSRRefP22x_0)</f>
        <v>45733.289999999994</v>
      </c>
      <c r="Q18" s="22"/>
      <c r="R18" s="34">
        <f t="shared" ref="R18:R27" si="4">IF(P$12=0,0,P18/P$12)</f>
        <v>0</v>
      </c>
      <c r="S18" s="22"/>
      <c r="T18" s="22">
        <f>SUM(OSRRefT22x_0)</f>
        <v>47588.160000000003</v>
      </c>
      <c r="U18" s="22"/>
      <c r="V18" s="34">
        <f t="shared" ref="V18:V27" si="5">IF(T$12=0,0,T18/T$12)</f>
        <v>0</v>
      </c>
      <c r="W18" s="4"/>
      <c r="X18" s="22">
        <f t="shared" ref="X18:X27" si="6">+P18-T18</f>
        <v>-1854.8700000000099</v>
      </c>
      <c r="Y18" s="4"/>
      <c r="Z18" s="34">
        <f t="shared" ref="Z18:Z27" si="7">IF(T18=0,0,X18/T18)</f>
        <v>-3.8977552399588673E-2</v>
      </c>
    </row>
    <row r="19" spans="1:26" s="29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2506.41</v>
      </c>
      <c r="E19" s="1"/>
      <c r="F19" s="5">
        <f t="shared" si="0"/>
        <v>0</v>
      </c>
      <c r="G19" s="1"/>
      <c r="H19" s="1">
        <f>SUM(OSRRefH22_0x_0)</f>
        <v>2617.2999999999997</v>
      </c>
      <c r="I19" s="1"/>
      <c r="J19" s="5">
        <f t="shared" si="1"/>
        <v>0</v>
      </c>
      <c r="K19" s="1"/>
      <c r="L19" s="1">
        <f t="shared" si="2"/>
        <v>-110.88999999999987</v>
      </c>
      <c r="M19" s="1"/>
      <c r="N19" s="5">
        <f t="shared" si="3"/>
        <v>-4.2368089252282845E-2</v>
      </c>
      <c r="O19" s="14"/>
      <c r="P19" s="1">
        <f>SUM(OSRRefP22_0x_0)</f>
        <v>15254.01</v>
      </c>
      <c r="Q19" s="1"/>
      <c r="R19" s="5">
        <f t="shared" si="4"/>
        <v>0</v>
      </c>
      <c r="S19" s="1"/>
      <c r="T19" s="1">
        <f>SUM(OSRRefT22_0x_0)</f>
        <v>14883.059999999998</v>
      </c>
      <c r="U19" s="1"/>
      <c r="V19" s="5">
        <f t="shared" si="5"/>
        <v>0</v>
      </c>
      <c r="W19" s="1"/>
      <c r="X19" s="1">
        <f t="shared" si="6"/>
        <v>370.95000000000255</v>
      </c>
      <c r="Y19" s="1"/>
      <c r="Z19" s="5">
        <f t="shared" si="7"/>
        <v>2.4924309920137565E-2</v>
      </c>
    </row>
    <row r="20" spans="1:26" s="24" customFormat="1" hidden="1" outlineLevel="2" x14ac:dyDescent="0.3">
      <c r="A20" s="28"/>
      <c r="B20" s="11" t="str">
        <f>CONCATENATE("          ", "6111", " - ", "F.I.C.A.")</f>
        <v xml:space="preserve">          6111 - F.I.C.A.</v>
      </c>
      <c r="C20" s="11"/>
      <c r="D20" s="6">
        <v>336.48</v>
      </c>
      <c r="E20" s="2"/>
      <c r="F20" s="7">
        <f t="shared" si="0"/>
        <v>0</v>
      </c>
      <c r="G20" s="2"/>
      <c r="H20" s="6">
        <v>318.56</v>
      </c>
      <c r="I20" s="2"/>
      <c r="J20" s="7">
        <f t="shared" si="1"/>
        <v>0</v>
      </c>
      <c r="K20" s="2"/>
      <c r="L20" s="6">
        <f t="shared" si="2"/>
        <v>17.920000000000016</v>
      </c>
      <c r="M20" s="2"/>
      <c r="N20" s="7">
        <f t="shared" si="3"/>
        <v>5.6253139126067352E-2</v>
      </c>
      <c r="O20" s="11"/>
      <c r="P20" s="6">
        <v>2150.1</v>
      </c>
      <c r="Q20" s="2"/>
      <c r="R20" s="7">
        <f t="shared" si="4"/>
        <v>0</v>
      </c>
      <c r="S20" s="2"/>
      <c r="T20" s="6">
        <v>2059.46</v>
      </c>
      <c r="U20" s="2"/>
      <c r="V20" s="7">
        <f t="shared" si="5"/>
        <v>0</v>
      </c>
      <c r="W20" s="2"/>
      <c r="X20" s="6">
        <f t="shared" si="6"/>
        <v>90.639999999999873</v>
      </c>
      <c r="Y20" s="2"/>
      <c r="Z20" s="7">
        <f t="shared" si="7"/>
        <v>4.401153700484587E-2</v>
      </c>
    </row>
    <row r="21" spans="1:26" s="24" customFormat="1" hidden="1" outlineLevel="2" x14ac:dyDescent="0.3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242.1</v>
      </c>
      <c r="E21" s="2"/>
      <c r="F21" s="7">
        <f t="shared" si="0"/>
        <v>0</v>
      </c>
      <c r="G21" s="2"/>
      <c r="H21" s="6">
        <v>429.19</v>
      </c>
      <c r="I21" s="2"/>
      <c r="J21" s="7">
        <f t="shared" si="1"/>
        <v>0</v>
      </c>
      <c r="K21" s="2"/>
      <c r="L21" s="6">
        <f t="shared" si="2"/>
        <v>-187.09</v>
      </c>
      <c r="M21" s="2"/>
      <c r="N21" s="7">
        <f t="shared" si="3"/>
        <v>-0.43591416389011861</v>
      </c>
      <c r="O21" s="11"/>
      <c r="P21" s="6">
        <v>1546.22</v>
      </c>
      <c r="Q21" s="2"/>
      <c r="R21" s="7">
        <f t="shared" si="4"/>
        <v>0</v>
      </c>
      <c r="S21" s="2"/>
      <c r="T21" s="6">
        <v>2005.36</v>
      </c>
      <c r="U21" s="2"/>
      <c r="V21" s="7">
        <f t="shared" si="5"/>
        <v>0</v>
      </c>
      <c r="W21" s="2"/>
      <c r="X21" s="6">
        <f t="shared" si="6"/>
        <v>-459.13999999999987</v>
      </c>
      <c r="Y21" s="2"/>
      <c r="Z21" s="7">
        <f t="shared" si="7"/>
        <v>-0.22895639685642474</v>
      </c>
    </row>
    <row r="22" spans="1:26" s="24" customFormat="1" hidden="1" outlineLevel="2" x14ac:dyDescent="0.3">
      <c r="A22" s="28"/>
      <c r="B22" s="11" t="str">
        <f>CONCATENATE("          ", "6113", " - ", "GROUP INSURANCE")</f>
        <v xml:space="preserve">          6113 - GROUP INSURANCE</v>
      </c>
      <c r="C22" s="11"/>
      <c r="D22" s="6">
        <v>696.16</v>
      </c>
      <c r="E22" s="2"/>
      <c r="F22" s="7">
        <f t="shared" si="0"/>
        <v>0</v>
      </c>
      <c r="G22" s="2"/>
      <c r="H22" s="6">
        <v>696.16</v>
      </c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4188.21</v>
      </c>
      <c r="Q22" s="2"/>
      <c r="R22" s="7">
        <f t="shared" si="4"/>
        <v>0</v>
      </c>
      <c r="S22" s="2"/>
      <c r="T22" s="6">
        <v>4176.96</v>
      </c>
      <c r="U22" s="2"/>
      <c r="V22" s="7">
        <f t="shared" si="5"/>
        <v>0</v>
      </c>
      <c r="W22" s="2"/>
      <c r="X22" s="6">
        <f t="shared" si="6"/>
        <v>11.25</v>
      </c>
      <c r="Y22" s="2"/>
      <c r="Z22" s="7">
        <f t="shared" si="7"/>
        <v>2.6933463571592736E-3</v>
      </c>
    </row>
    <row r="23" spans="1:26" s="24" customFormat="1" hidden="1" outlineLevel="2" x14ac:dyDescent="0.3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11.38</v>
      </c>
      <c r="E23" s="2"/>
      <c r="F23" s="7">
        <f t="shared" si="0"/>
        <v>0</v>
      </c>
      <c r="G23" s="2"/>
      <c r="H23" s="6"/>
      <c r="I23" s="2"/>
      <c r="J23" s="7">
        <f t="shared" si="1"/>
        <v>0</v>
      </c>
      <c r="K23" s="2"/>
      <c r="L23" s="6">
        <f t="shared" si="2"/>
        <v>11.38</v>
      </c>
      <c r="M23" s="2"/>
      <c r="N23" s="7">
        <f t="shared" si="3"/>
        <v>0</v>
      </c>
      <c r="O23" s="11"/>
      <c r="P23" s="6">
        <v>72.69</v>
      </c>
      <c r="Q23" s="2"/>
      <c r="R23" s="7">
        <f t="shared" si="4"/>
        <v>0</v>
      </c>
      <c r="S23" s="2"/>
      <c r="T23" s="6">
        <v>59.15</v>
      </c>
      <c r="U23" s="2"/>
      <c r="V23" s="7">
        <f t="shared" si="5"/>
        <v>0</v>
      </c>
      <c r="W23" s="2"/>
      <c r="X23" s="6">
        <f t="shared" si="6"/>
        <v>13.54</v>
      </c>
      <c r="Y23" s="2"/>
      <c r="Z23" s="7">
        <f t="shared" si="7"/>
        <v>0.22890955198647506</v>
      </c>
    </row>
    <row r="24" spans="1:26" s="24" customFormat="1" hidden="1" outlineLevel="2" x14ac:dyDescent="0.3">
      <c r="A24" s="28"/>
      <c r="B24" s="11" t="str">
        <f>CONCATENATE("          ", "6115", " - ", "P.E.R.S.")</f>
        <v xml:space="preserve">          6115 - P.E.R.S.</v>
      </c>
      <c r="C24" s="11"/>
      <c r="D24" s="6">
        <v>475.21</v>
      </c>
      <c r="E24" s="2"/>
      <c r="F24" s="7">
        <f t="shared" si="0"/>
        <v>0</v>
      </c>
      <c r="G24" s="2"/>
      <c r="H24" s="6">
        <v>463.27</v>
      </c>
      <c r="I24" s="2"/>
      <c r="J24" s="7">
        <f t="shared" si="1"/>
        <v>0</v>
      </c>
      <c r="K24" s="2"/>
      <c r="L24" s="6">
        <f t="shared" si="2"/>
        <v>11.939999999999998</v>
      </c>
      <c r="M24" s="2"/>
      <c r="N24" s="7">
        <f t="shared" si="3"/>
        <v>2.5773307142702956E-2</v>
      </c>
      <c r="O24" s="11"/>
      <c r="P24" s="6">
        <v>3006.61</v>
      </c>
      <c r="Q24" s="2"/>
      <c r="R24" s="7">
        <f t="shared" si="4"/>
        <v>0</v>
      </c>
      <c r="S24" s="2"/>
      <c r="T24" s="6">
        <v>3011.26</v>
      </c>
      <c r="U24" s="2"/>
      <c r="V24" s="7">
        <f t="shared" si="5"/>
        <v>0</v>
      </c>
      <c r="W24" s="2"/>
      <c r="X24" s="6">
        <f t="shared" si="6"/>
        <v>-4.6500000000000909</v>
      </c>
      <c r="Y24" s="2"/>
      <c r="Z24" s="7">
        <f t="shared" si="7"/>
        <v>-1.5442040873256014E-3</v>
      </c>
    </row>
    <row r="25" spans="1:26" s="24" customFormat="1" hidden="1" outlineLevel="2" x14ac:dyDescent="0.3">
      <c r="A25" s="28"/>
      <c r="B25" s="11" t="str">
        <f>CONCATENATE("          ", "6118", " - ", "VACATION")</f>
        <v xml:space="preserve">          6118 - VACATION</v>
      </c>
      <c r="C25" s="11"/>
      <c r="D25" s="6">
        <v>403.46</v>
      </c>
      <c r="E25" s="2"/>
      <c r="F25" s="7">
        <f t="shared" si="0"/>
        <v>0</v>
      </c>
      <c r="G25" s="2"/>
      <c r="H25" s="6">
        <v>387.96</v>
      </c>
      <c r="I25" s="2"/>
      <c r="J25" s="7">
        <f t="shared" si="1"/>
        <v>0</v>
      </c>
      <c r="K25" s="2"/>
      <c r="L25" s="6">
        <f t="shared" si="2"/>
        <v>15.5</v>
      </c>
      <c r="M25" s="2"/>
      <c r="N25" s="7">
        <f t="shared" si="3"/>
        <v>3.9952572430147437E-2</v>
      </c>
      <c r="O25" s="11"/>
      <c r="P25" s="6">
        <v>2059.2600000000002</v>
      </c>
      <c r="Q25" s="2"/>
      <c r="R25" s="7">
        <f t="shared" si="4"/>
        <v>0</v>
      </c>
      <c r="S25" s="2"/>
      <c r="T25" s="6">
        <v>1421.9</v>
      </c>
      <c r="U25" s="2"/>
      <c r="V25" s="7">
        <f t="shared" si="5"/>
        <v>0</v>
      </c>
      <c r="W25" s="2"/>
      <c r="X25" s="6">
        <f t="shared" si="6"/>
        <v>637.36000000000013</v>
      </c>
      <c r="Y25" s="2"/>
      <c r="Z25" s="7">
        <f t="shared" si="7"/>
        <v>0.44824530557704484</v>
      </c>
    </row>
    <row r="26" spans="1:26" s="24" customFormat="1" hidden="1" outlineLevel="2" x14ac:dyDescent="0.3">
      <c r="A26" s="28"/>
      <c r="B26" s="11" t="str">
        <f>CONCATENATE("          ", "6119", " - ", "SICK LEAVE")</f>
        <v xml:space="preserve">          6119 - SICK LEAVE</v>
      </c>
      <c r="C26" s="11"/>
      <c r="D26" s="6">
        <v>201.46</v>
      </c>
      <c r="E26" s="2"/>
      <c r="F26" s="7">
        <f t="shared" si="0"/>
        <v>0</v>
      </c>
      <c r="G26" s="2"/>
      <c r="H26" s="6">
        <v>193.72</v>
      </c>
      <c r="I26" s="2"/>
      <c r="J26" s="7">
        <f t="shared" si="1"/>
        <v>0</v>
      </c>
      <c r="K26" s="2"/>
      <c r="L26" s="6">
        <f t="shared" si="2"/>
        <v>7.7400000000000091</v>
      </c>
      <c r="M26" s="2"/>
      <c r="N26" s="7">
        <f t="shared" si="3"/>
        <v>3.9954573611397939E-2</v>
      </c>
      <c r="O26" s="11"/>
      <c r="P26" s="6">
        <v>1274.6600000000001</v>
      </c>
      <c r="Q26" s="2"/>
      <c r="R26" s="7">
        <f t="shared" si="4"/>
        <v>0</v>
      </c>
      <c r="S26" s="2"/>
      <c r="T26" s="6">
        <v>1259.18</v>
      </c>
      <c r="U26" s="2"/>
      <c r="V26" s="7">
        <f t="shared" si="5"/>
        <v>0</v>
      </c>
      <c r="W26" s="2"/>
      <c r="X26" s="6">
        <f t="shared" si="6"/>
        <v>15.480000000000018</v>
      </c>
      <c r="Y26" s="2"/>
      <c r="Z26" s="7">
        <f t="shared" si="7"/>
        <v>1.2293714957353211E-2</v>
      </c>
    </row>
    <row r="27" spans="1:26" s="24" customFormat="1" hidden="1" outlineLevel="2" x14ac:dyDescent="0.3">
      <c r="A27" s="28"/>
      <c r="B27" s="11" t="str">
        <f>CONCATENATE("          ", "6156", " - ", "EMPLOYEE MEALS")</f>
        <v xml:space="preserve">          6156 - EMPLOYEE MEALS</v>
      </c>
      <c r="C27" s="11"/>
      <c r="D27" s="6">
        <v>140.16</v>
      </c>
      <c r="E27" s="2"/>
      <c r="F27" s="7">
        <f t="shared" si="0"/>
        <v>0</v>
      </c>
      <c r="G27" s="2"/>
      <c r="H27" s="6">
        <v>128.44</v>
      </c>
      <c r="I27" s="2"/>
      <c r="J27" s="7">
        <f t="shared" si="1"/>
        <v>0</v>
      </c>
      <c r="K27" s="2"/>
      <c r="L27" s="6">
        <f t="shared" si="2"/>
        <v>11.719999999999999</v>
      </c>
      <c r="M27" s="2"/>
      <c r="N27" s="7">
        <f t="shared" si="3"/>
        <v>9.1248832139520397E-2</v>
      </c>
      <c r="O27" s="11"/>
      <c r="P27" s="6">
        <v>956.26</v>
      </c>
      <c r="Q27" s="2"/>
      <c r="R27" s="7">
        <f t="shared" si="4"/>
        <v>0</v>
      </c>
      <c r="S27" s="2"/>
      <c r="T27" s="6">
        <v>889.79</v>
      </c>
      <c r="U27" s="2"/>
      <c r="V27" s="7">
        <f t="shared" si="5"/>
        <v>0</v>
      </c>
      <c r="W27" s="2"/>
      <c r="X27" s="6">
        <f t="shared" si="6"/>
        <v>66.470000000000027</v>
      </c>
      <c r="Y27" s="2"/>
      <c r="Z27" s="7">
        <f t="shared" si="7"/>
        <v>7.4703019813663937E-2</v>
      </c>
    </row>
    <row r="28" spans="1:26" s="29" customFormat="1" outlineLevel="1" collapsed="1" x14ac:dyDescent="0.3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3992.37</v>
      </c>
      <c r="E28" s="1"/>
      <c r="F28" s="5">
        <f t="shared" ref="F28:F36" si="8">IF(D$12=0,0,D28/D$12)</f>
        <v>0</v>
      </c>
      <c r="G28" s="1"/>
      <c r="H28" s="1">
        <f>SUM(OSRRefH22_1x_0)</f>
        <v>3989.75</v>
      </c>
      <c r="I28" s="1"/>
      <c r="J28" s="5">
        <f t="shared" ref="J28:J36" si="9">IF(H$12=0,0,H28/H$12)</f>
        <v>0</v>
      </c>
      <c r="K28" s="1"/>
      <c r="L28" s="1">
        <f t="shared" ref="L28:L36" si="10">+D28-H28</f>
        <v>2.6199999999998909</v>
      </c>
      <c r="M28" s="1"/>
      <c r="N28" s="5">
        <f t="shared" ref="N28:N36" si="11">IF(H28=0,0,L28/H28)</f>
        <v>6.5668274954568356E-4</v>
      </c>
      <c r="O28" s="14"/>
      <c r="P28" s="1">
        <f>SUM(OSRRefP22_1x_0)</f>
        <v>24852.75</v>
      </c>
      <c r="Q28" s="1"/>
      <c r="R28" s="5">
        <f t="shared" ref="R28:R36" si="12">IF(P$12=0,0,P28/P$12)</f>
        <v>0</v>
      </c>
      <c r="S28" s="1"/>
      <c r="T28" s="1">
        <f>SUM(OSRRefT22_1x_0)</f>
        <v>25408.41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-555.65999999999985</v>
      </c>
      <c r="Y28" s="1"/>
      <c r="Z28" s="5">
        <f t="shared" ref="Z28:Z36" si="15">IF(T28=0,0,X28/T28)</f>
        <v>-2.1869137029825944E-2</v>
      </c>
    </row>
    <row r="29" spans="1:26" s="24" customFormat="1" hidden="1" outlineLevel="2" x14ac:dyDescent="0.3">
      <c r="A29" s="28"/>
      <c r="B29" s="11" t="str">
        <f>CONCATENATE("          ", "6002", " - ", "STAFF SALARIES")</f>
        <v xml:space="preserve">          6002 - STAFF SALARIES</v>
      </c>
      <c r="C29" s="11"/>
      <c r="D29" s="6">
        <v>3992.37</v>
      </c>
      <c r="E29" s="2"/>
      <c r="F29" s="7">
        <f t="shared" si="8"/>
        <v>0</v>
      </c>
      <c r="G29" s="2"/>
      <c r="H29" s="6">
        <v>3989.75</v>
      </c>
      <c r="I29" s="2"/>
      <c r="J29" s="7">
        <f t="shared" si="9"/>
        <v>0</v>
      </c>
      <c r="K29" s="2"/>
      <c r="L29" s="6">
        <f t="shared" si="10"/>
        <v>2.6199999999998909</v>
      </c>
      <c r="M29" s="2"/>
      <c r="N29" s="7">
        <f t="shared" si="11"/>
        <v>6.5668274954568356E-4</v>
      </c>
      <c r="O29" s="11"/>
      <c r="P29" s="6">
        <v>24852.75</v>
      </c>
      <c r="Q29" s="2"/>
      <c r="R29" s="7">
        <f t="shared" si="12"/>
        <v>0</v>
      </c>
      <c r="S29" s="2"/>
      <c r="T29" s="6">
        <v>25408.41</v>
      </c>
      <c r="U29" s="2"/>
      <c r="V29" s="7">
        <f t="shared" si="13"/>
        <v>0</v>
      </c>
      <c r="W29" s="2"/>
      <c r="X29" s="6">
        <f t="shared" si="14"/>
        <v>-555.65999999999985</v>
      </c>
      <c r="Y29" s="2"/>
      <c r="Z29" s="7">
        <f t="shared" si="15"/>
        <v>-2.1869137029825944E-2</v>
      </c>
    </row>
    <row r="30" spans="1:26" s="29" customFormat="1" outlineLevel="1" collapsed="1" x14ac:dyDescent="0.3">
      <c r="A30" s="27"/>
      <c r="B30" s="14" t="str">
        <f>CONCATENATE("     ","General                                           ")</f>
        <v xml:space="preserve">     General                                           </v>
      </c>
      <c r="C30" s="14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4"/>
      <c r="P30" s="1">
        <f>SUM(OSRRefP22_2x_0)</f>
        <v>-906.57</v>
      </c>
      <c r="Q30" s="1"/>
      <c r="R30" s="5">
        <f t="shared" si="12"/>
        <v>0</v>
      </c>
      <c r="S30" s="1"/>
      <c r="T30" s="1">
        <f>SUM(OSRRefT22_2x_0)</f>
        <v>0</v>
      </c>
      <c r="U30" s="1"/>
      <c r="V30" s="5">
        <f t="shared" si="13"/>
        <v>0</v>
      </c>
      <c r="W30" s="1"/>
      <c r="X30" s="1">
        <f t="shared" si="14"/>
        <v>-906.57</v>
      </c>
      <c r="Y30" s="1"/>
      <c r="Z30" s="5">
        <f t="shared" si="15"/>
        <v>0</v>
      </c>
    </row>
    <row r="31" spans="1:26" s="24" customFormat="1" hidden="1" outlineLevel="2" x14ac:dyDescent="0.3">
      <c r="A31" s="28"/>
      <c r="B31" s="11" t="str">
        <f>CONCATENATE("          ", "6279", " - ", "GENERAL EXPENSE")</f>
        <v xml:space="preserve">          6279 - GENERAL EXPENSE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>
        <v>-906.57</v>
      </c>
      <c r="Q31" s="2"/>
      <c r="R31" s="7">
        <f t="shared" si="12"/>
        <v>0</v>
      </c>
      <c r="S31" s="2"/>
      <c r="T31" s="6"/>
      <c r="U31" s="2"/>
      <c r="V31" s="7">
        <f t="shared" si="13"/>
        <v>0</v>
      </c>
      <c r="W31" s="2"/>
      <c r="X31" s="6">
        <f t="shared" si="14"/>
        <v>-906.57</v>
      </c>
      <c r="Y31" s="2"/>
      <c r="Z31" s="7">
        <f t="shared" si="15"/>
        <v>0</v>
      </c>
    </row>
    <row r="32" spans="1:26" s="29" customFormat="1" outlineLevel="1" collapsed="1" x14ac:dyDescent="0.3">
      <c r="A32" s="27"/>
      <c r="B32" s="14" t="str">
        <f>CONCATENATE("     ","Insurance                                         ")</f>
        <v xml:space="preserve">     Insurance                                         </v>
      </c>
      <c r="C32" s="14"/>
      <c r="D32" s="1">
        <f>SUM(OSRRefD22_3x_0)</f>
        <v>33.380000000000003</v>
      </c>
      <c r="E32" s="1"/>
      <c r="F32" s="5">
        <f t="shared" si="8"/>
        <v>0</v>
      </c>
      <c r="G32" s="1"/>
      <c r="H32" s="1">
        <f>SUM(OSRRefH22_3x_0)</f>
        <v>24.56</v>
      </c>
      <c r="I32" s="1"/>
      <c r="J32" s="5">
        <f t="shared" si="9"/>
        <v>0</v>
      </c>
      <c r="K32" s="1"/>
      <c r="L32" s="1">
        <f t="shared" si="10"/>
        <v>8.8200000000000038</v>
      </c>
      <c r="M32" s="1"/>
      <c r="N32" s="5">
        <f t="shared" si="11"/>
        <v>0.3591205211726386</v>
      </c>
      <c r="O32" s="14"/>
      <c r="P32" s="1">
        <f>SUM(OSRRefP22_3x_0)</f>
        <v>200.28</v>
      </c>
      <c r="Q32" s="1"/>
      <c r="R32" s="5">
        <f t="shared" si="12"/>
        <v>0</v>
      </c>
      <c r="S32" s="1"/>
      <c r="T32" s="1">
        <f>SUM(OSRRefT22_3x_0)</f>
        <v>147.36000000000001</v>
      </c>
      <c r="U32" s="1"/>
      <c r="V32" s="5">
        <f t="shared" si="13"/>
        <v>0</v>
      </c>
      <c r="W32" s="1"/>
      <c r="X32" s="1">
        <f t="shared" si="14"/>
        <v>52.919999999999987</v>
      </c>
      <c r="Y32" s="1"/>
      <c r="Z32" s="5">
        <f t="shared" si="15"/>
        <v>0.35912052117263832</v>
      </c>
    </row>
    <row r="33" spans="1:26" s="24" customFormat="1" hidden="1" outlineLevel="2" x14ac:dyDescent="0.3">
      <c r="A33" s="28"/>
      <c r="B33" s="11" t="str">
        <f>CONCATENATE("          ", "6314", " - ", "LIABILITY INSURANCE")</f>
        <v xml:space="preserve">          6314 - LIABILITY INSURANCE</v>
      </c>
      <c r="C33" s="11"/>
      <c r="D33" s="6">
        <v>33.380000000000003</v>
      </c>
      <c r="E33" s="2"/>
      <c r="F33" s="7">
        <f t="shared" si="8"/>
        <v>0</v>
      </c>
      <c r="G33" s="2"/>
      <c r="H33" s="6">
        <v>24.56</v>
      </c>
      <c r="I33" s="2"/>
      <c r="J33" s="7">
        <f t="shared" si="9"/>
        <v>0</v>
      </c>
      <c r="K33" s="2"/>
      <c r="L33" s="6">
        <f t="shared" si="10"/>
        <v>8.8200000000000038</v>
      </c>
      <c r="M33" s="2"/>
      <c r="N33" s="7">
        <f t="shared" si="11"/>
        <v>0.3591205211726386</v>
      </c>
      <c r="O33" s="11"/>
      <c r="P33" s="6">
        <v>200.28</v>
      </c>
      <c r="Q33" s="2"/>
      <c r="R33" s="7">
        <f t="shared" si="12"/>
        <v>0</v>
      </c>
      <c r="S33" s="2"/>
      <c r="T33" s="6">
        <v>147.36000000000001</v>
      </c>
      <c r="U33" s="2"/>
      <c r="V33" s="7">
        <f t="shared" si="13"/>
        <v>0</v>
      </c>
      <c r="W33" s="2"/>
      <c r="X33" s="6">
        <f t="shared" si="14"/>
        <v>52.919999999999987</v>
      </c>
      <c r="Y33" s="2"/>
      <c r="Z33" s="7">
        <f t="shared" si="15"/>
        <v>0.35912052117263832</v>
      </c>
    </row>
    <row r="34" spans="1:26" s="29" customFormat="1" outlineLevel="1" collapsed="1" x14ac:dyDescent="0.3">
      <c r="A34" s="27"/>
      <c r="B34" s="14" t="str">
        <f>CONCATENATE("     ","Repair and Maintenance                            ")</f>
        <v xml:space="preserve">     Repair and Maintenance                            </v>
      </c>
      <c r="C34" s="14"/>
      <c r="D34" s="1">
        <f>SUM(OSRRefD22_4x_0)</f>
        <v>918.74</v>
      </c>
      <c r="E34" s="1"/>
      <c r="F34" s="5">
        <f t="shared" si="8"/>
        <v>0</v>
      </c>
      <c r="G34" s="1"/>
      <c r="H34" s="1">
        <f>SUM(OSRRefH22_4x_0)</f>
        <v>866</v>
      </c>
      <c r="I34" s="1"/>
      <c r="J34" s="5">
        <f t="shared" si="9"/>
        <v>0</v>
      </c>
      <c r="K34" s="1"/>
      <c r="L34" s="1">
        <f t="shared" si="10"/>
        <v>52.740000000000009</v>
      </c>
      <c r="M34" s="1"/>
      <c r="N34" s="5">
        <f t="shared" si="11"/>
        <v>6.0900692840646663E-2</v>
      </c>
      <c r="O34" s="14"/>
      <c r="P34" s="1">
        <f>SUM(OSRRefP22_4x_0)</f>
        <v>5558.52</v>
      </c>
      <c r="Q34" s="1"/>
      <c r="R34" s="5">
        <f t="shared" si="12"/>
        <v>0</v>
      </c>
      <c r="S34" s="1"/>
      <c r="T34" s="1">
        <f>SUM(OSRRefT22_4x_0)</f>
        <v>6500.29</v>
      </c>
      <c r="U34" s="1"/>
      <c r="V34" s="5">
        <f t="shared" si="13"/>
        <v>0</v>
      </c>
      <c r="W34" s="1"/>
      <c r="X34" s="1">
        <f t="shared" si="14"/>
        <v>-941.76999999999953</v>
      </c>
      <c r="Y34" s="1"/>
      <c r="Z34" s="5">
        <f t="shared" si="15"/>
        <v>-0.1448812283759647</v>
      </c>
    </row>
    <row r="35" spans="1:26" s="24" customFormat="1" hidden="1" outlineLevel="2" x14ac:dyDescent="0.3">
      <c r="A35" s="28"/>
      <c r="B35" s="11" t="str">
        <f>CONCATENATE("          ", "6373", " - ", "MAINTENANCE CONTRACTS")</f>
        <v xml:space="preserve">          6373 - MAINTENANCE CONTRACTS</v>
      </c>
      <c r="C35" s="11"/>
      <c r="D35" s="6">
        <v>918.74</v>
      </c>
      <c r="E35" s="2"/>
      <c r="F35" s="7">
        <f t="shared" si="8"/>
        <v>0</v>
      </c>
      <c r="G35" s="2"/>
      <c r="H35" s="6">
        <v>866</v>
      </c>
      <c r="I35" s="2"/>
      <c r="J35" s="7">
        <f t="shared" si="9"/>
        <v>0</v>
      </c>
      <c r="K35" s="2"/>
      <c r="L35" s="6">
        <f t="shared" si="10"/>
        <v>52.740000000000009</v>
      </c>
      <c r="M35" s="2"/>
      <c r="N35" s="7">
        <f t="shared" si="11"/>
        <v>6.0900692840646663E-2</v>
      </c>
      <c r="O35" s="11"/>
      <c r="P35" s="6">
        <v>5485.68</v>
      </c>
      <c r="Q35" s="2"/>
      <c r="R35" s="7">
        <f t="shared" si="12"/>
        <v>0</v>
      </c>
      <c r="S35" s="2"/>
      <c r="T35" s="6">
        <v>4330</v>
      </c>
      <c r="U35" s="2"/>
      <c r="V35" s="7">
        <f t="shared" si="13"/>
        <v>0</v>
      </c>
      <c r="W35" s="2"/>
      <c r="X35" s="6">
        <f t="shared" si="14"/>
        <v>1155.6800000000003</v>
      </c>
      <c r="Y35" s="2"/>
      <c r="Z35" s="7">
        <f t="shared" si="15"/>
        <v>0.26690069284064671</v>
      </c>
    </row>
    <row r="36" spans="1:26" s="24" customFormat="1" hidden="1" outlineLevel="2" x14ac:dyDescent="0.3">
      <c r="A36" s="28"/>
      <c r="B36" s="11" t="str">
        <f>CONCATENATE("          ", "6375", " - ", "OUTSIDE REPAIRS &amp; MAINTENANCE")</f>
        <v xml:space="preserve">          6375 - OUTSIDE REPAIRS &amp; MAINTENANCE</v>
      </c>
      <c r="C36" s="11"/>
      <c r="D36" s="6"/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72.84</v>
      </c>
      <c r="Q36" s="2"/>
      <c r="R36" s="7">
        <f t="shared" si="12"/>
        <v>0</v>
      </c>
      <c r="S36" s="2"/>
      <c r="T36" s="6">
        <v>2170.29</v>
      </c>
      <c r="U36" s="2"/>
      <c r="V36" s="7">
        <f t="shared" si="13"/>
        <v>0</v>
      </c>
      <c r="W36" s="2"/>
      <c r="X36" s="6">
        <f t="shared" si="14"/>
        <v>-2097.4499999999998</v>
      </c>
      <c r="Y36" s="2"/>
      <c r="Z36" s="7">
        <f t="shared" si="15"/>
        <v>-0.96643766501250983</v>
      </c>
    </row>
    <row r="37" spans="1:26" s="29" customFormat="1" outlineLevel="1" collapsed="1" x14ac:dyDescent="0.3">
      <c r="A37" s="27"/>
      <c r="B37" s="14" t="str">
        <f>CONCATENATE("     ","Supplies                                          ")</f>
        <v xml:space="preserve">     Supplies                                          </v>
      </c>
      <c r="C37" s="14"/>
      <c r="D37" s="1">
        <f>SUM(OSRRefD22_5x_0)</f>
        <v>210.2</v>
      </c>
      <c r="E37" s="1"/>
      <c r="F37" s="5">
        <f t="shared" ref="F37:F40" si="16">IF(D$12=0,0,D37/D$12)</f>
        <v>0</v>
      </c>
      <c r="G37" s="1"/>
      <c r="H37" s="1">
        <f>SUM(OSRRefH22_5x_0)</f>
        <v>0</v>
      </c>
      <c r="I37" s="1"/>
      <c r="J37" s="5">
        <f t="shared" ref="J37:J40" si="17">IF(H$12=0,0,H37/H$12)</f>
        <v>0</v>
      </c>
      <c r="K37" s="1"/>
      <c r="L37" s="1">
        <f t="shared" ref="L37:L40" si="18">+D37-H37</f>
        <v>210.2</v>
      </c>
      <c r="M37" s="1"/>
      <c r="N37" s="5">
        <f t="shared" ref="N37:N40" si="19">IF(H37=0,0,L37/H37)</f>
        <v>0</v>
      </c>
      <c r="O37" s="14"/>
      <c r="P37" s="1">
        <f>SUM(OSRRefP22_5x_0)</f>
        <v>236.29999999999998</v>
      </c>
      <c r="Q37" s="1"/>
      <c r="R37" s="5">
        <f t="shared" ref="R37:R40" si="20">IF(P$12=0,0,P37/P$12)</f>
        <v>0</v>
      </c>
      <c r="S37" s="1"/>
      <c r="T37" s="1">
        <f>SUM(OSRRefT22_5x_0)</f>
        <v>82.04</v>
      </c>
      <c r="U37" s="1"/>
      <c r="V37" s="5">
        <f t="shared" ref="V37:V40" si="21">IF(T$12=0,0,T37/T$12)</f>
        <v>0</v>
      </c>
      <c r="W37" s="1"/>
      <c r="X37" s="1">
        <f t="shared" ref="X37:X40" si="22">+P37-T37</f>
        <v>154.26</v>
      </c>
      <c r="Y37" s="1"/>
      <c r="Z37" s="5">
        <f t="shared" ref="Z37:Z40" si="23">IF(T37=0,0,X37/T37)</f>
        <v>1.88030229156509</v>
      </c>
    </row>
    <row r="38" spans="1:26" s="24" customFormat="1" hidden="1" outlineLevel="2" x14ac:dyDescent="0.3">
      <c r="A38" s="28"/>
      <c r="B38" s="11" t="str">
        <f>CONCATENATE("          ", "6234", " - ", "EXPENDABLE SUPPLIES &amp; EQUIPMEN")</f>
        <v xml:space="preserve">          6234 - EXPENDABLE SUPPLIES &amp; EQUIPMEN</v>
      </c>
      <c r="C38" s="11"/>
      <c r="D38" s="6"/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>
        <v>26.1</v>
      </c>
      <c r="Q38" s="2"/>
      <c r="R38" s="7">
        <f t="shared" si="20"/>
        <v>0</v>
      </c>
      <c r="S38" s="2"/>
      <c r="T38" s="6"/>
      <c r="U38" s="2"/>
      <c r="V38" s="7">
        <f t="shared" si="21"/>
        <v>0</v>
      </c>
      <c r="W38" s="2"/>
      <c r="X38" s="6">
        <f t="shared" si="22"/>
        <v>26.1</v>
      </c>
      <c r="Y38" s="2"/>
      <c r="Z38" s="7">
        <f t="shared" si="23"/>
        <v>0</v>
      </c>
    </row>
    <row r="39" spans="1:26" s="24" customFormat="1" hidden="1" outlineLevel="2" x14ac:dyDescent="0.3">
      <c r="A39" s="28"/>
      <c r="B39" s="11" t="str">
        <f>CONCATENATE("          ", "6235", " - ", "COVID-19 EXPENSES")</f>
        <v xml:space="preserve">          6235 - COVID-19 EXPENSES</v>
      </c>
      <c r="C39" s="11"/>
      <c r="D39" s="6"/>
      <c r="E39" s="2"/>
      <c r="F39" s="7">
        <f t="shared" si="16"/>
        <v>0</v>
      </c>
      <c r="G39" s="2"/>
      <c r="H39" s="6"/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1"/>
      <c r="P39" s="6"/>
      <c r="Q39" s="2"/>
      <c r="R39" s="7">
        <f t="shared" si="20"/>
        <v>0</v>
      </c>
      <c r="S39" s="2"/>
      <c r="T39" s="6">
        <v>66.12</v>
      </c>
      <c r="U39" s="2"/>
      <c r="V39" s="7">
        <f t="shared" si="21"/>
        <v>0</v>
      </c>
      <c r="W39" s="2"/>
      <c r="X39" s="6">
        <f t="shared" si="22"/>
        <v>-66.12</v>
      </c>
      <c r="Y39" s="2"/>
      <c r="Z39" s="7">
        <f t="shared" si="23"/>
        <v>-1</v>
      </c>
    </row>
    <row r="40" spans="1:26" s="24" customFormat="1" hidden="1" outlineLevel="2" x14ac:dyDescent="0.3">
      <c r="A40" s="28"/>
      <c r="B40" s="11" t="str">
        <f>CONCATENATE("          ", "6241", " - ", "OFFICE EXPENSE")</f>
        <v xml:space="preserve">          6241 - OFFICE EXPENSE</v>
      </c>
      <c r="C40" s="11"/>
      <c r="D40" s="6">
        <v>210.2</v>
      </c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210.2</v>
      </c>
      <c r="M40" s="2"/>
      <c r="N40" s="7">
        <f t="shared" si="19"/>
        <v>0</v>
      </c>
      <c r="O40" s="11"/>
      <c r="P40" s="6">
        <v>210.2</v>
      </c>
      <c r="Q40" s="2"/>
      <c r="R40" s="7">
        <f t="shared" si="20"/>
        <v>0</v>
      </c>
      <c r="S40" s="2"/>
      <c r="T40" s="6">
        <v>15.92</v>
      </c>
      <c r="U40" s="2"/>
      <c r="V40" s="7">
        <f t="shared" si="21"/>
        <v>0</v>
      </c>
      <c r="W40" s="2"/>
      <c r="X40" s="6">
        <f t="shared" si="22"/>
        <v>194.28</v>
      </c>
      <c r="Y40" s="2"/>
      <c r="Z40" s="7">
        <f t="shared" si="23"/>
        <v>12.203517587939698</v>
      </c>
    </row>
    <row r="41" spans="1:26" s="29" customFormat="1" outlineLevel="1" collapsed="1" x14ac:dyDescent="0.3">
      <c r="A41" s="27"/>
      <c r="B41" s="14" t="str">
        <f>CONCATENATE("     ","Telephone/Data Lines                              ")</f>
        <v xml:space="preserve">     Telephone/Data Lines                              </v>
      </c>
      <c r="C41" s="14"/>
      <c r="D41" s="1">
        <f>SUM(OSRRefD22_6x_0)</f>
        <v>23</v>
      </c>
      <c r="E41" s="1"/>
      <c r="F41" s="5">
        <f t="shared" ref="F41:F42" si="24">IF(D$12=0,0,D41/D$12)</f>
        <v>0</v>
      </c>
      <c r="G41" s="1"/>
      <c r="H41" s="1">
        <f>SUM(OSRRefH22_6x_0)</f>
        <v>223</v>
      </c>
      <c r="I41" s="1"/>
      <c r="J41" s="5">
        <f t="shared" ref="J41:J42" si="25">IF(H$12=0,0,H41/H$12)</f>
        <v>0</v>
      </c>
      <c r="K41" s="1"/>
      <c r="L41" s="1">
        <f t="shared" ref="L41:L42" si="26">+D41-H41</f>
        <v>-200</v>
      </c>
      <c r="M41" s="1"/>
      <c r="N41" s="5">
        <f t="shared" ref="N41:N42" si="27">IF(H41=0,0,L41/H41)</f>
        <v>-0.89686098654708524</v>
      </c>
      <c r="O41" s="14"/>
      <c r="P41" s="1">
        <f>SUM(OSRRefP22_6x_0)</f>
        <v>538</v>
      </c>
      <c r="Q41" s="1"/>
      <c r="R41" s="5">
        <f t="shared" ref="R41:R42" si="28">IF(P$12=0,0,P41/P$12)</f>
        <v>0</v>
      </c>
      <c r="S41" s="1"/>
      <c r="T41" s="1">
        <f>SUM(OSRRefT22_6x_0)</f>
        <v>567</v>
      </c>
      <c r="U41" s="1"/>
      <c r="V41" s="5">
        <f t="shared" ref="V41:V42" si="29">IF(T$12=0,0,T41/T$12)</f>
        <v>0</v>
      </c>
      <c r="W41" s="1"/>
      <c r="X41" s="1">
        <f t="shared" ref="X41:X42" si="30">+P41-T41</f>
        <v>-29</v>
      </c>
      <c r="Y41" s="1"/>
      <c r="Z41" s="5">
        <f t="shared" ref="Z41:Z42" si="31">IF(T41=0,0,X41/T41)</f>
        <v>-5.114638447971781E-2</v>
      </c>
    </row>
    <row r="42" spans="1:26" s="24" customFormat="1" hidden="1" outlineLevel="2" x14ac:dyDescent="0.3">
      <c r="A42" s="28"/>
      <c r="B42" s="11" t="str">
        <f>CONCATENATE("          ", "6309", " - ", "TELEPHONE")</f>
        <v xml:space="preserve">          6309 - TELEPHONE</v>
      </c>
      <c r="C42" s="11"/>
      <c r="D42" s="6">
        <v>23</v>
      </c>
      <c r="E42" s="2"/>
      <c r="F42" s="7">
        <f t="shared" si="24"/>
        <v>0</v>
      </c>
      <c r="G42" s="2"/>
      <c r="H42" s="6">
        <v>223</v>
      </c>
      <c r="I42" s="2"/>
      <c r="J42" s="7">
        <f t="shared" si="25"/>
        <v>0</v>
      </c>
      <c r="K42" s="2"/>
      <c r="L42" s="6">
        <f t="shared" si="26"/>
        <v>-200</v>
      </c>
      <c r="M42" s="2"/>
      <c r="N42" s="7">
        <f t="shared" si="27"/>
        <v>-0.89686098654708524</v>
      </c>
      <c r="O42" s="11"/>
      <c r="P42" s="6">
        <v>538</v>
      </c>
      <c r="Q42" s="2"/>
      <c r="R42" s="7">
        <f t="shared" si="28"/>
        <v>0</v>
      </c>
      <c r="S42" s="2"/>
      <c r="T42" s="6">
        <v>567</v>
      </c>
      <c r="U42" s="2"/>
      <c r="V42" s="7">
        <f t="shared" si="29"/>
        <v>0</v>
      </c>
      <c r="W42" s="2"/>
      <c r="X42" s="6">
        <f t="shared" si="30"/>
        <v>-29</v>
      </c>
      <c r="Y42" s="2"/>
      <c r="Z42" s="7">
        <f t="shared" si="31"/>
        <v>-5.114638447971781E-2</v>
      </c>
    </row>
    <row r="43" spans="1:26" s="53" customFormat="1" x14ac:dyDescent="0.3">
      <c r="A43" s="37"/>
      <c r="B43" s="37"/>
      <c r="C43" s="37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3">
      <c r="A44" s="10"/>
      <c r="B44" s="25" t="s">
        <v>292</v>
      </c>
      <c r="C44" s="10"/>
      <c r="D44" s="4">
        <f>SUM(0)</f>
        <v>0</v>
      </c>
      <c r="E44" s="4"/>
      <c r="F44" s="12">
        <f>IF(D$12=0,0,D44/D$12)</f>
        <v>0</v>
      </c>
      <c r="G44" s="4"/>
      <c r="H44" s="4">
        <f>SUM(0)</f>
        <v>0</v>
      </c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>
        <f>SUM(0)</f>
        <v>0</v>
      </c>
      <c r="Q44" s="4"/>
      <c r="R44" s="12">
        <f>IF(P$12=0,0,P44/P$12)</f>
        <v>0</v>
      </c>
      <c r="S44" s="4"/>
      <c r="T44" s="4">
        <f>SUM(0)</f>
        <v>0</v>
      </c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3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3">
      <c r="A46" s="10"/>
      <c r="B46" s="26" t="s">
        <v>276</v>
      </c>
      <c r="C46" s="26"/>
      <c r="D46" s="20">
        <f>+D16-D18+D44</f>
        <v>-7684.0999999999995</v>
      </c>
      <c r="E46" s="13"/>
      <c r="F46" s="21">
        <f>IF(D$12=0,0,D46/D$12)</f>
        <v>0</v>
      </c>
      <c r="G46" s="13"/>
      <c r="H46" s="20">
        <f>+H16-H18+H44</f>
        <v>-7720.61</v>
      </c>
      <c r="I46" s="13"/>
      <c r="J46" s="21">
        <f>IF(H$12=0,0,H46/H$12)</f>
        <v>0</v>
      </c>
      <c r="K46" s="15"/>
      <c r="L46" s="20">
        <f>+D46-H46</f>
        <v>36.510000000000218</v>
      </c>
      <c r="M46" s="15"/>
      <c r="N46" s="21">
        <f>IF(H46=0,0,L46/H46)</f>
        <v>-4.7289009547173367E-3</v>
      </c>
      <c r="O46" s="25"/>
      <c r="P46" s="20">
        <f>+P16-P18+P44</f>
        <v>-45733.289999999994</v>
      </c>
      <c r="Q46" s="13"/>
      <c r="R46" s="21">
        <f>IF(P$12=0,0,P46/P$12)</f>
        <v>0</v>
      </c>
      <c r="S46" s="13"/>
      <c r="T46" s="20">
        <f>+T16-T18+T44</f>
        <v>-47588.160000000003</v>
      </c>
      <c r="U46" s="13"/>
      <c r="V46" s="21">
        <f>IF(T$12=0,0,T46/T$12)</f>
        <v>0</v>
      </c>
      <c r="W46" s="15"/>
      <c r="X46" s="20">
        <f>+P46-T46</f>
        <v>1854.8700000000099</v>
      </c>
      <c r="Y46" s="15"/>
      <c r="Z46" s="21">
        <f>IF(T46=0,0,X46/T46)</f>
        <v>-3.8977552399588673E-2</v>
      </c>
    </row>
    <row r="47" spans="1:26" x14ac:dyDescent="0.3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3">
      <c r="A48" s="51"/>
      <c r="B48" s="10" t="s">
        <v>127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3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" thickBot="1" x14ac:dyDescent="0.35">
      <c r="A50" s="10"/>
      <c r="B50" s="26" t="s">
        <v>125</v>
      </c>
      <c r="C50" s="26"/>
      <c r="D50" s="32">
        <f>+D46-D48</f>
        <v>-7684.0999999999995</v>
      </c>
      <c r="E50" s="13"/>
      <c r="F50" s="35">
        <f>IF(D$12=0,0,D50/D$12)</f>
        <v>0</v>
      </c>
      <c r="G50" s="13"/>
      <c r="H50" s="32">
        <f>+H46-H48</f>
        <v>-7720.61</v>
      </c>
      <c r="I50" s="13"/>
      <c r="J50" s="35">
        <f>IF(H$12=0,0,H50/H$12)</f>
        <v>0</v>
      </c>
      <c r="K50" s="15"/>
      <c r="L50" s="32">
        <f>D50-H50</f>
        <v>36.510000000000218</v>
      </c>
      <c r="M50" s="15"/>
      <c r="N50" s="35">
        <f>IF(H50=0,0,L50/H50)</f>
        <v>-4.7289009547173367E-3</v>
      </c>
      <c r="O50" s="25"/>
      <c r="P50" s="32">
        <f>+P46-P48</f>
        <v>-45733.289999999994</v>
      </c>
      <c r="Q50" s="13"/>
      <c r="R50" s="35">
        <f>IF(P$12=0,0,P50/P$12)</f>
        <v>0</v>
      </c>
      <c r="S50" s="13"/>
      <c r="T50" s="32">
        <f>+T46-T48</f>
        <v>-47588.160000000003</v>
      </c>
      <c r="U50" s="13"/>
      <c r="V50" s="35">
        <f>IF(T$12=0,0,T50/T$12)</f>
        <v>0</v>
      </c>
      <c r="W50" s="15"/>
      <c r="X50" s="32">
        <f>P50-T50</f>
        <v>1854.8700000000099</v>
      </c>
      <c r="Y50" s="15"/>
      <c r="Z50" s="35">
        <f>IF(T50=0,0,X50/T50)</f>
        <v>-3.8977552399588673E-2</v>
      </c>
    </row>
    <row r="51" spans="1:26" ht="15" thickTop="1" x14ac:dyDescent="0.3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3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" thickBot="1" x14ac:dyDescent="0.35">
      <c r="A53" s="10"/>
      <c r="B53" s="26" t="s">
        <v>293</v>
      </c>
      <c r="C53" s="26"/>
      <c r="D53" s="31">
        <f>SUM(D50:D52)</f>
        <v>-7684.0999999999995</v>
      </c>
      <c r="E53" s="13"/>
      <c r="F53" s="33">
        <f>IF(D$12=0,0,D53/D$12)</f>
        <v>0</v>
      </c>
      <c r="G53" s="13"/>
      <c r="H53" s="31">
        <f>SUM(H50:H52)</f>
        <v>-7720.61</v>
      </c>
      <c r="I53" s="13"/>
      <c r="J53" s="33">
        <f>IF(H$12=0,0,H53/H$12)</f>
        <v>0</v>
      </c>
      <c r="K53" s="15"/>
      <c r="L53" s="31">
        <f>+D53-H53</f>
        <v>36.510000000000218</v>
      </c>
      <c r="M53" s="15"/>
      <c r="N53" s="33">
        <f>IF(H53=0,0,L53/H53)</f>
        <v>-4.7289009547173367E-3</v>
      </c>
      <c r="O53" s="25"/>
      <c r="P53" s="31">
        <f>SUM(P50:P52)</f>
        <v>-45733.289999999994</v>
      </c>
      <c r="Q53" s="13"/>
      <c r="R53" s="33">
        <f>IF(P$12=0,0,P53/P$12)</f>
        <v>0</v>
      </c>
      <c r="S53" s="13"/>
      <c r="T53" s="31">
        <f>SUM(T50:T52)</f>
        <v>-47588.160000000003</v>
      </c>
      <c r="U53" s="13"/>
      <c r="V53" s="33">
        <f>IF(T$12=0,0,T53/T$12)</f>
        <v>0</v>
      </c>
      <c r="W53" s="15"/>
      <c r="X53" s="31">
        <f>+P53-T53</f>
        <v>1854.8700000000099</v>
      </c>
      <c r="Y53" s="15"/>
      <c r="Z53" s="33">
        <f>IF(T53=0,0,X53/T53)</f>
        <v>-3.8977552399588673E-2</v>
      </c>
    </row>
    <row r="54" spans="1:26" ht="15" thickTop="1" x14ac:dyDescent="0.3">
      <c r="A54" s="9"/>
      <c r="C54" s="9"/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3">
      <c r="A55" s="9"/>
      <c r="B55" s="60">
        <v>44575.854680405093</v>
      </c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  <row r="56" spans="1:26" x14ac:dyDescent="0.3">
      <c r="A56" s="9"/>
      <c r="B56" s="57" t="s">
        <v>56</v>
      </c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  <row r="57" spans="1:26" x14ac:dyDescent="0.3">
      <c r="A57" s="9"/>
      <c r="B57" s="59"/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3"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outlinePr summaryBelow="0" summaryRight="0"/>
  </sheetPr>
  <dimension ref="A2:Z5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","206", " - ", "Communications")</f>
        <v>Department 206 - Communications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22">
        <f>SUM(OSRRefD22x_0)</f>
        <v>8783.9900000000016</v>
      </c>
      <c r="E18" s="22"/>
      <c r="F18" s="34">
        <f t="shared" ref="F18:F26" si="0">IF(D$12=0,0,D18/D$12)</f>
        <v>0</v>
      </c>
      <c r="G18" s="22"/>
      <c r="H18" s="22">
        <f>SUM(OSRRefH22x_0)</f>
        <v>8483.08</v>
      </c>
      <c r="I18" s="22"/>
      <c r="J18" s="34">
        <f t="shared" ref="J18:J26" si="1">IF(H$12=0,0,H18/H$12)</f>
        <v>0</v>
      </c>
      <c r="K18" s="4"/>
      <c r="L18" s="22">
        <f t="shared" ref="L18:L26" si="2">+D18-H18</f>
        <v>300.91000000000167</v>
      </c>
      <c r="M18" s="4"/>
      <c r="N18" s="34">
        <f t="shared" ref="N18:N26" si="3">IF(H18=0,0,L18/H18)</f>
        <v>3.5471786190864836E-2</v>
      </c>
      <c r="O18" s="10"/>
      <c r="P18" s="22">
        <f>SUM(OSRRefP22x_0)</f>
        <v>54000.11</v>
      </c>
      <c r="Q18" s="22"/>
      <c r="R18" s="34">
        <f t="shared" ref="R18:R26" si="4">IF(P$12=0,0,P18/P$12)</f>
        <v>0</v>
      </c>
      <c r="S18" s="22"/>
      <c r="T18" s="22">
        <f>SUM(OSRRefT22x_0)</f>
        <v>52242.790000000008</v>
      </c>
      <c r="U18" s="22"/>
      <c r="V18" s="34">
        <f t="shared" ref="V18:V26" si="5">IF(T$12=0,0,T18/T$12)</f>
        <v>0</v>
      </c>
      <c r="W18" s="4"/>
      <c r="X18" s="22">
        <f t="shared" ref="X18:X26" si="6">+P18-T18</f>
        <v>1757.3199999999924</v>
      </c>
      <c r="Y18" s="4"/>
      <c r="Z18" s="34">
        <f t="shared" ref="Z18:Z26" si="7">IF(T18=0,0,X18/T18)</f>
        <v>3.36375603217208E-2</v>
      </c>
    </row>
    <row r="19" spans="1:26" s="29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1807.08</v>
      </c>
      <c r="E19" s="1"/>
      <c r="F19" s="5">
        <f t="shared" si="0"/>
        <v>0</v>
      </c>
      <c r="G19" s="1"/>
      <c r="H19" s="1">
        <f>SUM(OSRRefH22_0x_0)</f>
        <v>1535.0600000000002</v>
      </c>
      <c r="I19" s="1"/>
      <c r="J19" s="5">
        <f t="shared" si="1"/>
        <v>0</v>
      </c>
      <c r="K19" s="1"/>
      <c r="L19" s="1">
        <f t="shared" si="2"/>
        <v>272.01999999999975</v>
      </c>
      <c r="M19" s="1"/>
      <c r="N19" s="5">
        <f t="shared" si="3"/>
        <v>0.17720479981238502</v>
      </c>
      <c r="O19" s="14"/>
      <c r="P19" s="1">
        <f>SUM(OSRRefP22_0x_0)</f>
        <v>11631.69</v>
      </c>
      <c r="Q19" s="1"/>
      <c r="R19" s="5">
        <f t="shared" si="4"/>
        <v>0</v>
      </c>
      <c r="S19" s="1"/>
      <c r="T19" s="1">
        <f>SUM(OSRRefT22_0x_0)</f>
        <v>9490.4</v>
      </c>
      <c r="U19" s="1"/>
      <c r="V19" s="5">
        <f t="shared" si="5"/>
        <v>0</v>
      </c>
      <c r="W19" s="1"/>
      <c r="X19" s="1">
        <f t="shared" si="6"/>
        <v>2141.2900000000009</v>
      </c>
      <c r="Y19" s="1"/>
      <c r="Z19" s="5">
        <f t="shared" si="7"/>
        <v>0.22562694933827879</v>
      </c>
    </row>
    <row r="20" spans="1:26" s="24" customFormat="1" hidden="1" outlineLevel="2" x14ac:dyDescent="0.3">
      <c r="A20" s="28"/>
      <c r="B20" s="11" t="str">
        <f>CONCATENATE("          ", "6111", " - ", "F.I.C.A.")</f>
        <v xml:space="preserve">          6111 - F.I.C.A.</v>
      </c>
      <c r="C20" s="11"/>
      <c r="D20" s="6">
        <v>371.86</v>
      </c>
      <c r="E20" s="2"/>
      <c r="F20" s="7">
        <f t="shared" si="0"/>
        <v>0</v>
      </c>
      <c r="G20" s="2"/>
      <c r="H20" s="6">
        <v>399.76</v>
      </c>
      <c r="I20" s="2"/>
      <c r="J20" s="7">
        <f t="shared" si="1"/>
        <v>0</v>
      </c>
      <c r="K20" s="2"/>
      <c r="L20" s="6">
        <f t="shared" si="2"/>
        <v>-27.899999999999977</v>
      </c>
      <c r="M20" s="2"/>
      <c r="N20" s="7">
        <f t="shared" si="3"/>
        <v>-6.9791875125074995E-2</v>
      </c>
      <c r="O20" s="11"/>
      <c r="P20" s="6">
        <v>2583.7600000000002</v>
      </c>
      <c r="Q20" s="2"/>
      <c r="R20" s="7">
        <f t="shared" si="4"/>
        <v>0</v>
      </c>
      <c r="S20" s="2"/>
      <c r="T20" s="6">
        <v>2423.41</v>
      </c>
      <c r="U20" s="2"/>
      <c r="V20" s="7">
        <f t="shared" si="5"/>
        <v>0</v>
      </c>
      <c r="W20" s="2"/>
      <c r="X20" s="6">
        <f t="shared" si="6"/>
        <v>160.35000000000036</v>
      </c>
      <c r="Y20" s="2"/>
      <c r="Z20" s="7">
        <f t="shared" si="7"/>
        <v>6.6167095126289141E-2</v>
      </c>
    </row>
    <row r="21" spans="1:26" s="24" customFormat="1" hidden="1" outlineLevel="2" x14ac:dyDescent="0.3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90.98</v>
      </c>
      <c r="E21" s="2"/>
      <c r="F21" s="7">
        <f t="shared" si="0"/>
        <v>0</v>
      </c>
      <c r="G21" s="2"/>
      <c r="H21" s="6">
        <v>28.23</v>
      </c>
      <c r="I21" s="2"/>
      <c r="J21" s="7">
        <f t="shared" si="1"/>
        <v>0</v>
      </c>
      <c r="K21" s="2"/>
      <c r="L21" s="6">
        <f t="shared" si="2"/>
        <v>62.75</v>
      </c>
      <c r="M21" s="2"/>
      <c r="N21" s="7">
        <f t="shared" si="3"/>
        <v>2.2228126106978392</v>
      </c>
      <c r="O21" s="11"/>
      <c r="P21" s="6">
        <v>535.35</v>
      </c>
      <c r="Q21" s="2"/>
      <c r="R21" s="7">
        <f t="shared" si="4"/>
        <v>0</v>
      </c>
      <c r="S21" s="2"/>
      <c r="T21" s="6">
        <v>136.31</v>
      </c>
      <c r="U21" s="2"/>
      <c r="V21" s="7">
        <f t="shared" si="5"/>
        <v>0</v>
      </c>
      <c r="W21" s="2"/>
      <c r="X21" s="6">
        <f t="shared" si="6"/>
        <v>399.04</v>
      </c>
      <c r="Y21" s="2"/>
      <c r="Z21" s="7">
        <f t="shared" si="7"/>
        <v>2.9274447949526814</v>
      </c>
    </row>
    <row r="22" spans="1:26" s="24" customFormat="1" hidden="1" outlineLevel="2" x14ac:dyDescent="0.3">
      <c r="A22" s="28"/>
      <c r="B22" s="11" t="str">
        <f>CONCATENATE("          ", "6113", " - ", "GROUP INSURANCE")</f>
        <v xml:space="preserve">          6113 - GROUP INSURANCE</v>
      </c>
      <c r="C22" s="11"/>
      <c r="D22" s="6">
        <v>700.87</v>
      </c>
      <c r="E22" s="2"/>
      <c r="F22" s="7">
        <f t="shared" si="0"/>
        <v>0</v>
      </c>
      <c r="G22" s="2"/>
      <c r="H22" s="6">
        <v>700.87</v>
      </c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4216.47</v>
      </c>
      <c r="Q22" s="2"/>
      <c r="R22" s="7">
        <f t="shared" si="4"/>
        <v>0</v>
      </c>
      <c r="S22" s="2"/>
      <c r="T22" s="6">
        <v>4205.22</v>
      </c>
      <c r="U22" s="2"/>
      <c r="V22" s="7">
        <f t="shared" si="5"/>
        <v>0</v>
      </c>
      <c r="W22" s="2"/>
      <c r="X22" s="6">
        <f t="shared" si="6"/>
        <v>11.25</v>
      </c>
      <c r="Y22" s="2"/>
      <c r="Z22" s="7">
        <f t="shared" si="7"/>
        <v>2.675246479375633E-3</v>
      </c>
    </row>
    <row r="23" spans="1:26" s="24" customFormat="1" hidden="1" outlineLevel="2" x14ac:dyDescent="0.3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18.34</v>
      </c>
      <c r="E23" s="2"/>
      <c r="F23" s="7">
        <f t="shared" si="0"/>
        <v>0</v>
      </c>
      <c r="G23" s="2"/>
      <c r="H23" s="6"/>
      <c r="I23" s="2"/>
      <c r="J23" s="7">
        <f t="shared" si="1"/>
        <v>0</v>
      </c>
      <c r="K23" s="2"/>
      <c r="L23" s="6">
        <f t="shared" si="2"/>
        <v>18.34</v>
      </c>
      <c r="M23" s="2"/>
      <c r="N23" s="7">
        <f t="shared" si="3"/>
        <v>0</v>
      </c>
      <c r="O23" s="11"/>
      <c r="P23" s="6">
        <v>107.91</v>
      </c>
      <c r="Q23" s="2"/>
      <c r="R23" s="7">
        <f t="shared" si="4"/>
        <v>0</v>
      </c>
      <c r="S23" s="2"/>
      <c r="T23" s="6">
        <v>85.16</v>
      </c>
      <c r="U23" s="2"/>
      <c r="V23" s="7">
        <f t="shared" si="5"/>
        <v>0</v>
      </c>
      <c r="W23" s="2"/>
      <c r="X23" s="6">
        <f t="shared" si="6"/>
        <v>22.75</v>
      </c>
      <c r="Y23" s="2"/>
      <c r="Z23" s="7">
        <f t="shared" si="7"/>
        <v>0.26714419915453264</v>
      </c>
    </row>
    <row r="24" spans="1:26" s="24" customFormat="1" hidden="1" outlineLevel="2" x14ac:dyDescent="0.3">
      <c r="A24" s="28"/>
      <c r="B24" s="11" t="str">
        <f>CONCATENATE("          ", "6118", " - ", "VACATION")</f>
        <v xml:space="preserve">          6118 - VACATION</v>
      </c>
      <c r="C24" s="11"/>
      <c r="D24" s="6">
        <v>287.66000000000003</v>
      </c>
      <c r="E24" s="2"/>
      <c r="F24" s="7">
        <f t="shared" si="0"/>
        <v>0</v>
      </c>
      <c r="G24" s="2"/>
      <c r="H24" s="6">
        <v>184.8</v>
      </c>
      <c r="I24" s="2"/>
      <c r="J24" s="7">
        <f t="shared" si="1"/>
        <v>0</v>
      </c>
      <c r="K24" s="2"/>
      <c r="L24" s="6">
        <f t="shared" si="2"/>
        <v>102.86000000000001</v>
      </c>
      <c r="M24" s="2"/>
      <c r="N24" s="7">
        <f t="shared" si="3"/>
        <v>0.55660173160173165</v>
      </c>
      <c r="O24" s="11"/>
      <c r="P24" s="6">
        <v>1820.02</v>
      </c>
      <c r="Q24" s="2"/>
      <c r="R24" s="7">
        <f t="shared" si="4"/>
        <v>0</v>
      </c>
      <c r="S24" s="2"/>
      <c r="T24" s="6">
        <v>1201.2</v>
      </c>
      <c r="U24" s="2"/>
      <c r="V24" s="7">
        <f t="shared" si="5"/>
        <v>0</v>
      </c>
      <c r="W24" s="2"/>
      <c r="X24" s="6">
        <f t="shared" si="6"/>
        <v>618.81999999999994</v>
      </c>
      <c r="Y24" s="2"/>
      <c r="Z24" s="7">
        <f t="shared" si="7"/>
        <v>0.5151681651681651</v>
      </c>
    </row>
    <row r="25" spans="1:26" s="24" customFormat="1" hidden="1" outlineLevel="2" x14ac:dyDescent="0.3">
      <c r="A25" s="28"/>
      <c r="B25" s="11" t="str">
        <f>CONCATENATE("          ", "6119", " - ", "SICK LEAVE")</f>
        <v xml:space="preserve">          6119 - SICK LEAVE</v>
      </c>
      <c r="C25" s="11"/>
      <c r="D25" s="6">
        <v>230.26</v>
      </c>
      <c r="E25" s="2"/>
      <c r="F25" s="7">
        <f t="shared" si="0"/>
        <v>0</v>
      </c>
      <c r="G25" s="2"/>
      <c r="H25" s="6">
        <v>221.4</v>
      </c>
      <c r="I25" s="2"/>
      <c r="J25" s="7">
        <f t="shared" si="1"/>
        <v>0</v>
      </c>
      <c r="K25" s="2"/>
      <c r="L25" s="6">
        <f t="shared" si="2"/>
        <v>8.8599999999999852</v>
      </c>
      <c r="M25" s="2"/>
      <c r="N25" s="7">
        <f t="shared" si="3"/>
        <v>4.0018066847335075E-2</v>
      </c>
      <c r="O25" s="11"/>
      <c r="P25" s="6">
        <v>1456.82</v>
      </c>
      <c r="Q25" s="2"/>
      <c r="R25" s="7">
        <f t="shared" si="4"/>
        <v>0</v>
      </c>
      <c r="S25" s="2"/>
      <c r="T25" s="6">
        <v>1439.1</v>
      </c>
      <c r="U25" s="2"/>
      <c r="V25" s="7">
        <f t="shared" si="5"/>
        <v>0</v>
      </c>
      <c r="W25" s="2"/>
      <c r="X25" s="6">
        <f t="shared" si="6"/>
        <v>17.720000000000027</v>
      </c>
      <c r="Y25" s="2"/>
      <c r="Z25" s="7">
        <f t="shared" si="7"/>
        <v>1.2313251337641601E-2</v>
      </c>
    </row>
    <row r="26" spans="1:26" s="24" customFormat="1" hidden="1" outlineLevel="2" x14ac:dyDescent="0.3">
      <c r="A26" s="28"/>
      <c r="B26" s="11" t="str">
        <f>CONCATENATE("          ", "6156", " - ", "EMPLOYEE MEALS")</f>
        <v xml:space="preserve">          6156 - EMPLOYEE MEALS</v>
      </c>
      <c r="C26" s="11"/>
      <c r="D26" s="6">
        <v>107.11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107.11</v>
      </c>
      <c r="M26" s="2"/>
      <c r="N26" s="7">
        <f t="shared" si="3"/>
        <v>0</v>
      </c>
      <c r="O26" s="11"/>
      <c r="P26" s="6">
        <v>911.36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911.36</v>
      </c>
      <c r="Y26" s="2"/>
      <c r="Z26" s="7">
        <f t="shared" si="7"/>
        <v>0</v>
      </c>
    </row>
    <row r="27" spans="1:26" s="29" customFormat="1" outlineLevel="1" collapsed="1" x14ac:dyDescent="0.3">
      <c r="A27" s="27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6934.1900000000005</v>
      </c>
      <c r="E27" s="1"/>
      <c r="F27" s="5">
        <f t="shared" ref="F27:F30" si="8">IF(D$12=0,0,D27/D$12)</f>
        <v>0</v>
      </c>
      <c r="G27" s="1"/>
      <c r="H27" s="1">
        <f>SUM(OSRRefH22_1x_0)</f>
        <v>6467.54</v>
      </c>
      <c r="I27" s="1"/>
      <c r="J27" s="5">
        <f t="shared" ref="J27:J30" si="9">IF(H$12=0,0,H27/H$12)</f>
        <v>0</v>
      </c>
      <c r="K27" s="1"/>
      <c r="L27" s="1">
        <f t="shared" ref="L27:L30" si="10">+D27-H27</f>
        <v>466.65000000000055</v>
      </c>
      <c r="M27" s="1"/>
      <c r="N27" s="5">
        <f t="shared" ref="N27:N30" si="11">IF(H27=0,0,L27/H27)</f>
        <v>7.2152626810193757E-2</v>
      </c>
      <c r="O27" s="14"/>
      <c r="P27" s="1">
        <f>SUM(OSRRefP22_1x_0)</f>
        <v>40912.979999999996</v>
      </c>
      <c r="Q27" s="1"/>
      <c r="R27" s="5">
        <f t="shared" ref="R27:R30" si="12">IF(P$12=0,0,P27/P$12)</f>
        <v>0</v>
      </c>
      <c r="S27" s="1"/>
      <c r="T27" s="1">
        <f>SUM(OSRRefT22_1x_0)</f>
        <v>40078.720000000001</v>
      </c>
      <c r="U27" s="1"/>
      <c r="V27" s="5">
        <f t="shared" ref="V27:V30" si="13">IF(T$12=0,0,T27/T$12)</f>
        <v>0</v>
      </c>
      <c r="W27" s="1"/>
      <c r="X27" s="1">
        <f t="shared" ref="X27:X30" si="14">+P27-T27</f>
        <v>834.25999999999476</v>
      </c>
      <c r="Y27" s="1"/>
      <c r="Z27" s="5">
        <f t="shared" ref="Z27:Z30" si="15">IF(T27=0,0,X27/T27)</f>
        <v>2.0815535027066602E-2</v>
      </c>
    </row>
    <row r="28" spans="1:26" s="24" customFormat="1" hidden="1" outlineLevel="2" x14ac:dyDescent="0.3">
      <c r="A28" s="28"/>
      <c r="B28" s="11" t="str">
        <f>CONCATENATE("          ", "6004", " - ", "STAFF HOURLY")</f>
        <v xml:space="preserve">          6004 - STAFF HOURLY</v>
      </c>
      <c r="C28" s="11"/>
      <c r="D28" s="6">
        <v>4724.62</v>
      </c>
      <c r="E28" s="2"/>
      <c r="F28" s="7">
        <f t="shared" si="8"/>
        <v>0</v>
      </c>
      <c r="G28" s="2"/>
      <c r="H28" s="6">
        <v>5362.5</v>
      </c>
      <c r="I28" s="2"/>
      <c r="J28" s="7">
        <f t="shared" si="9"/>
        <v>0</v>
      </c>
      <c r="K28" s="2"/>
      <c r="L28" s="6">
        <f t="shared" si="10"/>
        <v>-637.88000000000011</v>
      </c>
      <c r="M28" s="2"/>
      <c r="N28" s="7">
        <f t="shared" si="11"/>
        <v>-0.11895198135198137</v>
      </c>
      <c r="O28" s="11"/>
      <c r="P28" s="6">
        <v>29437.78</v>
      </c>
      <c r="Q28" s="2"/>
      <c r="R28" s="7">
        <f t="shared" si="12"/>
        <v>0</v>
      </c>
      <c r="S28" s="2"/>
      <c r="T28" s="6">
        <v>31850.1</v>
      </c>
      <c r="U28" s="2"/>
      <c r="V28" s="7">
        <f t="shared" si="13"/>
        <v>0</v>
      </c>
      <c r="W28" s="2"/>
      <c r="X28" s="6">
        <f t="shared" si="14"/>
        <v>-2412.3199999999997</v>
      </c>
      <c r="Y28" s="2"/>
      <c r="Z28" s="7">
        <f t="shared" si="15"/>
        <v>-7.5739793595624494E-2</v>
      </c>
    </row>
    <row r="29" spans="1:26" s="24" customFormat="1" hidden="1" outlineLevel="2" x14ac:dyDescent="0.3">
      <c r="A29" s="28"/>
      <c r="B29" s="11" t="str">
        <f>CONCATENATE("          ", "6007", " - ", "STUDENT HOURLY")</f>
        <v xml:space="preserve">          6007 - STUDENT HOURLY</v>
      </c>
      <c r="C29" s="11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>
        <v>0</v>
      </c>
      <c r="Q29" s="2"/>
      <c r="R29" s="7">
        <f t="shared" si="12"/>
        <v>0</v>
      </c>
      <c r="S29" s="2"/>
      <c r="T29" s="6">
        <v>0</v>
      </c>
      <c r="U29" s="2"/>
      <c r="V29" s="7">
        <f t="shared" si="13"/>
        <v>0</v>
      </c>
      <c r="W29" s="2"/>
      <c r="X29" s="6">
        <f t="shared" si="14"/>
        <v>0</v>
      </c>
      <c r="Y29" s="2"/>
      <c r="Z29" s="7">
        <f t="shared" si="15"/>
        <v>0</v>
      </c>
    </row>
    <row r="30" spans="1:26" s="24" customFormat="1" hidden="1" outlineLevel="2" x14ac:dyDescent="0.3">
      <c r="A30" s="28"/>
      <c r="B30" s="11" t="str">
        <f>CONCATENATE("          ", "6008", " - ", "STUDENT HOURLY-FICA EXEMPT")</f>
        <v xml:space="preserve">          6008 - STUDENT HOURLY-FICA EXEMPT</v>
      </c>
      <c r="C30" s="11"/>
      <c r="D30" s="6">
        <v>2209.5700000000002</v>
      </c>
      <c r="E30" s="2"/>
      <c r="F30" s="7">
        <f t="shared" si="8"/>
        <v>0</v>
      </c>
      <c r="G30" s="2"/>
      <c r="H30" s="6">
        <v>1105.04</v>
      </c>
      <c r="I30" s="2"/>
      <c r="J30" s="7">
        <f t="shared" si="9"/>
        <v>0</v>
      </c>
      <c r="K30" s="2"/>
      <c r="L30" s="6">
        <f t="shared" si="10"/>
        <v>1104.5300000000002</v>
      </c>
      <c r="M30" s="2"/>
      <c r="N30" s="7">
        <f t="shared" si="11"/>
        <v>0.99953847824513165</v>
      </c>
      <c r="O30" s="11"/>
      <c r="P30" s="6">
        <v>11475.2</v>
      </c>
      <c r="Q30" s="2"/>
      <c r="R30" s="7">
        <f t="shared" si="12"/>
        <v>0</v>
      </c>
      <c r="S30" s="2"/>
      <c r="T30" s="6">
        <v>8228.6200000000008</v>
      </c>
      <c r="U30" s="2"/>
      <c r="V30" s="7">
        <f t="shared" si="13"/>
        <v>0</v>
      </c>
      <c r="W30" s="2"/>
      <c r="X30" s="6">
        <f t="shared" si="14"/>
        <v>3246.58</v>
      </c>
      <c r="Y30" s="2"/>
      <c r="Z30" s="7">
        <f t="shared" si="15"/>
        <v>0.39454732385260222</v>
      </c>
    </row>
    <row r="31" spans="1:26" s="29" customFormat="1" outlineLevel="1" collapsed="1" x14ac:dyDescent="0.3">
      <c r="A31" s="27"/>
      <c r="B31" s="14" t="str">
        <f>CONCATENATE("     ","Advertising/Promo                                 ")</f>
        <v xml:space="preserve">     Advertising/Promo                                 </v>
      </c>
      <c r="C31" s="14"/>
      <c r="D31" s="1">
        <f>SUM(OSRRefD22_2x_0)</f>
        <v>0</v>
      </c>
      <c r="E31" s="1"/>
      <c r="F31" s="5">
        <f t="shared" ref="F31:F40" si="16">IF(D$12=0,0,D31/D$12)</f>
        <v>0</v>
      </c>
      <c r="G31" s="1"/>
      <c r="H31" s="1">
        <f>SUM(OSRRefH22_2x_0)</f>
        <v>173.21</v>
      </c>
      <c r="I31" s="1"/>
      <c r="J31" s="5">
        <f t="shared" ref="J31:J40" si="17">IF(H$12=0,0,H31/H$12)</f>
        <v>0</v>
      </c>
      <c r="K31" s="1"/>
      <c r="L31" s="1">
        <f t="shared" ref="L31:L40" si="18">+D31-H31</f>
        <v>-173.21</v>
      </c>
      <c r="M31" s="1"/>
      <c r="N31" s="5">
        <f t="shared" ref="N31:N40" si="19">IF(H31=0,0,L31/H31)</f>
        <v>-1</v>
      </c>
      <c r="O31" s="14"/>
      <c r="P31" s="1">
        <f>SUM(OSRRefP22_2x_0)</f>
        <v>1092.8599999999999</v>
      </c>
      <c r="Q31" s="1"/>
      <c r="R31" s="5">
        <f t="shared" ref="R31:R40" si="20">IF(P$12=0,0,P31/P$12)</f>
        <v>0</v>
      </c>
      <c r="S31" s="1"/>
      <c r="T31" s="1">
        <f>SUM(OSRRefT22_2x_0)</f>
        <v>866.05</v>
      </c>
      <c r="U31" s="1"/>
      <c r="V31" s="5">
        <f t="shared" ref="V31:V40" si="21">IF(T$12=0,0,T31/T$12)</f>
        <v>0</v>
      </c>
      <c r="W31" s="1"/>
      <c r="X31" s="1">
        <f t="shared" ref="X31:X40" si="22">+P31-T31</f>
        <v>226.80999999999995</v>
      </c>
      <c r="Y31" s="1"/>
      <c r="Z31" s="5">
        <f t="shared" ref="Z31:Z40" si="23">IF(T31=0,0,X31/T31)</f>
        <v>0.26189019109751166</v>
      </c>
    </row>
    <row r="32" spans="1:26" s="24" customFormat="1" hidden="1" outlineLevel="2" x14ac:dyDescent="0.3">
      <c r="A32" s="28"/>
      <c r="B32" s="11" t="str">
        <f>CONCATENATE("          ", "6362", " - ", "ADVERTISING EXPENSE")</f>
        <v xml:space="preserve">          6362 - ADVERTISING EXPENSE</v>
      </c>
      <c r="C32" s="11"/>
      <c r="D32" s="6"/>
      <c r="E32" s="2"/>
      <c r="F32" s="7">
        <f t="shared" si="16"/>
        <v>0</v>
      </c>
      <c r="G32" s="2"/>
      <c r="H32" s="6">
        <v>173.21</v>
      </c>
      <c r="I32" s="2"/>
      <c r="J32" s="7">
        <f t="shared" si="17"/>
        <v>0</v>
      </c>
      <c r="K32" s="2"/>
      <c r="L32" s="6">
        <f t="shared" si="18"/>
        <v>-173.21</v>
      </c>
      <c r="M32" s="2"/>
      <c r="N32" s="7">
        <f t="shared" si="19"/>
        <v>-1</v>
      </c>
      <c r="O32" s="11"/>
      <c r="P32" s="6">
        <v>1092.8599999999999</v>
      </c>
      <c r="Q32" s="2"/>
      <c r="R32" s="7">
        <f t="shared" si="20"/>
        <v>0</v>
      </c>
      <c r="S32" s="2"/>
      <c r="T32" s="6">
        <v>866.05</v>
      </c>
      <c r="U32" s="2"/>
      <c r="V32" s="7">
        <f t="shared" si="21"/>
        <v>0</v>
      </c>
      <c r="W32" s="2"/>
      <c r="X32" s="6">
        <f t="shared" si="22"/>
        <v>226.80999999999995</v>
      </c>
      <c r="Y32" s="2"/>
      <c r="Z32" s="7">
        <f t="shared" si="23"/>
        <v>0.26189019109751166</v>
      </c>
    </row>
    <row r="33" spans="1:26" s="29" customFormat="1" outlineLevel="1" collapsed="1" x14ac:dyDescent="0.3">
      <c r="A33" s="27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SUM(OSRRefD22_3x_0)</f>
        <v>0</v>
      </c>
      <c r="E33" s="1"/>
      <c r="F33" s="5">
        <f t="shared" si="16"/>
        <v>0</v>
      </c>
      <c r="G33" s="1"/>
      <c r="H33" s="1">
        <f>SUM(OSRRefH22_3x_0)</f>
        <v>271.27</v>
      </c>
      <c r="I33" s="1"/>
      <c r="J33" s="5">
        <f t="shared" si="17"/>
        <v>0</v>
      </c>
      <c r="K33" s="1"/>
      <c r="L33" s="1">
        <f t="shared" si="18"/>
        <v>-271.27</v>
      </c>
      <c r="M33" s="1"/>
      <c r="N33" s="5">
        <f t="shared" si="19"/>
        <v>-1</v>
      </c>
      <c r="O33" s="14"/>
      <c r="P33" s="1">
        <f>SUM(OSRRefP22_3x_0)</f>
        <v>0</v>
      </c>
      <c r="Q33" s="1"/>
      <c r="R33" s="5">
        <f t="shared" si="20"/>
        <v>0</v>
      </c>
      <c r="S33" s="1"/>
      <c r="T33" s="1">
        <f>SUM(OSRRefT22_3x_0)</f>
        <v>1627.62</v>
      </c>
      <c r="U33" s="1"/>
      <c r="V33" s="5">
        <f t="shared" si="21"/>
        <v>0</v>
      </c>
      <c r="W33" s="1"/>
      <c r="X33" s="1">
        <f t="shared" si="22"/>
        <v>-1627.62</v>
      </c>
      <c r="Y33" s="1"/>
      <c r="Z33" s="5">
        <f t="shared" si="23"/>
        <v>-1</v>
      </c>
    </row>
    <row r="34" spans="1:26" s="24" customFormat="1" hidden="1" outlineLevel="2" x14ac:dyDescent="0.3">
      <c r="A34" s="28"/>
      <c r="B34" s="11" t="str">
        <f>CONCATENATE("          ", "6322", " - ", "EQUIPMENT DEPRECIATION EXPENSE")</f>
        <v xml:space="preserve">          6322 - EQUIPMENT DEPRECIATION EXPENSE</v>
      </c>
      <c r="C34" s="11"/>
      <c r="D34" s="6"/>
      <c r="E34" s="2"/>
      <c r="F34" s="7">
        <f t="shared" si="16"/>
        <v>0</v>
      </c>
      <c r="G34" s="2"/>
      <c r="H34" s="6">
        <v>271.27</v>
      </c>
      <c r="I34" s="2"/>
      <c r="J34" s="7">
        <f t="shared" si="17"/>
        <v>0</v>
      </c>
      <c r="K34" s="2"/>
      <c r="L34" s="6">
        <f t="shared" si="18"/>
        <v>-271.27</v>
      </c>
      <c r="M34" s="2"/>
      <c r="N34" s="7">
        <f t="shared" si="19"/>
        <v>-1</v>
      </c>
      <c r="O34" s="11"/>
      <c r="P34" s="6"/>
      <c r="Q34" s="2"/>
      <c r="R34" s="7">
        <f t="shared" si="20"/>
        <v>0</v>
      </c>
      <c r="S34" s="2"/>
      <c r="T34" s="6">
        <v>1627.62</v>
      </c>
      <c r="U34" s="2"/>
      <c r="V34" s="7">
        <f t="shared" si="21"/>
        <v>0</v>
      </c>
      <c r="W34" s="2"/>
      <c r="X34" s="6">
        <f t="shared" si="22"/>
        <v>-1627.62</v>
      </c>
      <c r="Y34" s="2"/>
      <c r="Z34" s="7">
        <f t="shared" si="23"/>
        <v>-1</v>
      </c>
    </row>
    <row r="35" spans="1:26" s="29" customFormat="1" outlineLevel="1" collapsed="1" x14ac:dyDescent="0.3">
      <c r="A35" s="27"/>
      <c r="B35" s="14" t="str">
        <f>CONCATENATE("     ","Repair and Maintenance                            ")</f>
        <v xml:space="preserve">     Repair and Maintenance                            </v>
      </c>
      <c r="C35" s="14"/>
      <c r="D35" s="1">
        <f>SUM(OSRRefD22_4x_0)</f>
        <v>0</v>
      </c>
      <c r="E35" s="1"/>
      <c r="F35" s="5">
        <f t="shared" si="16"/>
        <v>0</v>
      </c>
      <c r="G35" s="1"/>
      <c r="H35" s="1">
        <f>SUM(OSRRefH22_4x_0)</f>
        <v>0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4"/>
      <c r="P35" s="1">
        <f>SUM(OSRRefP22_4x_0)</f>
        <v>63.36</v>
      </c>
      <c r="Q35" s="1"/>
      <c r="R35" s="5">
        <f t="shared" si="20"/>
        <v>0</v>
      </c>
      <c r="S35" s="1"/>
      <c r="T35" s="1">
        <f>SUM(OSRRefT22_4x_0)</f>
        <v>0</v>
      </c>
      <c r="U35" s="1"/>
      <c r="V35" s="5">
        <f t="shared" si="21"/>
        <v>0</v>
      </c>
      <c r="W35" s="1"/>
      <c r="X35" s="1">
        <f t="shared" si="22"/>
        <v>63.36</v>
      </c>
      <c r="Y35" s="1"/>
      <c r="Z35" s="5">
        <f t="shared" si="23"/>
        <v>0</v>
      </c>
    </row>
    <row r="36" spans="1:26" s="24" customFormat="1" hidden="1" outlineLevel="2" x14ac:dyDescent="0.3">
      <c r="A36" s="28"/>
      <c r="B36" s="11" t="str">
        <f>CONCATENATE("          ", "6375", " - ", "OUTSIDE REPAIRS &amp; MAINTENANCE")</f>
        <v xml:space="preserve">          6375 - OUTSIDE REPAIRS &amp; MAINTENANCE</v>
      </c>
      <c r="C36" s="11"/>
      <c r="D36" s="6"/>
      <c r="E36" s="2"/>
      <c r="F36" s="7">
        <f t="shared" si="16"/>
        <v>0</v>
      </c>
      <c r="G36" s="2"/>
      <c r="H36" s="6"/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>
        <v>63.36</v>
      </c>
      <c r="Q36" s="2"/>
      <c r="R36" s="7">
        <f t="shared" si="20"/>
        <v>0</v>
      </c>
      <c r="S36" s="2"/>
      <c r="T36" s="6"/>
      <c r="U36" s="2"/>
      <c r="V36" s="7">
        <f t="shared" si="21"/>
        <v>0</v>
      </c>
      <c r="W36" s="2"/>
      <c r="X36" s="6">
        <f t="shared" si="22"/>
        <v>63.36</v>
      </c>
      <c r="Y36" s="2"/>
      <c r="Z36" s="7">
        <f t="shared" si="23"/>
        <v>0</v>
      </c>
    </row>
    <row r="37" spans="1:26" s="29" customFormat="1" outlineLevel="1" collapsed="1" x14ac:dyDescent="0.3">
      <c r="A37" s="27"/>
      <c r="B37" s="14" t="str">
        <f>CONCATENATE("     ","Supplies                                          ")</f>
        <v xml:space="preserve">     Supplies                                          </v>
      </c>
      <c r="C37" s="14"/>
      <c r="D37" s="1">
        <f>SUM(OSRRefD22_5x_0)</f>
        <v>6.62</v>
      </c>
      <c r="E37" s="1"/>
      <c r="F37" s="5">
        <f t="shared" si="16"/>
        <v>0</v>
      </c>
      <c r="G37" s="1"/>
      <c r="H37" s="1">
        <f>SUM(OSRRefH22_5x_0)</f>
        <v>0</v>
      </c>
      <c r="I37" s="1"/>
      <c r="J37" s="5">
        <f t="shared" si="17"/>
        <v>0</v>
      </c>
      <c r="K37" s="1"/>
      <c r="L37" s="1">
        <f t="shared" si="18"/>
        <v>6.62</v>
      </c>
      <c r="M37" s="1"/>
      <c r="N37" s="5">
        <f t="shared" si="19"/>
        <v>0</v>
      </c>
      <c r="O37" s="14"/>
      <c r="P37" s="1">
        <f>SUM(OSRRefP22_5x_0)</f>
        <v>11.12</v>
      </c>
      <c r="Q37" s="1"/>
      <c r="R37" s="5">
        <f t="shared" si="20"/>
        <v>0</v>
      </c>
      <c r="S37" s="1"/>
      <c r="T37" s="1">
        <f>SUM(OSRRefT22_5x_0)</f>
        <v>0</v>
      </c>
      <c r="U37" s="1"/>
      <c r="V37" s="5">
        <f t="shared" si="21"/>
        <v>0</v>
      </c>
      <c r="W37" s="1"/>
      <c r="X37" s="1">
        <f t="shared" si="22"/>
        <v>11.12</v>
      </c>
      <c r="Y37" s="1"/>
      <c r="Z37" s="5">
        <f t="shared" si="23"/>
        <v>0</v>
      </c>
    </row>
    <row r="38" spans="1:26" s="24" customFormat="1" hidden="1" outlineLevel="2" x14ac:dyDescent="0.3">
      <c r="A38" s="28"/>
      <c r="B38" s="11" t="str">
        <f>CONCATENATE("          ", "6241", " - ", "OFFICE EXPENSE")</f>
        <v xml:space="preserve">          6241 - OFFICE EXPENSE</v>
      </c>
      <c r="C38" s="11"/>
      <c r="D38" s="6">
        <v>6.62</v>
      </c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6.62</v>
      </c>
      <c r="M38" s="2"/>
      <c r="N38" s="7">
        <f t="shared" si="19"/>
        <v>0</v>
      </c>
      <c r="O38" s="11"/>
      <c r="P38" s="6">
        <v>11.12</v>
      </c>
      <c r="Q38" s="2"/>
      <c r="R38" s="7">
        <f t="shared" si="20"/>
        <v>0</v>
      </c>
      <c r="S38" s="2"/>
      <c r="T38" s="6"/>
      <c r="U38" s="2"/>
      <c r="V38" s="7">
        <f t="shared" si="21"/>
        <v>0</v>
      </c>
      <c r="W38" s="2"/>
      <c r="X38" s="6">
        <f t="shared" si="22"/>
        <v>11.12</v>
      </c>
      <c r="Y38" s="2"/>
      <c r="Z38" s="7">
        <f t="shared" si="23"/>
        <v>0</v>
      </c>
    </row>
    <row r="39" spans="1:26" s="29" customFormat="1" outlineLevel="1" collapsed="1" x14ac:dyDescent="0.3">
      <c r="A39" s="27"/>
      <c r="B39" s="14" t="str">
        <f>CONCATENATE("     ","Telephone/Data Lines                              ")</f>
        <v xml:space="preserve">     Telephone/Data Lines                              </v>
      </c>
      <c r="C39" s="14"/>
      <c r="D39" s="1">
        <f>SUM(OSRRefD22_6x_0)</f>
        <v>36.1</v>
      </c>
      <c r="E39" s="1"/>
      <c r="F39" s="5">
        <f t="shared" si="16"/>
        <v>0</v>
      </c>
      <c r="G39" s="1"/>
      <c r="H39" s="1">
        <f>SUM(OSRRefH22_6x_0)</f>
        <v>36</v>
      </c>
      <c r="I39" s="1"/>
      <c r="J39" s="5">
        <f t="shared" si="17"/>
        <v>0</v>
      </c>
      <c r="K39" s="1"/>
      <c r="L39" s="1">
        <f t="shared" si="18"/>
        <v>0.10000000000000142</v>
      </c>
      <c r="M39" s="1"/>
      <c r="N39" s="5">
        <f t="shared" si="19"/>
        <v>2.7777777777778173E-3</v>
      </c>
      <c r="O39" s="14"/>
      <c r="P39" s="1">
        <f>SUM(OSRRefP22_6x_0)</f>
        <v>288.10000000000002</v>
      </c>
      <c r="Q39" s="1"/>
      <c r="R39" s="5">
        <f t="shared" si="20"/>
        <v>0</v>
      </c>
      <c r="S39" s="1"/>
      <c r="T39" s="1">
        <f>SUM(OSRRefT22_6x_0)</f>
        <v>180</v>
      </c>
      <c r="U39" s="1"/>
      <c r="V39" s="5">
        <f t="shared" si="21"/>
        <v>0</v>
      </c>
      <c r="W39" s="1"/>
      <c r="X39" s="1">
        <f t="shared" si="22"/>
        <v>108.10000000000002</v>
      </c>
      <c r="Y39" s="1"/>
      <c r="Z39" s="5">
        <f t="shared" si="23"/>
        <v>0.60055555555555573</v>
      </c>
    </row>
    <row r="40" spans="1:26" s="24" customFormat="1" hidden="1" outlineLevel="2" x14ac:dyDescent="0.3">
      <c r="A40" s="28"/>
      <c r="B40" s="11" t="str">
        <f>CONCATENATE("          ", "6309", " - ", "TELEPHONE")</f>
        <v xml:space="preserve">          6309 - TELEPHONE</v>
      </c>
      <c r="C40" s="11"/>
      <c r="D40" s="6">
        <v>36.1</v>
      </c>
      <c r="E40" s="2"/>
      <c r="F40" s="7">
        <f t="shared" si="16"/>
        <v>0</v>
      </c>
      <c r="G40" s="2"/>
      <c r="H40" s="6">
        <v>36</v>
      </c>
      <c r="I40" s="2"/>
      <c r="J40" s="7">
        <f t="shared" si="17"/>
        <v>0</v>
      </c>
      <c r="K40" s="2"/>
      <c r="L40" s="6">
        <f t="shared" si="18"/>
        <v>0.10000000000000142</v>
      </c>
      <c r="M40" s="2"/>
      <c r="N40" s="7">
        <f t="shared" si="19"/>
        <v>2.7777777777778173E-3</v>
      </c>
      <c r="O40" s="11"/>
      <c r="P40" s="6">
        <v>288.10000000000002</v>
      </c>
      <c r="Q40" s="2"/>
      <c r="R40" s="7">
        <f t="shared" si="20"/>
        <v>0</v>
      </c>
      <c r="S40" s="2"/>
      <c r="T40" s="6">
        <v>180</v>
      </c>
      <c r="U40" s="2"/>
      <c r="V40" s="7">
        <f t="shared" si="21"/>
        <v>0</v>
      </c>
      <c r="W40" s="2"/>
      <c r="X40" s="6">
        <f t="shared" si="22"/>
        <v>108.10000000000002</v>
      </c>
      <c r="Y40" s="2"/>
      <c r="Z40" s="7">
        <f t="shared" si="23"/>
        <v>0.60055555555555573</v>
      </c>
    </row>
    <row r="41" spans="1:26" s="53" customFormat="1" x14ac:dyDescent="0.3">
      <c r="A41" s="37"/>
      <c r="B41" s="37"/>
      <c r="C41" s="37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7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3">
      <c r="A42" s="10"/>
      <c r="B42" s="25" t="s">
        <v>292</v>
      </c>
      <c r="C42" s="10"/>
      <c r="D42" s="4">
        <f>SUM(0)</f>
        <v>0</v>
      </c>
      <c r="E42" s="4"/>
      <c r="F42" s="12">
        <f>IF(D$12=0,0,D42/D$12)</f>
        <v>0</v>
      </c>
      <c r="G42" s="4"/>
      <c r="H42" s="4">
        <f>SUM(0)</f>
        <v>0</v>
      </c>
      <c r="I42" s="4"/>
      <c r="J42" s="12">
        <f>IF(H$12=0,0,H42/H$12)</f>
        <v>0</v>
      </c>
      <c r="K42" s="4"/>
      <c r="L42" s="4">
        <f>+D42-H42</f>
        <v>0</v>
      </c>
      <c r="M42" s="4"/>
      <c r="N42" s="12">
        <f>IF(H42=0,0,L42/H42)</f>
        <v>0</v>
      </c>
      <c r="O42" s="10"/>
      <c r="P42" s="4">
        <f>SUM(0)</f>
        <v>0</v>
      </c>
      <c r="Q42" s="4"/>
      <c r="R42" s="12">
        <f>IF(P$12=0,0,P42/P$12)</f>
        <v>0</v>
      </c>
      <c r="S42" s="4"/>
      <c r="T42" s="4">
        <f>SUM(0)</f>
        <v>0</v>
      </c>
      <c r="U42" s="4"/>
      <c r="V42" s="12">
        <f>IF(T$12=0,0,T42/T$12)</f>
        <v>0</v>
      </c>
      <c r="W42" s="4"/>
      <c r="X42" s="4">
        <f>+P42-T42</f>
        <v>0</v>
      </c>
      <c r="Y42" s="4"/>
      <c r="Z42" s="12">
        <f>IF(T42=0,0,X42/T42)</f>
        <v>0</v>
      </c>
    </row>
    <row r="43" spans="1:26" x14ac:dyDescent="0.3">
      <c r="A43" s="9"/>
      <c r="B43" s="10"/>
      <c r="C43" s="10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O43" s="10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x14ac:dyDescent="0.3">
      <c r="A44" s="10"/>
      <c r="B44" s="26" t="s">
        <v>276</v>
      </c>
      <c r="C44" s="26"/>
      <c r="D44" s="20">
        <f>+D16-D18+D42</f>
        <v>-8783.9900000000016</v>
      </c>
      <c r="E44" s="13"/>
      <c r="F44" s="21">
        <f>IF(D$12=0,0,D44/D$12)</f>
        <v>0</v>
      </c>
      <c r="G44" s="13"/>
      <c r="H44" s="20">
        <f>+H16-H18+H42</f>
        <v>-8483.08</v>
      </c>
      <c r="I44" s="13"/>
      <c r="J44" s="21">
        <f>IF(H$12=0,0,H44/H$12)</f>
        <v>0</v>
      </c>
      <c r="K44" s="15"/>
      <c r="L44" s="20">
        <f>+D44-H44</f>
        <v>-300.91000000000167</v>
      </c>
      <c r="M44" s="15"/>
      <c r="N44" s="21">
        <f>IF(H44=0,0,L44/H44)</f>
        <v>3.5471786190864836E-2</v>
      </c>
      <c r="O44" s="25"/>
      <c r="P44" s="20">
        <f>+P16-P18+P42</f>
        <v>-54000.11</v>
      </c>
      <c r="Q44" s="13"/>
      <c r="R44" s="21">
        <f>IF(P$12=0,0,P44/P$12)</f>
        <v>0</v>
      </c>
      <c r="S44" s="13"/>
      <c r="T44" s="20">
        <f>+T16-T18+T42</f>
        <v>-52242.790000000008</v>
      </c>
      <c r="U44" s="13"/>
      <c r="V44" s="21">
        <f>IF(T$12=0,0,T44/T$12)</f>
        <v>0</v>
      </c>
      <c r="W44" s="15"/>
      <c r="X44" s="20">
        <f>+P44-T44</f>
        <v>-1757.3199999999924</v>
      </c>
      <c r="Y44" s="15"/>
      <c r="Z44" s="21">
        <f>IF(T44=0,0,X44/T44)</f>
        <v>3.36375603217208E-2</v>
      </c>
    </row>
    <row r="45" spans="1:26" x14ac:dyDescent="0.3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3">
      <c r="A46" s="51"/>
      <c r="B46" s="10" t="s">
        <v>127</v>
      </c>
      <c r="C46" s="10"/>
      <c r="D46" s="4"/>
      <c r="E46" s="4"/>
      <c r="F46" s="12">
        <f>IF(D$12=0,0,D46/D$12)</f>
        <v>0</v>
      </c>
      <c r="G46" s="4"/>
      <c r="H46" s="4"/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/>
      <c r="Q46" s="4"/>
      <c r="R46" s="12">
        <f>IF(P$12=0,0,P46/P$12)</f>
        <v>0</v>
      </c>
      <c r="S46" s="4"/>
      <c r="T46" s="4"/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3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ht="15" thickBot="1" x14ac:dyDescent="0.35">
      <c r="A48" s="10"/>
      <c r="B48" s="26" t="s">
        <v>125</v>
      </c>
      <c r="C48" s="26"/>
      <c r="D48" s="32">
        <f>+D44-D46</f>
        <v>-8783.9900000000016</v>
      </c>
      <c r="E48" s="13"/>
      <c r="F48" s="35">
        <f>IF(D$12=0,0,D48/D$12)</f>
        <v>0</v>
      </c>
      <c r="G48" s="13"/>
      <c r="H48" s="32">
        <f>+H44-H46</f>
        <v>-8483.08</v>
      </c>
      <c r="I48" s="13"/>
      <c r="J48" s="35">
        <f>IF(H$12=0,0,H48/H$12)</f>
        <v>0</v>
      </c>
      <c r="K48" s="15"/>
      <c r="L48" s="32">
        <f>D48-H48</f>
        <v>-300.91000000000167</v>
      </c>
      <c r="M48" s="15"/>
      <c r="N48" s="35">
        <f>IF(H48=0,0,L48/H48)</f>
        <v>3.5471786190864836E-2</v>
      </c>
      <c r="O48" s="25"/>
      <c r="P48" s="32">
        <f>+P44-P46</f>
        <v>-54000.11</v>
      </c>
      <c r="Q48" s="13"/>
      <c r="R48" s="35">
        <f>IF(P$12=0,0,P48/P$12)</f>
        <v>0</v>
      </c>
      <c r="S48" s="13"/>
      <c r="T48" s="32">
        <f>+T44-T46</f>
        <v>-52242.790000000008</v>
      </c>
      <c r="U48" s="13"/>
      <c r="V48" s="35">
        <f>IF(T$12=0,0,T48/T$12)</f>
        <v>0</v>
      </c>
      <c r="W48" s="15"/>
      <c r="X48" s="32">
        <f>P48-T48</f>
        <v>-1757.3199999999924</v>
      </c>
      <c r="Y48" s="15"/>
      <c r="Z48" s="35">
        <f>IF(T48=0,0,X48/T48)</f>
        <v>3.36375603217208E-2</v>
      </c>
    </row>
    <row r="49" spans="1:26" ht="15" thickTop="1" x14ac:dyDescent="0.3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x14ac:dyDescent="0.3">
      <c r="A50" s="9"/>
      <c r="B50" s="9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" thickBot="1" x14ac:dyDescent="0.35">
      <c r="A51" s="10"/>
      <c r="B51" s="26" t="s">
        <v>293</v>
      </c>
      <c r="C51" s="26"/>
      <c r="D51" s="31">
        <f>SUM(D48:D50)</f>
        <v>-8783.9900000000016</v>
      </c>
      <c r="E51" s="13"/>
      <c r="F51" s="33">
        <f>IF(D$12=0,0,D51/D$12)</f>
        <v>0</v>
      </c>
      <c r="G51" s="13"/>
      <c r="H51" s="31">
        <f>SUM(H48:H50)</f>
        <v>-8483.08</v>
      </c>
      <c r="I51" s="13"/>
      <c r="J51" s="33">
        <f>IF(H$12=0,0,H51/H$12)</f>
        <v>0</v>
      </c>
      <c r="K51" s="15"/>
      <c r="L51" s="31">
        <f>+D51-H51</f>
        <v>-300.91000000000167</v>
      </c>
      <c r="M51" s="15"/>
      <c r="N51" s="33">
        <f>IF(H51=0,0,L51/H51)</f>
        <v>3.5471786190864836E-2</v>
      </c>
      <c r="O51" s="25"/>
      <c r="P51" s="31">
        <f>SUM(P48:P50)</f>
        <v>-54000.11</v>
      </c>
      <c r="Q51" s="13"/>
      <c r="R51" s="33">
        <f>IF(P$12=0,0,P51/P$12)</f>
        <v>0</v>
      </c>
      <c r="S51" s="13"/>
      <c r="T51" s="31">
        <f>SUM(T48:T50)</f>
        <v>-52242.790000000008</v>
      </c>
      <c r="U51" s="13"/>
      <c r="V51" s="33">
        <f>IF(T$12=0,0,T51/T$12)</f>
        <v>0</v>
      </c>
      <c r="W51" s="15"/>
      <c r="X51" s="31">
        <f>+P51-T51</f>
        <v>-1757.3199999999924</v>
      </c>
      <c r="Y51" s="15"/>
      <c r="Z51" s="33">
        <f>IF(T51=0,0,X51/T51)</f>
        <v>3.36375603217208E-2</v>
      </c>
    </row>
    <row r="52" spans="1:26" ht="15" thickTop="1" x14ac:dyDescent="0.3">
      <c r="A52" s="9"/>
      <c r="C52" s="9"/>
      <c r="D52" s="17"/>
      <c r="E52" s="17"/>
      <c r="G52" s="17"/>
      <c r="H52" s="17"/>
      <c r="I52" s="17"/>
      <c r="J52" s="43"/>
      <c r="K52" s="17"/>
      <c r="L52" s="17"/>
      <c r="M52" s="17"/>
      <c r="P52" s="17"/>
      <c r="Q52" s="17"/>
      <c r="R52" s="43"/>
      <c r="S52" s="17"/>
      <c r="T52" s="17"/>
      <c r="U52" s="17"/>
      <c r="V52" s="43"/>
      <c r="W52" s="17"/>
      <c r="X52" s="17"/>
    </row>
    <row r="53" spans="1:26" x14ac:dyDescent="0.3">
      <c r="A53" s="9"/>
      <c r="B53" s="60">
        <v>44575.854680405093</v>
      </c>
      <c r="D53" s="17"/>
      <c r="E53" s="17"/>
      <c r="G53" s="17"/>
      <c r="H53" s="17"/>
      <c r="I53" s="17"/>
      <c r="J53" s="43"/>
      <c r="K53" s="17"/>
      <c r="L53" s="17"/>
      <c r="M53" s="17"/>
      <c r="P53" s="17"/>
      <c r="Q53" s="17"/>
      <c r="R53" s="43"/>
      <c r="S53" s="17"/>
      <c r="T53" s="17"/>
      <c r="U53" s="17"/>
      <c r="V53" s="43"/>
      <c r="W53" s="17"/>
      <c r="X53" s="17"/>
    </row>
    <row r="54" spans="1:26" x14ac:dyDescent="0.3">
      <c r="A54" s="9"/>
      <c r="B54" s="57" t="s">
        <v>56</v>
      </c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3">
      <c r="A55" s="9"/>
      <c r="B55" s="59"/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  <row r="56" spans="1:26" x14ac:dyDescent="0.3"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outlinePr summaryBelow="0" summaryRight="0"/>
  </sheetPr>
  <dimension ref="A2:Z23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106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510701.06000000006</v>
      </c>
      <c r="E12" s="4"/>
      <c r="F12" s="12"/>
      <c r="G12" s="4"/>
      <c r="H12" s="4">
        <f>SUM(OSRRefH13x_0)</f>
        <v>233631.73999999996</v>
      </c>
      <c r="I12" s="4"/>
      <c r="J12" s="12"/>
      <c r="K12" s="4"/>
      <c r="L12" s="4">
        <f t="shared" ref="L12:L80" si="0">+D12-H12</f>
        <v>277069.32000000007</v>
      </c>
      <c r="M12" s="4"/>
      <c r="N12" s="12">
        <f t="shared" ref="N12:N80" si="1">IF(H12=0,0,L12/H12)</f>
        <v>1.1859232825128987</v>
      </c>
      <c r="O12" s="10"/>
      <c r="P12" s="4">
        <f>SUM(OSRRefP13x_0)</f>
        <v>3737537.89</v>
      </c>
      <c r="Q12" s="4"/>
      <c r="R12" s="12"/>
      <c r="S12" s="4"/>
      <c r="T12" s="4">
        <f>SUM(OSRRefT13x_0)</f>
        <v>2701201.1299999994</v>
      </c>
      <c r="U12" s="4"/>
      <c r="V12" s="12"/>
      <c r="W12" s="4"/>
      <c r="X12" s="4">
        <f t="shared" ref="X12:X80" si="2">+P12-T12</f>
        <v>1036336.7600000007</v>
      </c>
      <c r="Y12" s="4"/>
      <c r="Z12" s="12">
        <f t="shared" ref="Z12:Z80" si="3">IF(T12=0,0,X12/T12)</f>
        <v>0.38365775450419753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--482781.22</f>
        <v>482781.22</v>
      </c>
      <c r="E13" s="2"/>
      <c r="F13" s="19"/>
      <c r="G13" s="2"/>
      <c r="H13" s="2">
        <f>-31830.44</f>
        <v>-31830.44</v>
      </c>
      <c r="I13" s="2"/>
      <c r="J13" s="19"/>
      <c r="K13" s="2"/>
      <c r="L13" s="2">
        <f t="shared" si="0"/>
        <v>514611.66</v>
      </c>
      <c r="M13" s="2"/>
      <c r="N13" s="19">
        <f t="shared" si="1"/>
        <v>-16.167280753894698</v>
      </c>
      <c r="O13" s="11"/>
      <c r="P13" s="2">
        <f>--3125506.36</f>
        <v>3125506.36</v>
      </c>
      <c r="Q13" s="2"/>
      <c r="R13" s="19"/>
      <c r="S13" s="2"/>
      <c r="T13" s="2">
        <f>-88829.09</f>
        <v>-88829.09</v>
      </c>
      <c r="U13" s="2"/>
      <c r="V13" s="19"/>
      <c r="W13" s="2"/>
      <c r="X13" s="2">
        <f t="shared" si="2"/>
        <v>3214335.4499999997</v>
      </c>
      <c r="Y13" s="2"/>
      <c r="Z13" s="19">
        <f t="shared" si="3"/>
        <v>-36.185617234174074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2" si="4">0</f>
        <v>0</v>
      </c>
      <c r="E14" s="2"/>
      <c r="F14" s="19"/>
      <c r="G14" s="2"/>
      <c r="H14" s="2">
        <f>--11522</f>
        <v>11522</v>
      </c>
      <c r="I14" s="2"/>
      <c r="J14" s="19"/>
      <c r="K14" s="2"/>
      <c r="L14" s="2">
        <f t="shared" si="0"/>
        <v>-11522</v>
      </c>
      <c r="M14" s="2"/>
      <c r="N14" s="19">
        <f t="shared" si="1"/>
        <v>-1</v>
      </c>
      <c r="O14" s="11"/>
      <c r="P14" s="2">
        <f t="shared" ref="P14:P32" si="5">0</f>
        <v>0</v>
      </c>
      <c r="Q14" s="2"/>
      <c r="R14" s="19"/>
      <c r="S14" s="2"/>
      <c r="T14" s="2">
        <f>--730666.02</f>
        <v>730666.02</v>
      </c>
      <c r="U14" s="2"/>
      <c r="V14" s="19"/>
      <c r="W14" s="2"/>
      <c r="X14" s="2">
        <f t="shared" si="2"/>
        <v>-730666.02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--2822.44</f>
        <v>2822.44</v>
      </c>
      <c r="I15" s="2"/>
      <c r="J15" s="19"/>
      <c r="K15" s="2"/>
      <c r="L15" s="2">
        <f t="shared" si="0"/>
        <v>-2822.44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--323454.06</f>
        <v>323454.06</v>
      </c>
      <c r="U15" s="2"/>
      <c r="V15" s="19"/>
      <c r="W15" s="2"/>
      <c r="X15" s="2">
        <f t="shared" si="2"/>
        <v>-323454.06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--10665.63</f>
        <v>10665.63</v>
      </c>
      <c r="U16" s="2"/>
      <c r="V16" s="19"/>
      <c r="W16" s="2"/>
      <c r="X16" s="2">
        <f t="shared" si="2"/>
        <v>-10665.63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5"/>
        <v>0</v>
      </c>
      <c r="Q17" s="2"/>
      <c r="R17" s="19"/>
      <c r="S17" s="2"/>
      <c r="T17" s="2">
        <f>--2459.56</f>
        <v>2459.56</v>
      </c>
      <c r="U17" s="2"/>
      <c r="V17" s="19"/>
      <c r="W17" s="2"/>
      <c r="X17" s="2">
        <f t="shared" si="2"/>
        <v>-2459.56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--78.85</f>
        <v>78.849999999999994</v>
      </c>
      <c r="I18" s="2"/>
      <c r="J18" s="19"/>
      <c r="K18" s="2"/>
      <c r="L18" s="2">
        <f t="shared" si="0"/>
        <v>-78.849999999999994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--583.97</f>
        <v>583.97</v>
      </c>
      <c r="U18" s="2"/>
      <c r="V18" s="19"/>
      <c r="W18" s="2"/>
      <c r="X18" s="2">
        <f t="shared" si="2"/>
        <v>-583.97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--35.82</f>
        <v>35.82</v>
      </c>
      <c r="I19" s="2"/>
      <c r="J19" s="19"/>
      <c r="K19" s="2"/>
      <c r="L19" s="2">
        <f t="shared" si="0"/>
        <v>-35.82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--376.06</f>
        <v>376.06</v>
      </c>
      <c r="U19" s="2"/>
      <c r="V19" s="19"/>
      <c r="W19" s="2"/>
      <c r="X19" s="2">
        <f t="shared" si="2"/>
        <v>-376.06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--6.95</f>
        <v>6.95</v>
      </c>
      <c r="I20" s="2"/>
      <c r="J20" s="19"/>
      <c r="K20" s="2"/>
      <c r="L20" s="2">
        <f t="shared" si="0"/>
        <v>-6.95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--190.84</f>
        <v>190.84</v>
      </c>
      <c r="U20" s="2"/>
      <c r="V20" s="19"/>
      <c r="W20" s="2"/>
      <c r="X20" s="2">
        <f t="shared" si="2"/>
        <v>-190.84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--75.18</f>
        <v>75.180000000000007</v>
      </c>
      <c r="I21" s="2"/>
      <c r="J21" s="19"/>
      <c r="K21" s="2"/>
      <c r="L21" s="2">
        <f t="shared" si="0"/>
        <v>-75.180000000000007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--372.38</f>
        <v>372.38</v>
      </c>
      <c r="U21" s="2"/>
      <c r="V21" s="19"/>
      <c r="W21" s="2"/>
      <c r="X21" s="2">
        <f t="shared" si="2"/>
        <v>-372.38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--3253.96</f>
        <v>3253.96</v>
      </c>
      <c r="I22" s="2"/>
      <c r="J22" s="19"/>
      <c r="K22" s="2"/>
      <c r="L22" s="2">
        <f t="shared" si="0"/>
        <v>-3253.96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--39974.43</f>
        <v>39974.43</v>
      </c>
      <c r="U22" s="2"/>
      <c r="V22" s="19"/>
      <c r="W22" s="2"/>
      <c r="X22" s="2">
        <f t="shared" si="2"/>
        <v>-39974.43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--1179.23</f>
        <v>1179.23</v>
      </c>
      <c r="I23" s="2"/>
      <c r="J23" s="19"/>
      <c r="K23" s="2"/>
      <c r="L23" s="2">
        <f t="shared" si="0"/>
        <v>-1179.23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--17178.81</f>
        <v>17178.810000000001</v>
      </c>
      <c r="U23" s="2"/>
      <c r="V23" s="19"/>
      <c r="W23" s="2"/>
      <c r="X23" s="2">
        <f t="shared" si="2"/>
        <v>-17178.810000000001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--247.04</f>
        <v>247.04</v>
      </c>
      <c r="I24" s="2"/>
      <c r="J24" s="19"/>
      <c r="K24" s="2"/>
      <c r="L24" s="2">
        <f t="shared" si="0"/>
        <v>-247.04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--2109.65</f>
        <v>2109.65</v>
      </c>
      <c r="U24" s="2"/>
      <c r="V24" s="19"/>
      <c r="W24" s="2"/>
      <c r="X24" s="2">
        <f t="shared" si="2"/>
        <v>-2109.65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"4032", " - ", "TAXABLE SALES-JUICE")</f>
        <v xml:space="preserve">          4032 - TAXABLE SALES-JUICE</v>
      </c>
      <c r="C25" s="11"/>
      <c r="D25" s="2">
        <f t="shared" si="4"/>
        <v>0</v>
      </c>
      <c r="E25" s="2"/>
      <c r="F25" s="19"/>
      <c r="G25" s="2"/>
      <c r="H25" s="2">
        <f t="shared" ref="H25:H26" si="7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5"/>
        <v>0</v>
      </c>
      <c r="Q25" s="2"/>
      <c r="R25" s="19"/>
      <c r="S25" s="2"/>
      <c r="T25" s="2">
        <f>--444.59</f>
        <v>444.59</v>
      </c>
      <c r="U25" s="2"/>
      <c r="V25" s="19"/>
      <c r="W25" s="2"/>
      <c r="X25" s="2">
        <f t="shared" si="2"/>
        <v>-444.59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19"/>
      <c r="G26" s="2"/>
      <c r="H26" s="2">
        <f t="shared" si="7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5"/>
        <v>0</v>
      </c>
      <c r="Q26" s="2"/>
      <c r="R26" s="19"/>
      <c r="S26" s="2"/>
      <c r="T26" s="2">
        <f>--6.78</f>
        <v>6.78</v>
      </c>
      <c r="U26" s="2"/>
      <c r="V26" s="19"/>
      <c r="W26" s="2"/>
      <c r="X26" s="2">
        <f t="shared" si="2"/>
        <v>-6.78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"4040", " - ", "TAXABLE SALES-LOGO CLOTHING")</f>
        <v xml:space="preserve">          4040 - TAXABLE SALES-LOGO CLOTHING</v>
      </c>
      <c r="C27" s="11"/>
      <c r="D27" s="2">
        <f t="shared" si="4"/>
        <v>0</v>
      </c>
      <c r="E27" s="2"/>
      <c r="F27" s="19"/>
      <c r="G27" s="2"/>
      <c r="H27" s="2">
        <f>--84378.29</f>
        <v>84378.29</v>
      </c>
      <c r="I27" s="2"/>
      <c r="J27" s="19"/>
      <c r="K27" s="2"/>
      <c r="L27" s="2">
        <f t="shared" si="0"/>
        <v>-84378.29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--508110.99</f>
        <v>508110.99</v>
      </c>
      <c r="U27" s="2"/>
      <c r="V27" s="19"/>
      <c r="W27" s="2"/>
      <c r="X27" s="2">
        <f t="shared" si="2"/>
        <v>-508110.99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"4041", " - ", "TAXABLE SALES-LOGO GIFTS")</f>
        <v xml:space="preserve">          4041 - TAXABLE SALES-LOGO GIFTS</v>
      </c>
      <c r="C28" s="11"/>
      <c r="D28" s="2">
        <f t="shared" si="4"/>
        <v>0</v>
      </c>
      <c r="E28" s="2"/>
      <c r="F28" s="19"/>
      <c r="G28" s="2"/>
      <c r="H28" s="2">
        <f>--32217.83</f>
        <v>32217.83</v>
      </c>
      <c r="I28" s="2"/>
      <c r="J28" s="19"/>
      <c r="K28" s="2"/>
      <c r="L28" s="2">
        <f t="shared" si="0"/>
        <v>-32217.83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--197618.32</f>
        <v>197618.32</v>
      </c>
      <c r="U28" s="2"/>
      <c r="V28" s="19"/>
      <c r="W28" s="2"/>
      <c r="X28" s="2">
        <f t="shared" si="2"/>
        <v>-197618.32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"4042", " - ", "TAXABLE SALES-EVERYDAY GIFTS")</f>
        <v xml:space="preserve">          4042 - TAXABLE SALES-EVERYDAY GIFTS</v>
      </c>
      <c r="C29" s="11"/>
      <c r="D29" s="2">
        <f t="shared" si="4"/>
        <v>0</v>
      </c>
      <c r="E29" s="2"/>
      <c r="F29" s="19"/>
      <c r="G29" s="2"/>
      <c r="H29" s="2">
        <f>--8018.58</f>
        <v>8018.58</v>
      </c>
      <c r="I29" s="2"/>
      <c r="J29" s="19"/>
      <c r="K29" s="2"/>
      <c r="L29" s="2">
        <f t="shared" si="0"/>
        <v>-8018.58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--64897.7</f>
        <v>64897.7</v>
      </c>
      <c r="U29" s="2"/>
      <c r="V29" s="19"/>
      <c r="W29" s="2"/>
      <c r="X29" s="2">
        <f t="shared" si="2"/>
        <v>-64897.7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"4043", " - ", "TAXABLE SALES-CARDS")</f>
        <v xml:space="preserve">          4043 - TAXABLE SALES-CARDS</v>
      </c>
      <c r="C30" s="11"/>
      <c r="D30" s="2">
        <f t="shared" si="4"/>
        <v>0</v>
      </c>
      <c r="E30" s="2"/>
      <c r="F30" s="19"/>
      <c r="G30" s="2"/>
      <c r="H30" s="2">
        <f>--35930.93</f>
        <v>35930.93</v>
      </c>
      <c r="I30" s="2"/>
      <c r="J30" s="19"/>
      <c r="K30" s="2"/>
      <c r="L30" s="2">
        <f t="shared" si="0"/>
        <v>-35930.93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--93109.15</f>
        <v>93109.15</v>
      </c>
      <c r="U30" s="2"/>
      <c r="V30" s="19"/>
      <c r="W30" s="2"/>
      <c r="X30" s="2">
        <f t="shared" si="2"/>
        <v>-93109.15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"4044", " - ", "TAXABLE SALES-ACCESSORIES")</f>
        <v xml:space="preserve">          4044 - TAXABLE SALES-ACCESSORIES</v>
      </c>
      <c r="C31" s="11"/>
      <c r="D31" s="2">
        <f t="shared" si="4"/>
        <v>0</v>
      </c>
      <c r="E31" s="2"/>
      <c r="F31" s="19"/>
      <c r="G31" s="2"/>
      <c r="H31" s="2">
        <f>--11267.16</f>
        <v>11267.16</v>
      </c>
      <c r="I31" s="2"/>
      <c r="J31" s="19"/>
      <c r="K31" s="2"/>
      <c r="L31" s="2">
        <f t="shared" si="0"/>
        <v>-11267.16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--26273.67</f>
        <v>26273.67</v>
      </c>
      <c r="U31" s="2"/>
      <c r="V31" s="19"/>
      <c r="W31" s="2"/>
      <c r="X31" s="2">
        <f t="shared" si="2"/>
        <v>-26273.67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"4045", " - ", "TAXABLE SALES-SPECIAL ORDERS")</f>
        <v xml:space="preserve">          4045 - TAXABLE SALES-SPECIAL ORDERS</v>
      </c>
      <c r="C32" s="11"/>
      <c r="D32" s="2">
        <f t="shared" si="4"/>
        <v>0</v>
      </c>
      <c r="E32" s="2"/>
      <c r="F32" s="19"/>
      <c r="G32" s="2"/>
      <c r="H32" s="2">
        <f>--13848.98</f>
        <v>13848.98</v>
      </c>
      <c r="I32" s="2"/>
      <c r="J32" s="19"/>
      <c r="K32" s="2"/>
      <c r="L32" s="2">
        <f t="shared" si="0"/>
        <v>-13848.98</v>
      </c>
      <c r="M32" s="2"/>
      <c r="N32" s="19">
        <f t="shared" si="1"/>
        <v>-1</v>
      </c>
      <c r="O32" s="11"/>
      <c r="P32" s="2">
        <f t="shared" si="5"/>
        <v>0</v>
      </c>
      <c r="Q32" s="2"/>
      <c r="R32" s="19"/>
      <c r="S32" s="2"/>
      <c r="T32" s="2">
        <f>--122061.15</f>
        <v>122061.15</v>
      </c>
      <c r="U32" s="2"/>
      <c r="V32" s="19"/>
      <c r="W32" s="2"/>
      <c r="X32" s="2">
        <f t="shared" si="2"/>
        <v>-122061.15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"4053", " - ", "TAXABLE SALES-FOOD")</f>
        <v xml:space="preserve">          4053 - TAXABLE SALES-FOOD</v>
      </c>
      <c r="C33" s="11"/>
      <c r="D33" s="2">
        <f>--70.75</f>
        <v>70.75</v>
      </c>
      <c r="E33" s="2"/>
      <c r="F33" s="19"/>
      <c r="G33" s="2"/>
      <c r="H33" s="2">
        <f t="shared" ref="H33:H35" si="8">0</f>
        <v>0</v>
      </c>
      <c r="I33" s="2"/>
      <c r="J33" s="19"/>
      <c r="K33" s="2"/>
      <c r="L33" s="2">
        <f t="shared" si="0"/>
        <v>70.75</v>
      </c>
      <c r="M33" s="2"/>
      <c r="N33" s="19">
        <f t="shared" si="1"/>
        <v>0</v>
      </c>
      <c r="O33" s="11"/>
      <c r="P33" s="2">
        <f>--698.72</f>
        <v>698.72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698.72</v>
      </c>
      <c r="Y33" s="2"/>
      <c r="Z33" s="19">
        <f t="shared" si="3"/>
        <v>0</v>
      </c>
    </row>
    <row r="34" spans="1:26" s="24" customFormat="1" hidden="1" outlineLevel="1" x14ac:dyDescent="0.3">
      <c r="A34" s="44"/>
      <c r="B34" s="11" t="str">
        <f>CONCATENATE("          ", "4081", " - ", "TAXABLE SALES-ELECTRONICS")</f>
        <v xml:space="preserve">          4081 - TAXABLE SALES-ELECTRONICS</v>
      </c>
      <c r="C34" s="11"/>
      <c r="D34" s="2">
        <f t="shared" ref="D34:D35" si="9">0</f>
        <v>0</v>
      </c>
      <c r="E34" s="2"/>
      <c r="F34" s="19"/>
      <c r="G34" s="2"/>
      <c r="H34" s="2">
        <f t="shared" si="8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 t="shared" ref="P34:P35" si="10">0</f>
        <v>0</v>
      </c>
      <c r="Q34" s="2"/>
      <c r="R34" s="19"/>
      <c r="S34" s="2"/>
      <c r="T34" s="2">
        <f>--71.95</f>
        <v>71.95</v>
      </c>
      <c r="U34" s="2"/>
      <c r="V34" s="19"/>
      <c r="W34" s="2"/>
      <c r="X34" s="2">
        <f t="shared" si="2"/>
        <v>-71.95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"4083", " - ", "TAXABLE SALES-COMPUTER EQUIPME")</f>
        <v xml:space="preserve">          4083 - TAXABLE SALES-COMPUTER EQUIPME</v>
      </c>
      <c r="C35" s="11"/>
      <c r="D35" s="2">
        <f t="shared" si="9"/>
        <v>0</v>
      </c>
      <c r="E35" s="2"/>
      <c r="F35" s="19"/>
      <c r="G35" s="2"/>
      <c r="H35" s="2">
        <f t="shared" si="8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 t="shared" si="10"/>
        <v>0</v>
      </c>
      <c r="Q35" s="2"/>
      <c r="R35" s="19"/>
      <c r="S35" s="2"/>
      <c r="T35" s="2">
        <f>--9.99</f>
        <v>9.99</v>
      </c>
      <c r="U35" s="2"/>
      <c r="V35" s="19"/>
      <c r="W35" s="2"/>
      <c r="X35" s="2">
        <f t="shared" si="2"/>
        <v>-9.99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"4100", " - ", "NON-TAXABLE SALES")</f>
        <v xml:space="preserve">          4100 - NON-TAXABLE SALES</v>
      </c>
      <c r="C36" s="11"/>
      <c r="D36" s="2">
        <f>--93325.28</f>
        <v>93325.28</v>
      </c>
      <c r="E36" s="2"/>
      <c r="F36" s="19"/>
      <c r="G36" s="2"/>
      <c r="H36" s="2">
        <f>-225.75</f>
        <v>-225.75</v>
      </c>
      <c r="I36" s="2"/>
      <c r="J36" s="19"/>
      <c r="K36" s="2"/>
      <c r="L36" s="2">
        <f t="shared" si="0"/>
        <v>93551.03</v>
      </c>
      <c r="M36" s="2"/>
      <c r="N36" s="19">
        <f t="shared" si="1"/>
        <v>-414.4010188261351</v>
      </c>
      <c r="O36" s="11"/>
      <c r="P36" s="2">
        <f>--789937.07</f>
        <v>789937.07</v>
      </c>
      <c r="Q36" s="2"/>
      <c r="R36" s="19"/>
      <c r="S36" s="2"/>
      <c r="T36" s="2">
        <f>--165587.67</f>
        <v>165587.67000000001</v>
      </c>
      <c r="U36" s="2"/>
      <c r="V36" s="19"/>
      <c r="W36" s="2"/>
      <c r="X36" s="2">
        <f t="shared" si="2"/>
        <v>624349.39999999991</v>
      </c>
      <c r="Y36" s="2"/>
      <c r="Z36" s="19">
        <f t="shared" si="3"/>
        <v>3.7705065842160823</v>
      </c>
    </row>
    <row r="37" spans="1:26" s="24" customFormat="1" hidden="1" outlineLevel="1" x14ac:dyDescent="0.3">
      <c r="A37" s="44"/>
      <c r="B37" s="11" t="str">
        <f>CONCATENATE("          ", "4101", " - ", "NON-TAXABLE SALES-NEW TEXT")</f>
        <v xml:space="preserve">          4101 - NON-TAXABLE SALES-NEW TEXT</v>
      </c>
      <c r="C37" s="11"/>
      <c r="D37" s="2">
        <f t="shared" ref="D37:D59" si="11">0</f>
        <v>0</v>
      </c>
      <c r="E37" s="2"/>
      <c r="F37" s="19"/>
      <c r="G37" s="2"/>
      <c r="H37" s="2">
        <f>--3205.21</f>
        <v>3205.21</v>
      </c>
      <c r="I37" s="2"/>
      <c r="J37" s="19"/>
      <c r="K37" s="2"/>
      <c r="L37" s="2">
        <f t="shared" si="0"/>
        <v>-3205.21</v>
      </c>
      <c r="M37" s="2"/>
      <c r="N37" s="19">
        <f t="shared" si="1"/>
        <v>-1</v>
      </c>
      <c r="O37" s="11"/>
      <c r="P37" s="2">
        <f t="shared" ref="P37:P59" si="12">0</f>
        <v>0</v>
      </c>
      <c r="Q37" s="2"/>
      <c r="R37" s="19"/>
      <c r="S37" s="2"/>
      <c r="T37" s="2">
        <f>--82140.93</f>
        <v>82140.929999999993</v>
      </c>
      <c r="U37" s="2"/>
      <c r="V37" s="19"/>
      <c r="W37" s="2"/>
      <c r="X37" s="2">
        <f t="shared" si="2"/>
        <v>-82140.929999999993</v>
      </c>
      <c r="Y37" s="2"/>
      <c r="Z37" s="19">
        <f t="shared" si="3"/>
        <v>-1</v>
      </c>
    </row>
    <row r="38" spans="1:26" s="24" customFormat="1" hidden="1" outlineLevel="1" x14ac:dyDescent="0.3">
      <c r="A38" s="44"/>
      <c r="B38" s="11" t="str">
        <f>CONCATENATE("          ", "4102", " - ", "NON-TAXABLE SALES-USED TEXT")</f>
        <v xml:space="preserve">          4102 - NON-TAXABLE SALES-USED TEXT</v>
      </c>
      <c r="C38" s="11"/>
      <c r="D38" s="2">
        <f t="shared" si="11"/>
        <v>0</v>
      </c>
      <c r="E38" s="2"/>
      <c r="F38" s="19"/>
      <c r="G38" s="2"/>
      <c r="H38" s="2">
        <f>--598.12</f>
        <v>598.12</v>
      </c>
      <c r="I38" s="2"/>
      <c r="J38" s="19"/>
      <c r="K38" s="2"/>
      <c r="L38" s="2">
        <f t="shared" si="0"/>
        <v>-598.12</v>
      </c>
      <c r="M38" s="2"/>
      <c r="N38" s="19">
        <f t="shared" si="1"/>
        <v>-1</v>
      </c>
      <c r="O38" s="11"/>
      <c r="P38" s="2">
        <f t="shared" si="12"/>
        <v>0</v>
      </c>
      <c r="Q38" s="2"/>
      <c r="R38" s="19"/>
      <c r="S38" s="2"/>
      <c r="T38" s="2">
        <f>--33631.31</f>
        <v>33631.31</v>
      </c>
      <c r="U38" s="2"/>
      <c r="V38" s="19"/>
      <c r="W38" s="2"/>
      <c r="X38" s="2">
        <f t="shared" si="2"/>
        <v>-33631.31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"4103", " - ", "NON-TAXABLE SALES-RENTAL TEXT")</f>
        <v xml:space="preserve">          4103 - NON-TAXABLE SALES-RENTAL TEXT</v>
      </c>
      <c r="C39" s="11"/>
      <c r="D39" s="2">
        <f t="shared" si="11"/>
        <v>0</v>
      </c>
      <c r="E39" s="2"/>
      <c r="F39" s="19"/>
      <c r="G39" s="2"/>
      <c r="H39" s="2">
        <f>0</f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 t="shared" si="12"/>
        <v>0</v>
      </c>
      <c r="Q39" s="2"/>
      <c r="R39" s="19"/>
      <c r="S39" s="2"/>
      <c r="T39" s="2">
        <f>--284.97</f>
        <v>284.97000000000003</v>
      </c>
      <c r="U39" s="2"/>
      <c r="V39" s="19"/>
      <c r="W39" s="2"/>
      <c r="X39" s="2">
        <f t="shared" si="2"/>
        <v>-284.97000000000003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"4104", " - ", "NON-TAXABLE SALES-DIGITAL TEXT")</f>
        <v xml:space="preserve">          4104 - NON-TAXABLE SALES-DIGITAL TEXT</v>
      </c>
      <c r="C40" s="11"/>
      <c r="D40" s="2">
        <f t="shared" si="11"/>
        <v>0</v>
      </c>
      <c r="E40" s="2"/>
      <c r="F40" s="19"/>
      <c r="G40" s="2"/>
      <c r="H40" s="2">
        <f>--1301.3</f>
        <v>1301.3</v>
      </c>
      <c r="I40" s="2"/>
      <c r="J40" s="19"/>
      <c r="K40" s="2"/>
      <c r="L40" s="2">
        <f t="shared" si="0"/>
        <v>-1301.3</v>
      </c>
      <c r="M40" s="2"/>
      <c r="N40" s="19">
        <f t="shared" si="1"/>
        <v>-1</v>
      </c>
      <c r="O40" s="11"/>
      <c r="P40" s="2">
        <f t="shared" si="12"/>
        <v>0</v>
      </c>
      <c r="Q40" s="2"/>
      <c r="R40" s="19"/>
      <c r="S40" s="2"/>
      <c r="T40" s="2">
        <f>--296191.01</f>
        <v>296191.01</v>
      </c>
      <c r="U40" s="2"/>
      <c r="V40" s="19"/>
      <c r="W40" s="2"/>
      <c r="X40" s="2">
        <f t="shared" si="2"/>
        <v>-296191.01</v>
      </c>
      <c r="Y40" s="2"/>
      <c r="Z40" s="19">
        <f t="shared" si="3"/>
        <v>-1</v>
      </c>
    </row>
    <row r="41" spans="1:26" s="24" customFormat="1" hidden="1" outlineLevel="1" x14ac:dyDescent="0.3">
      <c r="A41" s="44"/>
      <c r="B41" s="11" t="str">
        <f>CONCATENATE("          ", "4113", " - ", "NON-TAXABLE SALES-TRADE BOOKS")</f>
        <v xml:space="preserve">          4113 - NON-TAXABLE SALES-TRADE BOOKS</v>
      </c>
      <c r="C41" s="11"/>
      <c r="D41" s="2">
        <f t="shared" si="11"/>
        <v>0</v>
      </c>
      <c r="E41" s="2"/>
      <c r="F41" s="19"/>
      <c r="G41" s="2"/>
      <c r="H41" s="2">
        <f>--41.55</f>
        <v>41.55</v>
      </c>
      <c r="I41" s="2"/>
      <c r="J41" s="19"/>
      <c r="K41" s="2"/>
      <c r="L41" s="2">
        <f t="shared" si="0"/>
        <v>-41.55</v>
      </c>
      <c r="M41" s="2"/>
      <c r="N41" s="19">
        <f t="shared" si="1"/>
        <v>-1</v>
      </c>
      <c r="O41" s="11"/>
      <c r="P41" s="2">
        <f t="shared" si="12"/>
        <v>0</v>
      </c>
      <c r="Q41" s="2"/>
      <c r="R41" s="19"/>
      <c r="S41" s="2"/>
      <c r="T41" s="2">
        <f>--2327.5</f>
        <v>2327.5</v>
      </c>
      <c r="U41" s="2"/>
      <c r="V41" s="19"/>
      <c r="W41" s="2"/>
      <c r="X41" s="2">
        <f t="shared" si="2"/>
        <v>-2327.5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"4118", " - ", "NON-TAXABLE SALES-STUDY GUIDES")</f>
        <v xml:space="preserve">          4118 - NON-TAXABLE SALES-STUDY GUIDES</v>
      </c>
      <c r="C42" s="11"/>
      <c r="D42" s="2">
        <f t="shared" si="11"/>
        <v>0</v>
      </c>
      <c r="E42" s="2"/>
      <c r="F42" s="19"/>
      <c r="G42" s="2"/>
      <c r="H42" s="2">
        <f t="shared" ref="H42:H43" si="13">0</f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 t="shared" si="12"/>
        <v>0</v>
      </c>
      <c r="Q42" s="2"/>
      <c r="R42" s="19"/>
      <c r="S42" s="2"/>
      <c r="T42" s="2">
        <f>--233.43</f>
        <v>233.43</v>
      </c>
      <c r="U42" s="2"/>
      <c r="V42" s="19"/>
      <c r="W42" s="2"/>
      <c r="X42" s="2">
        <f t="shared" si="2"/>
        <v>-233.43</v>
      </c>
      <c r="Y42" s="2"/>
      <c r="Z42" s="19">
        <f t="shared" si="3"/>
        <v>-1</v>
      </c>
    </row>
    <row r="43" spans="1:26" s="24" customFormat="1" hidden="1" outlineLevel="1" x14ac:dyDescent="0.3">
      <c r="A43" s="44"/>
      <c r="B43" s="11" t="str">
        <f>CONCATENATE("          ", "4126", " - ", "NON-TAXABLE SALES-WRITING INST")</f>
        <v xml:space="preserve">          4126 - NON-TAXABLE SALES-WRITING INST</v>
      </c>
      <c r="C43" s="11"/>
      <c r="D43" s="2">
        <f t="shared" si="11"/>
        <v>0</v>
      </c>
      <c r="E43" s="2"/>
      <c r="F43" s="19"/>
      <c r="G43" s="2"/>
      <c r="H43" s="2">
        <f t="shared" si="13"/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 t="shared" si="12"/>
        <v>0</v>
      </c>
      <c r="Q43" s="2"/>
      <c r="R43" s="19"/>
      <c r="S43" s="2"/>
      <c r="T43" s="2">
        <f>--52.68</f>
        <v>52.68</v>
      </c>
      <c r="U43" s="2"/>
      <c r="V43" s="19"/>
      <c r="W43" s="2"/>
      <c r="X43" s="2">
        <f t="shared" si="2"/>
        <v>-52.68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"4127", " - ", "NON-TAXABLE SALES-SCHOOL SUPPL")</f>
        <v xml:space="preserve">          4127 - NON-TAXABLE SALES-SCHOOL SUPPL</v>
      </c>
      <c r="C44" s="11"/>
      <c r="D44" s="2">
        <f t="shared" si="11"/>
        <v>0</v>
      </c>
      <c r="E44" s="2"/>
      <c r="F44" s="19"/>
      <c r="G44" s="2"/>
      <c r="H44" s="2">
        <f>--259.53</f>
        <v>259.52999999999997</v>
      </c>
      <c r="I44" s="2"/>
      <c r="J44" s="19"/>
      <c r="K44" s="2"/>
      <c r="L44" s="2">
        <f t="shared" si="0"/>
        <v>-259.52999999999997</v>
      </c>
      <c r="M44" s="2"/>
      <c r="N44" s="19">
        <f t="shared" si="1"/>
        <v>-1</v>
      </c>
      <c r="O44" s="11"/>
      <c r="P44" s="2">
        <f t="shared" si="12"/>
        <v>0</v>
      </c>
      <c r="Q44" s="2"/>
      <c r="R44" s="19"/>
      <c r="S44" s="2"/>
      <c r="T44" s="2">
        <f>--3206.11</f>
        <v>3206.11</v>
      </c>
      <c r="U44" s="2"/>
      <c r="V44" s="19"/>
      <c r="W44" s="2"/>
      <c r="X44" s="2">
        <f t="shared" si="2"/>
        <v>-3206.11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"4128", " - ", "NON-TAXABLE SALES-ART/TECH")</f>
        <v xml:space="preserve">          4128 - NON-TAXABLE SALES-ART/TECH</v>
      </c>
      <c r="C45" s="11"/>
      <c r="D45" s="2">
        <f t="shared" si="11"/>
        <v>0</v>
      </c>
      <c r="E45" s="2"/>
      <c r="F45" s="19"/>
      <c r="G45" s="2"/>
      <c r="H45" s="2">
        <f>0</f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 t="shared" si="12"/>
        <v>0</v>
      </c>
      <c r="Q45" s="2"/>
      <c r="R45" s="19"/>
      <c r="S45" s="2"/>
      <c r="T45" s="2">
        <f>--24.78</f>
        <v>24.78</v>
      </c>
      <c r="U45" s="2"/>
      <c r="V45" s="19"/>
      <c r="W45" s="2"/>
      <c r="X45" s="2">
        <f t="shared" si="2"/>
        <v>-24.78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"4131", " - ", "NON-TAXABLE SALES-FOOD")</f>
        <v xml:space="preserve">          4131 - NON-TAXABLE SALES-FOOD</v>
      </c>
      <c r="C46" s="11"/>
      <c r="D46" s="2">
        <f t="shared" si="11"/>
        <v>0</v>
      </c>
      <c r="E46" s="2"/>
      <c r="F46" s="19"/>
      <c r="G46" s="2"/>
      <c r="H46" s="2">
        <f>--1032.82</f>
        <v>1032.82</v>
      </c>
      <c r="I46" s="2"/>
      <c r="J46" s="19"/>
      <c r="K46" s="2"/>
      <c r="L46" s="2">
        <f t="shared" si="0"/>
        <v>-1032.82</v>
      </c>
      <c r="M46" s="2"/>
      <c r="N46" s="19">
        <f t="shared" si="1"/>
        <v>-1</v>
      </c>
      <c r="O46" s="11"/>
      <c r="P46" s="2">
        <f t="shared" si="12"/>
        <v>0</v>
      </c>
      <c r="Q46" s="2"/>
      <c r="R46" s="19"/>
      <c r="S46" s="2"/>
      <c r="T46" s="2">
        <f>--7542.15</f>
        <v>7542.15</v>
      </c>
      <c r="U46" s="2"/>
      <c r="V46" s="19"/>
      <c r="W46" s="2"/>
      <c r="X46" s="2">
        <f t="shared" si="2"/>
        <v>-7542.15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"4132", " - ", "NON-TAXABLE SALES-JUICE")</f>
        <v xml:space="preserve">          4132 - NON-TAXABLE SALES-JUICE</v>
      </c>
      <c r="C47" s="11"/>
      <c r="D47" s="2">
        <f t="shared" si="11"/>
        <v>0</v>
      </c>
      <c r="E47" s="2"/>
      <c r="F47" s="19"/>
      <c r="G47" s="2"/>
      <c r="H47" s="2">
        <f t="shared" ref="H47:H50" si="14">0</f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 t="shared" si="12"/>
        <v>0</v>
      </c>
      <c r="Q47" s="2"/>
      <c r="R47" s="19"/>
      <c r="S47" s="2"/>
      <c r="T47" s="2">
        <f>--2054.37</f>
        <v>2054.37</v>
      </c>
      <c r="U47" s="2"/>
      <c r="V47" s="19"/>
      <c r="W47" s="2"/>
      <c r="X47" s="2">
        <f t="shared" si="2"/>
        <v>-2054.37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"4133", " - ", "NON-TAXABLE SALES-CANDY")</f>
        <v xml:space="preserve">          4133 - NON-TAXABLE SALES-CANDY</v>
      </c>
      <c r="C48" s="11"/>
      <c r="D48" s="2">
        <f t="shared" si="11"/>
        <v>0</v>
      </c>
      <c r="E48" s="2"/>
      <c r="F48" s="19"/>
      <c r="G48" s="2"/>
      <c r="H48" s="2">
        <f t="shared" si="14"/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 t="shared" si="12"/>
        <v>0</v>
      </c>
      <c r="Q48" s="2"/>
      <c r="R48" s="19"/>
      <c r="S48" s="2"/>
      <c r="T48" s="2">
        <f>--80.71</f>
        <v>80.709999999999994</v>
      </c>
      <c r="U48" s="2"/>
      <c r="V48" s="19"/>
      <c r="W48" s="2"/>
      <c r="X48" s="2">
        <f t="shared" si="2"/>
        <v>-80.709999999999994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"4134", " - ", "NON-TAXABLE SALES-SODA")</f>
        <v xml:space="preserve">          4134 - NON-TAXABLE SALES-SODA</v>
      </c>
      <c r="C49" s="11"/>
      <c r="D49" s="2">
        <f t="shared" si="11"/>
        <v>0</v>
      </c>
      <c r="E49" s="2"/>
      <c r="F49" s="19"/>
      <c r="G49" s="2"/>
      <c r="H49" s="2">
        <f t="shared" si="14"/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 t="shared" si="12"/>
        <v>0</v>
      </c>
      <c r="Q49" s="2"/>
      <c r="R49" s="19"/>
      <c r="S49" s="2"/>
      <c r="T49" s="2">
        <f>--45.53</f>
        <v>45.53</v>
      </c>
      <c r="U49" s="2"/>
      <c r="V49" s="19"/>
      <c r="W49" s="2"/>
      <c r="X49" s="2">
        <f t="shared" si="2"/>
        <v>-45.53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"4137", " - ", "NON-TAXABLE SALES-WATER")</f>
        <v xml:space="preserve">          4137 - NON-TAXABLE SALES-WATER</v>
      </c>
      <c r="C50" s="11"/>
      <c r="D50" s="2">
        <f t="shared" si="11"/>
        <v>0</v>
      </c>
      <c r="E50" s="2"/>
      <c r="F50" s="19"/>
      <c r="G50" s="2"/>
      <c r="H50" s="2">
        <f t="shared" si="14"/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 t="shared" si="12"/>
        <v>0</v>
      </c>
      <c r="Q50" s="2"/>
      <c r="R50" s="19"/>
      <c r="S50" s="2"/>
      <c r="T50" s="2">
        <f>--68.25</f>
        <v>68.25</v>
      </c>
      <c r="U50" s="2"/>
      <c r="V50" s="19"/>
      <c r="W50" s="2"/>
      <c r="X50" s="2">
        <f t="shared" si="2"/>
        <v>-68.25</v>
      </c>
      <c r="Y50" s="2"/>
      <c r="Z50" s="19">
        <f t="shared" si="3"/>
        <v>-1</v>
      </c>
    </row>
    <row r="51" spans="1:26" s="24" customFormat="1" hidden="1" outlineLevel="1" x14ac:dyDescent="0.3">
      <c r="A51" s="44"/>
      <c r="B51" s="11" t="str">
        <f>CONCATENATE("          ", "4140", " - ", "NON-TAXABLE SALES-LOGO CLOTHIN")</f>
        <v xml:space="preserve">          4140 - NON-TAXABLE SALES-LOGO CLOTHIN</v>
      </c>
      <c r="C51" s="11"/>
      <c r="D51" s="2">
        <f t="shared" si="11"/>
        <v>0</v>
      </c>
      <c r="E51" s="2"/>
      <c r="F51" s="19"/>
      <c r="G51" s="2"/>
      <c r="H51" s="2">
        <f>--53650.7</f>
        <v>53650.7</v>
      </c>
      <c r="I51" s="2"/>
      <c r="J51" s="19"/>
      <c r="K51" s="2"/>
      <c r="L51" s="2">
        <f t="shared" si="0"/>
        <v>-53650.7</v>
      </c>
      <c r="M51" s="2"/>
      <c r="N51" s="19">
        <f t="shared" si="1"/>
        <v>-1</v>
      </c>
      <c r="O51" s="11"/>
      <c r="P51" s="2">
        <f t="shared" si="12"/>
        <v>0</v>
      </c>
      <c r="Q51" s="2"/>
      <c r="R51" s="19"/>
      <c r="S51" s="2"/>
      <c r="T51" s="2">
        <f>--103970.97</f>
        <v>103970.97</v>
      </c>
      <c r="U51" s="2"/>
      <c r="V51" s="19"/>
      <c r="W51" s="2"/>
      <c r="X51" s="2">
        <f t="shared" si="2"/>
        <v>-103970.97</v>
      </c>
      <c r="Y51" s="2"/>
      <c r="Z51" s="19">
        <f t="shared" si="3"/>
        <v>-1</v>
      </c>
    </row>
    <row r="52" spans="1:26" s="24" customFormat="1" hidden="1" outlineLevel="1" x14ac:dyDescent="0.3">
      <c r="A52" s="44"/>
      <c r="B52" s="11" t="str">
        <f>CONCATENATE("          ", "4141", " - ", "NON-TAXABLE SALES-LOGO GIFTS")</f>
        <v xml:space="preserve">          4141 - NON-TAXABLE SALES-LOGO GIFTS</v>
      </c>
      <c r="C52" s="11"/>
      <c r="D52" s="2">
        <f t="shared" si="11"/>
        <v>0</v>
      </c>
      <c r="E52" s="2"/>
      <c r="F52" s="19"/>
      <c r="G52" s="2"/>
      <c r="H52" s="2">
        <f>--1780.23</f>
        <v>1780.23</v>
      </c>
      <c r="I52" s="2"/>
      <c r="J52" s="19"/>
      <c r="K52" s="2"/>
      <c r="L52" s="2">
        <f t="shared" si="0"/>
        <v>-1780.23</v>
      </c>
      <c r="M52" s="2"/>
      <c r="N52" s="19">
        <f t="shared" si="1"/>
        <v>-1</v>
      </c>
      <c r="O52" s="11"/>
      <c r="P52" s="2">
        <f t="shared" si="12"/>
        <v>0</v>
      </c>
      <c r="Q52" s="2"/>
      <c r="R52" s="19"/>
      <c r="S52" s="2"/>
      <c r="T52" s="2">
        <f>--5969.25</f>
        <v>5969.25</v>
      </c>
      <c r="U52" s="2"/>
      <c r="V52" s="19"/>
      <c r="W52" s="2"/>
      <c r="X52" s="2">
        <f t="shared" si="2"/>
        <v>-5969.25</v>
      </c>
      <c r="Y52" s="2"/>
      <c r="Z52" s="19">
        <f t="shared" si="3"/>
        <v>-1</v>
      </c>
    </row>
    <row r="53" spans="1:26" s="24" customFormat="1" hidden="1" outlineLevel="1" x14ac:dyDescent="0.3">
      <c r="A53" s="44"/>
      <c r="B53" s="11" t="str">
        <f>CONCATENATE("          ", "4142", " - ", "NON-TAXABLE SALES-EVERYDAY GIF")</f>
        <v xml:space="preserve">          4142 - NON-TAXABLE SALES-EVERYDAY GIF</v>
      </c>
      <c r="C53" s="11"/>
      <c r="D53" s="2">
        <f t="shared" si="11"/>
        <v>0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 t="shared" si="12"/>
        <v>0</v>
      </c>
      <c r="Q53" s="2"/>
      <c r="R53" s="19"/>
      <c r="S53" s="2"/>
      <c r="T53" s="2">
        <f>--2208.19</f>
        <v>2208.19</v>
      </c>
      <c r="U53" s="2"/>
      <c r="V53" s="19"/>
      <c r="W53" s="2"/>
      <c r="X53" s="2">
        <f t="shared" si="2"/>
        <v>-2208.19</v>
      </c>
      <c r="Y53" s="2"/>
      <c r="Z53" s="19">
        <f t="shared" si="3"/>
        <v>-1</v>
      </c>
    </row>
    <row r="54" spans="1:26" s="24" customFormat="1" hidden="1" outlineLevel="1" x14ac:dyDescent="0.3">
      <c r="A54" s="44"/>
      <c r="B54" s="11" t="str">
        <f>CONCATENATE("          ", "4143", " - ", "NON-TAXABLE SALES-CARDS")</f>
        <v xml:space="preserve">          4143 - NON-TAXABLE SALES-CARDS</v>
      </c>
      <c r="C54" s="11"/>
      <c r="D54" s="2">
        <f t="shared" si="11"/>
        <v>0</v>
      </c>
      <c r="E54" s="2"/>
      <c r="F54" s="19"/>
      <c r="G54" s="2"/>
      <c r="H54" s="2">
        <f>--1697.07</f>
        <v>1697.07</v>
      </c>
      <c r="I54" s="2"/>
      <c r="J54" s="19"/>
      <c r="K54" s="2"/>
      <c r="L54" s="2">
        <f t="shared" si="0"/>
        <v>-1697.07</v>
      </c>
      <c r="M54" s="2"/>
      <c r="N54" s="19">
        <f t="shared" si="1"/>
        <v>-1</v>
      </c>
      <c r="O54" s="11"/>
      <c r="P54" s="2">
        <f t="shared" si="12"/>
        <v>0</v>
      </c>
      <c r="Q54" s="2"/>
      <c r="R54" s="19"/>
      <c r="S54" s="2"/>
      <c r="T54" s="2">
        <f>--1737.03</f>
        <v>1737.03</v>
      </c>
      <c r="U54" s="2"/>
      <c r="V54" s="19"/>
      <c r="W54" s="2"/>
      <c r="X54" s="2">
        <f t="shared" si="2"/>
        <v>-1737.03</v>
      </c>
      <c r="Y54" s="2"/>
      <c r="Z54" s="19">
        <f t="shared" si="3"/>
        <v>-1</v>
      </c>
    </row>
    <row r="55" spans="1:26" s="24" customFormat="1" hidden="1" outlineLevel="1" x14ac:dyDescent="0.3">
      <c r="A55" s="44"/>
      <c r="B55" s="11" t="str">
        <f>CONCATENATE("          ", "4144", " - ", "NON-TAXABLE SALES-ACCESSORIES")</f>
        <v xml:space="preserve">          4144 - NON-TAXABLE SALES-ACCESSORIES</v>
      </c>
      <c r="C55" s="11"/>
      <c r="D55" s="2">
        <f t="shared" si="11"/>
        <v>0</v>
      </c>
      <c r="E55" s="2"/>
      <c r="F55" s="19"/>
      <c r="G55" s="2"/>
      <c r="H55" s="2">
        <f>--99.8</f>
        <v>99.8</v>
      </c>
      <c r="I55" s="2"/>
      <c r="J55" s="19"/>
      <c r="K55" s="2"/>
      <c r="L55" s="2">
        <f t="shared" si="0"/>
        <v>-99.8</v>
      </c>
      <c r="M55" s="2"/>
      <c r="N55" s="19">
        <f t="shared" si="1"/>
        <v>-1</v>
      </c>
      <c r="O55" s="11"/>
      <c r="P55" s="2">
        <f t="shared" si="12"/>
        <v>0</v>
      </c>
      <c r="Q55" s="2"/>
      <c r="R55" s="19"/>
      <c r="S55" s="2"/>
      <c r="T55" s="2">
        <f>--489.5</f>
        <v>489.5</v>
      </c>
      <c r="U55" s="2"/>
      <c r="V55" s="19"/>
      <c r="W55" s="2"/>
      <c r="X55" s="2">
        <f t="shared" si="2"/>
        <v>-489.5</v>
      </c>
      <c r="Y55" s="2"/>
      <c r="Z55" s="19">
        <f t="shared" si="3"/>
        <v>-1</v>
      </c>
    </row>
    <row r="56" spans="1:26" s="24" customFormat="1" hidden="1" outlineLevel="1" x14ac:dyDescent="0.3">
      <c r="A56" s="44"/>
      <c r="B56" s="11" t="str">
        <f>CONCATENATE("          ", "4145", " - ", "NON-TAXABLE SALES-SPECIAL ORDE")</f>
        <v xml:space="preserve">          4145 - NON-TAXABLE SALES-SPECIAL ORDE</v>
      </c>
      <c r="C56" s="11"/>
      <c r="D56" s="2">
        <f t="shared" si="11"/>
        <v>0</v>
      </c>
      <c r="E56" s="2"/>
      <c r="F56" s="19"/>
      <c r="G56" s="2"/>
      <c r="H56" s="2">
        <f>--16747.77</f>
        <v>16747.77</v>
      </c>
      <c r="I56" s="2"/>
      <c r="J56" s="19"/>
      <c r="K56" s="2"/>
      <c r="L56" s="2">
        <f t="shared" si="0"/>
        <v>-16747.77</v>
      </c>
      <c r="M56" s="2"/>
      <c r="N56" s="19">
        <f t="shared" si="1"/>
        <v>-1</v>
      </c>
      <c r="O56" s="11"/>
      <c r="P56" s="2">
        <f t="shared" si="12"/>
        <v>0</v>
      </c>
      <c r="Q56" s="2"/>
      <c r="R56" s="19"/>
      <c r="S56" s="2"/>
      <c r="T56" s="2">
        <f>--55393.77</f>
        <v>55393.77</v>
      </c>
      <c r="U56" s="2"/>
      <c r="V56" s="19"/>
      <c r="W56" s="2"/>
      <c r="X56" s="2">
        <f t="shared" si="2"/>
        <v>-55393.77</v>
      </c>
      <c r="Y56" s="2"/>
      <c r="Z56" s="19">
        <f t="shared" si="3"/>
        <v>-1</v>
      </c>
    </row>
    <row r="57" spans="1:26" s="24" customFormat="1" hidden="1" outlineLevel="1" x14ac:dyDescent="0.3">
      <c r="A57" s="44"/>
      <c r="B57" s="11" t="str">
        <f>CONCATENATE("          ", "4146", " - ", "NON-TAXABLE SALES-COIN OP MACH")</f>
        <v xml:space="preserve">          4146 - NON-TAXABLE SALES-COIN OP MACH</v>
      </c>
      <c r="C57" s="11"/>
      <c r="D57" s="2">
        <f t="shared" si="11"/>
        <v>0</v>
      </c>
      <c r="E57" s="2"/>
      <c r="F57" s="19"/>
      <c r="G57" s="2"/>
      <c r="H57" s="2">
        <f>--19.9</f>
        <v>19.899999999999999</v>
      </c>
      <c r="I57" s="2"/>
      <c r="J57" s="19"/>
      <c r="K57" s="2"/>
      <c r="L57" s="2">
        <f t="shared" si="0"/>
        <v>-19.899999999999999</v>
      </c>
      <c r="M57" s="2"/>
      <c r="N57" s="19">
        <f t="shared" si="1"/>
        <v>-1</v>
      </c>
      <c r="O57" s="11"/>
      <c r="P57" s="2">
        <f t="shared" si="12"/>
        <v>0</v>
      </c>
      <c r="Q57" s="2"/>
      <c r="R57" s="19"/>
      <c r="S57" s="2"/>
      <c r="T57" s="2">
        <f>--127.9</f>
        <v>127.9</v>
      </c>
      <c r="U57" s="2"/>
      <c r="V57" s="19"/>
      <c r="W57" s="2"/>
      <c r="X57" s="2">
        <f t="shared" si="2"/>
        <v>-127.9</v>
      </c>
      <c r="Y57" s="2"/>
      <c r="Z57" s="19">
        <f t="shared" si="3"/>
        <v>-1</v>
      </c>
    </row>
    <row r="58" spans="1:26" s="24" customFormat="1" hidden="1" outlineLevel="1" x14ac:dyDescent="0.3">
      <c r="A58" s="44"/>
      <c r="B58" s="11" t="str">
        <f>CONCATENATE("          ", "4147", " - ", "NON-TAXABLE SALES-MISC")</f>
        <v xml:space="preserve">          4147 - NON-TAXABLE SALES-MISC</v>
      </c>
      <c r="C58" s="11"/>
      <c r="D58" s="2">
        <f t="shared" si="11"/>
        <v>0</v>
      </c>
      <c r="E58" s="2"/>
      <c r="F58" s="19"/>
      <c r="G58" s="2"/>
      <c r="H58" s="2">
        <f>--13</f>
        <v>13</v>
      </c>
      <c r="I58" s="2"/>
      <c r="J58" s="19"/>
      <c r="K58" s="2"/>
      <c r="L58" s="2">
        <f t="shared" si="0"/>
        <v>-13</v>
      </c>
      <c r="M58" s="2"/>
      <c r="N58" s="19">
        <f t="shared" si="1"/>
        <v>-1</v>
      </c>
      <c r="O58" s="11"/>
      <c r="P58" s="2">
        <f t="shared" si="12"/>
        <v>0</v>
      </c>
      <c r="Q58" s="2"/>
      <c r="R58" s="19"/>
      <c r="S58" s="2"/>
      <c r="T58" s="2">
        <f>--104.5</f>
        <v>104.5</v>
      </c>
      <c r="U58" s="2"/>
      <c r="V58" s="19"/>
      <c r="W58" s="2"/>
      <c r="X58" s="2">
        <f t="shared" si="2"/>
        <v>-104.5</v>
      </c>
      <c r="Y58" s="2"/>
      <c r="Z58" s="19">
        <f t="shared" si="3"/>
        <v>-1</v>
      </c>
    </row>
    <row r="59" spans="1:26" s="24" customFormat="1" hidden="1" outlineLevel="1" x14ac:dyDescent="0.3">
      <c r="A59" s="44"/>
      <c r="B59" s="11" t="str">
        <f>CONCATENATE("          ", "4153", " - ", "NON-TAXABLE SALES-FOOD")</f>
        <v xml:space="preserve">          4153 - NON-TAXABLE SALES-FOOD</v>
      </c>
      <c r="C59" s="11"/>
      <c r="D59" s="2">
        <f t="shared" si="11"/>
        <v>0</v>
      </c>
      <c r="E59" s="2"/>
      <c r="F59" s="19"/>
      <c r="G59" s="2"/>
      <c r="H59" s="2">
        <f t="shared" ref="H59:H60" si="15">0</f>
        <v>0</v>
      </c>
      <c r="I59" s="2"/>
      <c r="J59" s="19"/>
      <c r="K59" s="2"/>
      <c r="L59" s="2">
        <f t="shared" si="0"/>
        <v>0</v>
      </c>
      <c r="M59" s="2"/>
      <c r="N59" s="19">
        <f t="shared" si="1"/>
        <v>0</v>
      </c>
      <c r="O59" s="11"/>
      <c r="P59" s="2">
        <f t="shared" si="12"/>
        <v>0</v>
      </c>
      <c r="Q59" s="2"/>
      <c r="R59" s="19"/>
      <c r="S59" s="2"/>
      <c r="T59" s="2">
        <f>--110</f>
        <v>110</v>
      </c>
      <c r="U59" s="2"/>
      <c r="V59" s="19"/>
      <c r="W59" s="2"/>
      <c r="X59" s="2">
        <f t="shared" si="2"/>
        <v>-110</v>
      </c>
      <c r="Y59" s="2"/>
      <c r="Z59" s="19">
        <f t="shared" si="3"/>
        <v>-1</v>
      </c>
    </row>
    <row r="60" spans="1:26" s="24" customFormat="1" hidden="1" outlineLevel="1" x14ac:dyDescent="0.3">
      <c r="A60" s="44"/>
      <c r="B60" s="11" t="str">
        <f>CONCATENATE("          ", "4200", " - ", "TAXABLE RETURNS")</f>
        <v xml:space="preserve">          4200 - TAXABLE RETURNS</v>
      </c>
      <c r="C60" s="11"/>
      <c r="D60" s="2">
        <f>-14880.61</f>
        <v>-14880.61</v>
      </c>
      <c r="E60" s="2"/>
      <c r="F60" s="19"/>
      <c r="G60" s="2"/>
      <c r="H60" s="2">
        <f t="shared" si="15"/>
        <v>0</v>
      </c>
      <c r="I60" s="2"/>
      <c r="J60" s="19"/>
      <c r="K60" s="2"/>
      <c r="L60" s="2">
        <f t="shared" si="0"/>
        <v>-14880.61</v>
      </c>
      <c r="M60" s="2"/>
      <c r="N60" s="19">
        <f t="shared" si="1"/>
        <v>0</v>
      </c>
      <c r="O60" s="11"/>
      <c r="P60" s="2">
        <f>-87418.81</f>
        <v>-87418.81</v>
      </c>
      <c r="Q60" s="2"/>
      <c r="R60" s="19"/>
      <c r="S60" s="2"/>
      <c r="T60" s="2">
        <f>0</f>
        <v>0</v>
      </c>
      <c r="U60" s="2"/>
      <c r="V60" s="19"/>
      <c r="W60" s="2"/>
      <c r="X60" s="2">
        <f t="shared" si="2"/>
        <v>-87418.81</v>
      </c>
      <c r="Y60" s="2"/>
      <c r="Z60" s="19">
        <f t="shared" si="3"/>
        <v>0</v>
      </c>
    </row>
    <row r="61" spans="1:26" s="24" customFormat="1" hidden="1" outlineLevel="1" x14ac:dyDescent="0.3">
      <c r="A61" s="44"/>
      <c r="B61" s="11" t="str">
        <f>CONCATENATE("          ", "4201", " - ", "SALES RETURN TAXABLE-NEW TEXT")</f>
        <v xml:space="preserve">          4201 - SALES RETURN TAXABLE-NEW TEXT</v>
      </c>
      <c r="C61" s="11"/>
      <c r="D61" s="2">
        <f t="shared" ref="D61:D72" si="16">0</f>
        <v>0</v>
      </c>
      <c r="E61" s="2"/>
      <c r="F61" s="19"/>
      <c r="G61" s="2"/>
      <c r="H61" s="2">
        <f>-681.18</f>
        <v>-681.18</v>
      </c>
      <c r="I61" s="2"/>
      <c r="J61" s="19"/>
      <c r="K61" s="2"/>
      <c r="L61" s="2">
        <f t="shared" si="0"/>
        <v>681.18</v>
      </c>
      <c r="M61" s="2"/>
      <c r="N61" s="19">
        <f t="shared" si="1"/>
        <v>-1</v>
      </c>
      <c r="O61" s="11"/>
      <c r="P61" s="2">
        <f t="shared" ref="P61:P72" si="17">0</f>
        <v>0</v>
      </c>
      <c r="Q61" s="2"/>
      <c r="R61" s="19"/>
      <c r="S61" s="2"/>
      <c r="T61" s="2">
        <f>-35775.84</f>
        <v>-35775.839999999997</v>
      </c>
      <c r="U61" s="2"/>
      <c r="V61" s="19"/>
      <c r="W61" s="2"/>
      <c r="X61" s="2">
        <f t="shared" si="2"/>
        <v>35775.839999999997</v>
      </c>
      <c r="Y61" s="2"/>
      <c r="Z61" s="19">
        <f t="shared" si="3"/>
        <v>-1</v>
      </c>
    </row>
    <row r="62" spans="1:26" s="24" customFormat="1" hidden="1" outlineLevel="1" x14ac:dyDescent="0.3">
      <c r="A62" s="44"/>
      <c r="B62" s="11" t="str">
        <f>CONCATENATE("          ", "4202", " - ", "SALES RETURN TAXABLE-USED TEXT")</f>
        <v xml:space="preserve">          4202 - SALES RETURN TAXABLE-USED TEXT</v>
      </c>
      <c r="C62" s="11"/>
      <c r="D62" s="2">
        <f t="shared" si="16"/>
        <v>0</v>
      </c>
      <c r="E62" s="2"/>
      <c r="F62" s="19"/>
      <c r="G62" s="2"/>
      <c r="H62" s="2">
        <f>-62.65</f>
        <v>-62.65</v>
      </c>
      <c r="I62" s="2"/>
      <c r="J62" s="19"/>
      <c r="K62" s="2"/>
      <c r="L62" s="2">
        <f t="shared" si="0"/>
        <v>62.65</v>
      </c>
      <c r="M62" s="2"/>
      <c r="N62" s="19">
        <f t="shared" si="1"/>
        <v>-1</v>
      </c>
      <c r="O62" s="11"/>
      <c r="P62" s="2">
        <f t="shared" si="17"/>
        <v>0</v>
      </c>
      <c r="Q62" s="2"/>
      <c r="R62" s="19"/>
      <c r="S62" s="2"/>
      <c r="T62" s="2">
        <f>-13866</f>
        <v>-13866</v>
      </c>
      <c r="U62" s="2"/>
      <c r="V62" s="19"/>
      <c r="W62" s="2"/>
      <c r="X62" s="2">
        <f t="shared" si="2"/>
        <v>13866</v>
      </c>
      <c r="Y62" s="2"/>
      <c r="Z62" s="19">
        <f t="shared" si="3"/>
        <v>-1</v>
      </c>
    </row>
    <row r="63" spans="1:26" s="24" customFormat="1" hidden="1" outlineLevel="1" x14ac:dyDescent="0.3">
      <c r="A63" s="44"/>
      <c r="B63" s="11" t="str">
        <f>CONCATENATE("          ", "4204", " - ", "SALES RETURN TAXABLE-DIGITAL T")</f>
        <v xml:space="preserve">          4204 - SALES RETURN TAXABLE-DIGITAL T</v>
      </c>
      <c r="C63" s="11"/>
      <c r="D63" s="2">
        <f t="shared" si="16"/>
        <v>0</v>
      </c>
      <c r="E63" s="2"/>
      <c r="F63" s="19"/>
      <c r="G63" s="2"/>
      <c r="H63" s="2">
        <f t="shared" ref="H63:H64" si="18">0</f>
        <v>0</v>
      </c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 t="shared" si="17"/>
        <v>0</v>
      </c>
      <c r="Q63" s="2"/>
      <c r="R63" s="19"/>
      <c r="S63" s="2"/>
      <c r="T63" s="2">
        <f>-1630.85</f>
        <v>-1630.85</v>
      </c>
      <c r="U63" s="2"/>
      <c r="V63" s="19"/>
      <c r="W63" s="2"/>
      <c r="X63" s="2">
        <f t="shared" si="2"/>
        <v>1630.85</v>
      </c>
      <c r="Y63" s="2"/>
      <c r="Z63" s="19">
        <f t="shared" si="3"/>
        <v>-1</v>
      </c>
    </row>
    <row r="64" spans="1:26" s="24" customFormat="1" hidden="1" outlineLevel="1" x14ac:dyDescent="0.3">
      <c r="A64" s="44"/>
      <c r="B64" s="11" t="str">
        <f>CONCATENATE("          ", "4226", " - ", "SALES RETURN TAXABLE-WRITING I")</f>
        <v xml:space="preserve">          4226 - SALES RETURN TAXABLE-WRITING I</v>
      </c>
      <c r="C64" s="11"/>
      <c r="D64" s="2">
        <f t="shared" si="16"/>
        <v>0</v>
      </c>
      <c r="E64" s="2"/>
      <c r="F64" s="19"/>
      <c r="G64" s="2"/>
      <c r="H64" s="2">
        <f t="shared" si="18"/>
        <v>0</v>
      </c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1"/>
      <c r="P64" s="2">
        <f t="shared" si="17"/>
        <v>0</v>
      </c>
      <c r="Q64" s="2"/>
      <c r="R64" s="19"/>
      <c r="S64" s="2"/>
      <c r="T64" s="2">
        <f>-34.23</f>
        <v>-34.229999999999997</v>
      </c>
      <c r="U64" s="2"/>
      <c r="V64" s="19"/>
      <c r="W64" s="2"/>
      <c r="X64" s="2">
        <f t="shared" si="2"/>
        <v>34.229999999999997</v>
      </c>
      <c r="Y64" s="2"/>
      <c r="Z64" s="19">
        <f t="shared" si="3"/>
        <v>-1</v>
      </c>
    </row>
    <row r="65" spans="1:26" s="24" customFormat="1" hidden="1" outlineLevel="1" x14ac:dyDescent="0.3">
      <c r="A65" s="44"/>
      <c r="B65" s="11" t="str">
        <f>CONCATENATE("          ", "4227", " - ", "SALES RETURN TAXABLE-SCHOOL SU")</f>
        <v xml:space="preserve">          4227 - SALES RETURN TAXABLE-SCHOOL SU</v>
      </c>
      <c r="C65" s="11"/>
      <c r="D65" s="2">
        <f t="shared" si="16"/>
        <v>0</v>
      </c>
      <c r="E65" s="2"/>
      <c r="F65" s="19"/>
      <c r="G65" s="2"/>
      <c r="H65" s="2">
        <f>-25.82</f>
        <v>-25.82</v>
      </c>
      <c r="I65" s="2"/>
      <c r="J65" s="19"/>
      <c r="K65" s="2"/>
      <c r="L65" s="2">
        <f t="shared" si="0"/>
        <v>25.82</v>
      </c>
      <c r="M65" s="2"/>
      <c r="N65" s="19">
        <f t="shared" si="1"/>
        <v>-1</v>
      </c>
      <c r="O65" s="11"/>
      <c r="P65" s="2">
        <f t="shared" si="17"/>
        <v>0</v>
      </c>
      <c r="Q65" s="2"/>
      <c r="R65" s="19"/>
      <c r="S65" s="2"/>
      <c r="T65" s="2">
        <f>-636.46</f>
        <v>-636.46</v>
      </c>
      <c r="U65" s="2"/>
      <c r="V65" s="19"/>
      <c r="W65" s="2"/>
      <c r="X65" s="2">
        <f t="shared" si="2"/>
        <v>636.46</v>
      </c>
      <c r="Y65" s="2"/>
      <c r="Z65" s="19">
        <f t="shared" si="3"/>
        <v>-1</v>
      </c>
    </row>
    <row r="66" spans="1:26" s="24" customFormat="1" hidden="1" outlineLevel="1" x14ac:dyDescent="0.3">
      <c r="A66" s="44"/>
      <c r="B66" s="11" t="str">
        <f>CONCATENATE("          ", "4228", " - ", "SALES RETURN TAXABLE-ART/TECH")</f>
        <v xml:space="preserve">          4228 - SALES RETURN TAXABLE-ART/TECH</v>
      </c>
      <c r="C66" s="11"/>
      <c r="D66" s="2">
        <f t="shared" si="16"/>
        <v>0</v>
      </c>
      <c r="E66" s="2"/>
      <c r="F66" s="19"/>
      <c r="G66" s="2"/>
      <c r="H66" s="2">
        <f>0</f>
        <v>0</v>
      </c>
      <c r="I66" s="2"/>
      <c r="J66" s="19"/>
      <c r="K66" s="2"/>
      <c r="L66" s="2">
        <f t="shared" si="0"/>
        <v>0</v>
      </c>
      <c r="M66" s="2"/>
      <c r="N66" s="19">
        <f t="shared" si="1"/>
        <v>0</v>
      </c>
      <c r="O66" s="11"/>
      <c r="P66" s="2">
        <f t="shared" si="17"/>
        <v>0</v>
      </c>
      <c r="Q66" s="2"/>
      <c r="R66" s="19"/>
      <c r="S66" s="2"/>
      <c r="T66" s="2">
        <f>-254.69</f>
        <v>-254.69</v>
      </c>
      <c r="U66" s="2"/>
      <c r="V66" s="19"/>
      <c r="W66" s="2"/>
      <c r="X66" s="2">
        <f t="shared" si="2"/>
        <v>254.69</v>
      </c>
      <c r="Y66" s="2"/>
      <c r="Z66" s="19">
        <f t="shared" si="3"/>
        <v>-1</v>
      </c>
    </row>
    <row r="67" spans="1:26" s="24" customFormat="1" hidden="1" outlineLevel="1" x14ac:dyDescent="0.3">
      <c r="A67" s="44"/>
      <c r="B67" s="11" t="str">
        <f>CONCATENATE("          ", "4240", " - ", "SALES RETURN TAXABLE-LOGO CLOT")</f>
        <v xml:space="preserve">          4240 - SALES RETURN TAXABLE-LOGO CLOT</v>
      </c>
      <c r="C67" s="11"/>
      <c r="D67" s="2">
        <f t="shared" si="16"/>
        <v>0</v>
      </c>
      <c r="E67" s="2"/>
      <c r="F67" s="19"/>
      <c r="G67" s="2"/>
      <c r="H67" s="2">
        <f>-4840.17</f>
        <v>-4840.17</v>
      </c>
      <c r="I67" s="2"/>
      <c r="J67" s="19"/>
      <c r="K67" s="2"/>
      <c r="L67" s="2">
        <f t="shared" si="0"/>
        <v>4840.17</v>
      </c>
      <c r="M67" s="2"/>
      <c r="N67" s="19">
        <f t="shared" si="1"/>
        <v>-1</v>
      </c>
      <c r="O67" s="11"/>
      <c r="P67" s="2">
        <f t="shared" si="17"/>
        <v>0</v>
      </c>
      <c r="Q67" s="2"/>
      <c r="R67" s="19"/>
      <c r="S67" s="2"/>
      <c r="T67" s="2">
        <f>-20418.84</f>
        <v>-20418.84</v>
      </c>
      <c r="U67" s="2"/>
      <c r="V67" s="19"/>
      <c r="W67" s="2"/>
      <c r="X67" s="2">
        <f t="shared" si="2"/>
        <v>20418.84</v>
      </c>
      <c r="Y67" s="2"/>
      <c r="Z67" s="19">
        <f t="shared" si="3"/>
        <v>-1</v>
      </c>
    </row>
    <row r="68" spans="1:26" s="24" customFormat="1" hidden="1" outlineLevel="1" x14ac:dyDescent="0.3">
      <c r="A68" s="44"/>
      <c r="B68" s="11" t="str">
        <f>CONCATENATE("          ", "4241", " - ", "SALES RETURN TAXABLE-LOGO GIFT")</f>
        <v xml:space="preserve">          4241 - SALES RETURN TAXABLE-LOGO GIFT</v>
      </c>
      <c r="C68" s="11"/>
      <c r="D68" s="2">
        <f t="shared" si="16"/>
        <v>0</v>
      </c>
      <c r="E68" s="2"/>
      <c r="F68" s="19"/>
      <c r="G68" s="2"/>
      <c r="H68" s="2">
        <f>-755.16</f>
        <v>-755.16</v>
      </c>
      <c r="I68" s="2"/>
      <c r="J68" s="19"/>
      <c r="K68" s="2"/>
      <c r="L68" s="2">
        <f t="shared" si="0"/>
        <v>755.16</v>
      </c>
      <c r="M68" s="2"/>
      <c r="N68" s="19">
        <f t="shared" si="1"/>
        <v>-1</v>
      </c>
      <c r="O68" s="11"/>
      <c r="P68" s="2">
        <f t="shared" si="17"/>
        <v>0</v>
      </c>
      <c r="Q68" s="2"/>
      <c r="R68" s="19"/>
      <c r="S68" s="2"/>
      <c r="T68" s="2">
        <f>-3560.01</f>
        <v>-3560.01</v>
      </c>
      <c r="U68" s="2"/>
      <c r="V68" s="19"/>
      <c r="W68" s="2"/>
      <c r="X68" s="2">
        <f t="shared" si="2"/>
        <v>3560.01</v>
      </c>
      <c r="Y68" s="2"/>
      <c r="Z68" s="19">
        <f t="shared" si="3"/>
        <v>-1</v>
      </c>
    </row>
    <row r="69" spans="1:26" s="24" customFormat="1" hidden="1" outlineLevel="1" x14ac:dyDescent="0.3">
      <c r="A69" s="44"/>
      <c r="B69" s="11" t="str">
        <f>CONCATENATE("          ", "4242", " - ", "SALES RETURN TAXABLE-EVERYDAY")</f>
        <v xml:space="preserve">          4242 - SALES RETURN TAXABLE-EVERYDAY</v>
      </c>
      <c r="C69" s="11"/>
      <c r="D69" s="2">
        <f t="shared" si="16"/>
        <v>0</v>
      </c>
      <c r="E69" s="2"/>
      <c r="F69" s="19"/>
      <c r="G69" s="2"/>
      <c r="H69" s="2">
        <f>-287.93</f>
        <v>-287.93</v>
      </c>
      <c r="I69" s="2"/>
      <c r="J69" s="19"/>
      <c r="K69" s="2"/>
      <c r="L69" s="2">
        <f t="shared" si="0"/>
        <v>287.93</v>
      </c>
      <c r="M69" s="2"/>
      <c r="N69" s="19">
        <f t="shared" si="1"/>
        <v>-1</v>
      </c>
      <c r="O69" s="11"/>
      <c r="P69" s="2">
        <f t="shared" si="17"/>
        <v>0</v>
      </c>
      <c r="Q69" s="2"/>
      <c r="R69" s="19"/>
      <c r="S69" s="2"/>
      <c r="T69" s="2">
        <f>-1616.92</f>
        <v>-1616.92</v>
      </c>
      <c r="U69" s="2"/>
      <c r="V69" s="19"/>
      <c r="W69" s="2"/>
      <c r="X69" s="2">
        <f t="shared" si="2"/>
        <v>1616.92</v>
      </c>
      <c r="Y69" s="2"/>
      <c r="Z69" s="19">
        <f t="shared" si="3"/>
        <v>-1</v>
      </c>
    </row>
    <row r="70" spans="1:26" s="24" customFormat="1" hidden="1" outlineLevel="1" x14ac:dyDescent="0.3">
      <c r="A70" s="44"/>
      <c r="B70" s="11" t="str">
        <f>CONCATENATE("          ", "4243", " - ", "SALES RETURN TAXABLE-CARDS")</f>
        <v xml:space="preserve">          4243 - SALES RETURN TAXABLE-CARDS</v>
      </c>
      <c r="C70" s="11"/>
      <c r="D70" s="2">
        <f t="shared" si="16"/>
        <v>0</v>
      </c>
      <c r="E70" s="2"/>
      <c r="F70" s="19"/>
      <c r="G70" s="2"/>
      <c r="H70" s="2">
        <f>-1765.08</f>
        <v>-1765.08</v>
      </c>
      <c r="I70" s="2"/>
      <c r="J70" s="19"/>
      <c r="K70" s="2"/>
      <c r="L70" s="2">
        <f t="shared" si="0"/>
        <v>1765.08</v>
      </c>
      <c r="M70" s="2"/>
      <c r="N70" s="19">
        <f t="shared" si="1"/>
        <v>-1</v>
      </c>
      <c r="O70" s="11"/>
      <c r="P70" s="2">
        <f t="shared" si="17"/>
        <v>0</v>
      </c>
      <c r="Q70" s="2"/>
      <c r="R70" s="19"/>
      <c r="S70" s="2"/>
      <c r="T70" s="2">
        <f>-3577.54</f>
        <v>-3577.54</v>
      </c>
      <c r="U70" s="2"/>
      <c r="V70" s="19"/>
      <c r="W70" s="2"/>
      <c r="X70" s="2">
        <f t="shared" si="2"/>
        <v>3577.54</v>
      </c>
      <c r="Y70" s="2"/>
      <c r="Z70" s="19">
        <f t="shared" si="3"/>
        <v>-1</v>
      </c>
    </row>
    <row r="71" spans="1:26" s="24" customFormat="1" hidden="1" outlineLevel="1" x14ac:dyDescent="0.3">
      <c r="A71" s="44"/>
      <c r="B71" s="11" t="str">
        <f>CONCATENATE("          ", "4244", " - ", "SALES RETURN TAXABLE-ACCESSORI")</f>
        <v xml:space="preserve">          4244 - SALES RETURN TAXABLE-ACCESSORI</v>
      </c>
      <c r="C71" s="11"/>
      <c r="D71" s="2">
        <f t="shared" si="16"/>
        <v>0</v>
      </c>
      <c r="E71" s="2"/>
      <c r="F71" s="19"/>
      <c r="G71" s="2"/>
      <c r="H71" s="2">
        <f>-299.93</f>
        <v>-299.93</v>
      </c>
      <c r="I71" s="2"/>
      <c r="J71" s="19"/>
      <c r="K71" s="2"/>
      <c r="L71" s="2">
        <f t="shared" si="0"/>
        <v>299.93</v>
      </c>
      <c r="M71" s="2"/>
      <c r="N71" s="19">
        <f t="shared" si="1"/>
        <v>-1</v>
      </c>
      <c r="O71" s="11"/>
      <c r="P71" s="2">
        <f t="shared" si="17"/>
        <v>0</v>
      </c>
      <c r="Q71" s="2"/>
      <c r="R71" s="19"/>
      <c r="S71" s="2"/>
      <c r="T71" s="2">
        <f>-890.87</f>
        <v>-890.87</v>
      </c>
      <c r="U71" s="2"/>
      <c r="V71" s="19"/>
      <c r="W71" s="2"/>
      <c r="X71" s="2">
        <f t="shared" si="2"/>
        <v>890.87</v>
      </c>
      <c r="Y71" s="2"/>
      <c r="Z71" s="19">
        <f t="shared" si="3"/>
        <v>-1</v>
      </c>
    </row>
    <row r="72" spans="1:26" s="24" customFormat="1" hidden="1" outlineLevel="1" x14ac:dyDescent="0.3">
      <c r="A72" s="44"/>
      <c r="B72" s="11" t="str">
        <f>CONCATENATE("          ", "4245", " - ", "SALES RETURN TAXABLE-SPECIAL O")</f>
        <v xml:space="preserve">          4245 - SALES RETURN TAXABLE-SPECIAL O</v>
      </c>
      <c r="C72" s="11"/>
      <c r="D72" s="2">
        <f t="shared" si="16"/>
        <v>0</v>
      </c>
      <c r="E72" s="2"/>
      <c r="F72" s="19"/>
      <c r="G72" s="2"/>
      <c r="H72" s="2">
        <f>-9752.79</f>
        <v>-9752.7900000000009</v>
      </c>
      <c r="I72" s="2"/>
      <c r="J72" s="19"/>
      <c r="K72" s="2"/>
      <c r="L72" s="2">
        <f t="shared" si="0"/>
        <v>9752.7900000000009</v>
      </c>
      <c r="M72" s="2"/>
      <c r="N72" s="19">
        <f t="shared" si="1"/>
        <v>-1</v>
      </c>
      <c r="O72" s="11"/>
      <c r="P72" s="2">
        <f t="shared" si="17"/>
        <v>0</v>
      </c>
      <c r="Q72" s="2"/>
      <c r="R72" s="19"/>
      <c r="S72" s="2"/>
      <c r="T72" s="2">
        <f>-11345.61</f>
        <v>-11345.61</v>
      </c>
      <c r="U72" s="2"/>
      <c r="V72" s="19"/>
      <c r="W72" s="2"/>
      <c r="X72" s="2">
        <f t="shared" si="2"/>
        <v>11345.61</v>
      </c>
      <c r="Y72" s="2"/>
      <c r="Z72" s="19">
        <f t="shared" si="3"/>
        <v>-1</v>
      </c>
    </row>
    <row r="73" spans="1:26" s="24" customFormat="1" hidden="1" outlineLevel="1" x14ac:dyDescent="0.3">
      <c r="A73" s="44"/>
      <c r="B73" s="11" t="str">
        <f>CONCATENATE("          ", "4300", " - ", "NON-TAX RETURNS")</f>
        <v xml:space="preserve">          4300 - NON-TAX RETURNS</v>
      </c>
      <c r="C73" s="11"/>
      <c r="D73" s="2">
        <f>-678.95</f>
        <v>-678.95</v>
      </c>
      <c r="E73" s="2"/>
      <c r="F73" s="19"/>
      <c r="G73" s="2"/>
      <c r="H73" s="2">
        <f>0</f>
        <v>0</v>
      </c>
      <c r="I73" s="2"/>
      <c r="J73" s="19"/>
      <c r="K73" s="2"/>
      <c r="L73" s="2">
        <f t="shared" si="0"/>
        <v>-678.95</v>
      </c>
      <c r="M73" s="2"/>
      <c r="N73" s="19">
        <f t="shared" si="1"/>
        <v>0</v>
      </c>
      <c r="O73" s="11"/>
      <c r="P73" s="2">
        <f>-27179.34</f>
        <v>-27179.34</v>
      </c>
      <c r="Q73" s="2"/>
      <c r="R73" s="19"/>
      <c r="S73" s="2"/>
      <c r="T73" s="2">
        <f>0</f>
        <v>0</v>
      </c>
      <c r="U73" s="2"/>
      <c r="V73" s="19"/>
      <c r="W73" s="2"/>
      <c r="X73" s="2">
        <f t="shared" si="2"/>
        <v>-27179.34</v>
      </c>
      <c r="Y73" s="2"/>
      <c r="Z73" s="19">
        <f t="shared" si="3"/>
        <v>0</v>
      </c>
    </row>
    <row r="74" spans="1:26" s="24" customFormat="1" hidden="1" outlineLevel="1" x14ac:dyDescent="0.3">
      <c r="A74" s="44"/>
      <c r="B74" s="11" t="str">
        <f>CONCATENATE("          ", "4301", " - ", "SALES RETURN NON TAXABLE-NEW T")</f>
        <v xml:space="preserve">          4301 - SALES RETURN NON TAXABLE-NEW T</v>
      </c>
      <c r="C74" s="11"/>
      <c r="D74" s="2">
        <f t="shared" ref="D74:D79" si="19">0</f>
        <v>0</v>
      </c>
      <c r="E74" s="2"/>
      <c r="F74" s="19"/>
      <c r="G74" s="2"/>
      <c r="H74" s="2">
        <f>-372.93</f>
        <v>-372.93</v>
      </c>
      <c r="I74" s="2"/>
      <c r="J74" s="19"/>
      <c r="K74" s="2"/>
      <c r="L74" s="2">
        <f t="shared" si="0"/>
        <v>372.93</v>
      </c>
      <c r="M74" s="2"/>
      <c r="N74" s="19">
        <f t="shared" si="1"/>
        <v>-1</v>
      </c>
      <c r="O74" s="11"/>
      <c r="P74" s="2">
        <f t="shared" ref="P74:P79" si="20">0</f>
        <v>0</v>
      </c>
      <c r="Q74" s="2"/>
      <c r="R74" s="19"/>
      <c r="S74" s="2"/>
      <c r="T74" s="2">
        <f>-2749.1</f>
        <v>-2749.1</v>
      </c>
      <c r="U74" s="2"/>
      <c r="V74" s="19"/>
      <c r="W74" s="2"/>
      <c r="X74" s="2">
        <f t="shared" si="2"/>
        <v>2749.1</v>
      </c>
      <c r="Y74" s="2"/>
      <c r="Z74" s="19">
        <f t="shared" si="3"/>
        <v>-1</v>
      </c>
    </row>
    <row r="75" spans="1:26" s="24" customFormat="1" hidden="1" outlineLevel="1" x14ac:dyDescent="0.3">
      <c r="A75" s="44"/>
      <c r="B75" s="11" t="str">
        <f>CONCATENATE("          ", "4302", " - ", "SALES RETURN NON TAXABLE-TEXT")</f>
        <v xml:space="preserve">          4302 - SALES RETURN NON TAXABLE-TEXT</v>
      </c>
      <c r="C75" s="11"/>
      <c r="D75" s="2">
        <f t="shared" si="19"/>
        <v>0</v>
      </c>
      <c r="E75" s="2"/>
      <c r="F75" s="19"/>
      <c r="G75" s="2"/>
      <c r="H75" s="2">
        <f>-77.35</f>
        <v>-77.349999999999994</v>
      </c>
      <c r="I75" s="2"/>
      <c r="J75" s="19"/>
      <c r="K75" s="2"/>
      <c r="L75" s="2">
        <f t="shared" si="0"/>
        <v>77.349999999999994</v>
      </c>
      <c r="M75" s="2"/>
      <c r="N75" s="19">
        <f t="shared" si="1"/>
        <v>-1</v>
      </c>
      <c r="O75" s="11"/>
      <c r="P75" s="2">
        <f t="shared" si="20"/>
        <v>0</v>
      </c>
      <c r="Q75" s="2"/>
      <c r="R75" s="19"/>
      <c r="S75" s="2"/>
      <c r="T75" s="2">
        <f>-1470.2</f>
        <v>-1470.2</v>
      </c>
      <c r="U75" s="2"/>
      <c r="V75" s="19"/>
      <c r="W75" s="2"/>
      <c r="X75" s="2">
        <f t="shared" si="2"/>
        <v>1470.2</v>
      </c>
      <c r="Y75" s="2"/>
      <c r="Z75" s="19">
        <f t="shared" si="3"/>
        <v>-1</v>
      </c>
    </row>
    <row r="76" spans="1:26" s="24" customFormat="1" hidden="1" outlineLevel="1" x14ac:dyDescent="0.3">
      <c r="A76" s="44"/>
      <c r="B76" s="11" t="str">
        <f>CONCATENATE("          ", "4304", " - ", "SALES RETURN NON TAXABLE-DIGIT")</f>
        <v xml:space="preserve">          4304 - SALES RETURN NON TAXABLE-DIGIT</v>
      </c>
      <c r="C76" s="11"/>
      <c r="D76" s="2">
        <f t="shared" si="19"/>
        <v>0</v>
      </c>
      <c r="E76" s="2"/>
      <c r="F76" s="19"/>
      <c r="G76" s="2"/>
      <c r="H76" s="2">
        <f>-144.23</f>
        <v>-144.22999999999999</v>
      </c>
      <c r="I76" s="2"/>
      <c r="J76" s="19"/>
      <c r="K76" s="2"/>
      <c r="L76" s="2">
        <f t="shared" si="0"/>
        <v>144.22999999999999</v>
      </c>
      <c r="M76" s="2"/>
      <c r="N76" s="19">
        <f t="shared" si="1"/>
        <v>-1</v>
      </c>
      <c r="O76" s="11"/>
      <c r="P76" s="2">
        <f t="shared" si="20"/>
        <v>0</v>
      </c>
      <c r="Q76" s="2"/>
      <c r="R76" s="19"/>
      <c r="S76" s="2"/>
      <c r="T76" s="2">
        <f>-14422.77</f>
        <v>-14422.77</v>
      </c>
      <c r="U76" s="2"/>
      <c r="V76" s="19"/>
      <c r="W76" s="2"/>
      <c r="X76" s="2">
        <f t="shared" si="2"/>
        <v>14422.77</v>
      </c>
      <c r="Y76" s="2"/>
      <c r="Z76" s="19">
        <f t="shared" si="3"/>
        <v>-1</v>
      </c>
    </row>
    <row r="77" spans="1:26" s="24" customFormat="1" hidden="1" outlineLevel="1" x14ac:dyDescent="0.3">
      <c r="A77" s="44"/>
      <c r="B77" s="11" t="str">
        <f>CONCATENATE("          ", "4340", " - ", "SALES RETURN NON TAXABLE-LOGO")</f>
        <v xml:space="preserve">          4340 - SALES RETURN NON TAXABLE-LOGO</v>
      </c>
      <c r="C77" s="11"/>
      <c r="D77" s="2">
        <f t="shared" si="19"/>
        <v>0</v>
      </c>
      <c r="E77" s="2"/>
      <c r="F77" s="19"/>
      <c r="G77" s="2"/>
      <c r="H77" s="2">
        <f>-543.24</f>
        <v>-543.24</v>
      </c>
      <c r="I77" s="2"/>
      <c r="J77" s="19"/>
      <c r="K77" s="2"/>
      <c r="L77" s="2">
        <f t="shared" si="0"/>
        <v>543.24</v>
      </c>
      <c r="M77" s="2"/>
      <c r="N77" s="19">
        <f t="shared" si="1"/>
        <v>-1</v>
      </c>
      <c r="O77" s="11"/>
      <c r="P77" s="2">
        <f t="shared" si="20"/>
        <v>0</v>
      </c>
      <c r="Q77" s="2"/>
      <c r="R77" s="19"/>
      <c r="S77" s="2"/>
      <c r="T77" s="2">
        <f>-1483.72</f>
        <v>-1483.72</v>
      </c>
      <c r="U77" s="2"/>
      <c r="V77" s="19"/>
      <c r="W77" s="2"/>
      <c r="X77" s="2">
        <f t="shared" si="2"/>
        <v>1483.72</v>
      </c>
      <c r="Y77" s="2"/>
      <c r="Z77" s="19">
        <f t="shared" si="3"/>
        <v>-1</v>
      </c>
    </row>
    <row r="78" spans="1:26" s="24" customFormat="1" hidden="1" outlineLevel="1" x14ac:dyDescent="0.3">
      <c r="A78" s="44"/>
      <c r="B78" s="11" t="str">
        <f>CONCATENATE("          ", "4341", " - ", "SALES RETURN NON TAXABLE-LOGO")</f>
        <v xml:space="preserve">          4341 - SALES RETURN NON TAXABLE-LOGO</v>
      </c>
      <c r="C78" s="11"/>
      <c r="D78" s="2">
        <f t="shared" si="19"/>
        <v>0</v>
      </c>
      <c r="E78" s="2"/>
      <c r="F78" s="19"/>
      <c r="G78" s="2"/>
      <c r="H78" s="2">
        <f>-33.85</f>
        <v>-33.85</v>
      </c>
      <c r="I78" s="2"/>
      <c r="J78" s="19"/>
      <c r="K78" s="2"/>
      <c r="L78" s="2">
        <f t="shared" si="0"/>
        <v>33.85</v>
      </c>
      <c r="M78" s="2"/>
      <c r="N78" s="19">
        <f t="shared" si="1"/>
        <v>-1</v>
      </c>
      <c r="O78" s="11"/>
      <c r="P78" s="2">
        <f t="shared" si="20"/>
        <v>0</v>
      </c>
      <c r="Q78" s="2"/>
      <c r="R78" s="19"/>
      <c r="S78" s="2"/>
      <c r="T78" s="2">
        <f>-335.64</f>
        <v>-335.64</v>
      </c>
      <c r="U78" s="2"/>
      <c r="V78" s="19"/>
      <c r="W78" s="2"/>
      <c r="X78" s="2">
        <f t="shared" si="2"/>
        <v>335.64</v>
      </c>
      <c r="Y78" s="2"/>
      <c r="Z78" s="19">
        <f t="shared" si="3"/>
        <v>-1</v>
      </c>
    </row>
    <row r="79" spans="1:26" s="24" customFormat="1" hidden="1" outlineLevel="1" x14ac:dyDescent="0.3">
      <c r="A79" s="44"/>
      <c r="B79" s="11" t="str">
        <f>CONCATENATE("          ", "4342", " - ", "SALES RETURN NON TAXABLE-EVERY")</f>
        <v xml:space="preserve">          4342 - SALES RETURN NON TAXABLE-EVERY</v>
      </c>
      <c r="C79" s="11"/>
      <c r="D79" s="2">
        <f t="shared" si="19"/>
        <v>0</v>
      </c>
      <c r="E79" s="2"/>
      <c r="F79" s="19"/>
      <c r="G79" s="2"/>
      <c r="H79" s="2">
        <f t="shared" ref="H79:H80" si="21"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 t="shared" si="20"/>
        <v>0</v>
      </c>
      <c r="Q79" s="2"/>
      <c r="R79" s="19"/>
      <c r="S79" s="2"/>
      <c r="T79" s="2">
        <f>-118.7</f>
        <v>-118.7</v>
      </c>
      <c r="U79" s="2"/>
      <c r="V79" s="19"/>
      <c r="W79" s="2"/>
      <c r="X79" s="2">
        <f t="shared" si="2"/>
        <v>118.7</v>
      </c>
      <c r="Y79" s="2"/>
      <c r="Z79" s="19">
        <f t="shared" si="3"/>
        <v>-1</v>
      </c>
    </row>
    <row r="80" spans="1:26" s="24" customFormat="1" hidden="1" outlineLevel="1" x14ac:dyDescent="0.3">
      <c r="A80" s="44"/>
      <c r="B80" s="11" t="str">
        <f>CONCATENATE("          ", "4500", " - ", "SALES DISCOUNT")</f>
        <v xml:space="preserve">          4500 - SALES DISCOUNT</v>
      </c>
      <c r="C80" s="11"/>
      <c r="D80" s="2">
        <f>-49916.63</f>
        <v>-49916.63</v>
      </c>
      <c r="E80" s="2"/>
      <c r="F80" s="19"/>
      <c r="G80" s="2"/>
      <c r="H80" s="2">
        <f t="shared" si="21"/>
        <v>0</v>
      </c>
      <c r="I80" s="2"/>
      <c r="J80" s="19"/>
      <c r="K80" s="2"/>
      <c r="L80" s="2">
        <f t="shared" si="0"/>
        <v>-49916.63</v>
      </c>
      <c r="M80" s="2"/>
      <c r="N80" s="19">
        <f t="shared" si="1"/>
        <v>0</v>
      </c>
      <c r="O80" s="11"/>
      <c r="P80" s="2">
        <f>-64006.11</f>
        <v>-64006.11</v>
      </c>
      <c r="Q80" s="2"/>
      <c r="R80" s="19"/>
      <c r="S80" s="2"/>
      <c r="T80" s="2">
        <f>0</f>
        <v>0</v>
      </c>
      <c r="U80" s="2"/>
      <c r="V80" s="19"/>
      <c r="W80" s="2"/>
      <c r="X80" s="2">
        <f t="shared" si="2"/>
        <v>-64006.11</v>
      </c>
      <c r="Y80" s="2"/>
      <c r="Z80" s="19">
        <f t="shared" si="3"/>
        <v>0</v>
      </c>
    </row>
    <row r="81" spans="1:26" x14ac:dyDescent="0.3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collapsed="1" x14ac:dyDescent="0.3">
      <c r="A82" s="10"/>
      <c r="B82" s="25" t="s">
        <v>256</v>
      </c>
      <c r="C82" s="10"/>
      <c r="D82" s="4">
        <f>SUM(OSRRefD16x_0)</f>
        <v>265819.62999999995</v>
      </c>
      <c r="E82" s="4"/>
      <c r="F82" s="12">
        <f t="shared" ref="F82:F124" si="22">IF(D$12=0,0,D82/D$12)</f>
        <v>0.52049946792747981</v>
      </c>
      <c r="G82" s="4"/>
      <c r="H82" s="4">
        <f>SUM(OSRRefH16x_0)</f>
        <v>133139.77000000002</v>
      </c>
      <c r="I82" s="4"/>
      <c r="J82" s="12">
        <f t="shared" ref="J82:J124" si="23">IF(H$12=0,0,H82/H$12)</f>
        <v>0.56987021540823191</v>
      </c>
      <c r="K82" s="4"/>
      <c r="L82" s="4">
        <f t="shared" ref="L82:L124" si="24">+D82-H82</f>
        <v>132679.85999999993</v>
      </c>
      <c r="M82" s="4"/>
      <c r="N82" s="12">
        <f t="shared" ref="N82:N124" si="25">IF(H82=0,0,L82/H82)</f>
        <v>0.99654566024862379</v>
      </c>
      <c r="O82" s="10"/>
      <c r="P82" s="4">
        <f>SUM(OSRRefP16x_0)</f>
        <v>2258379.6399999997</v>
      </c>
      <c r="Q82" s="4"/>
      <c r="R82" s="12">
        <f t="shared" ref="R82:R124" si="26">IF(P$12=0,0,P82/P$12)</f>
        <v>0.60424260742410818</v>
      </c>
      <c r="S82" s="4"/>
      <c r="T82" s="4">
        <f>SUM(OSRRefT16x_0)</f>
        <v>1743756.14</v>
      </c>
      <c r="U82" s="4"/>
      <c r="V82" s="12">
        <f t="shared" ref="V82:V124" si="27">IF(T$12=0,0,T82/T$12)</f>
        <v>0.64554842682151559</v>
      </c>
      <c r="W82" s="4"/>
      <c r="X82" s="4">
        <f t="shared" ref="X82:X124" si="28">+P82-T82</f>
        <v>514623.49999999977</v>
      </c>
      <c r="Y82" s="4"/>
      <c r="Z82" s="12">
        <f t="shared" ref="Z82:Z124" si="29">IF(T82=0,0,X82/T82)</f>
        <v>0.29512354864023577</v>
      </c>
    </row>
    <row r="83" spans="1:26" s="24" customFormat="1" hidden="1" outlineLevel="1" x14ac:dyDescent="0.3">
      <c r="A83" s="44"/>
      <c r="B83" s="11" t="str">
        <f>CONCATENATE("          ", "5000", " - ", "PURCHASES @ COST")</f>
        <v xml:space="preserve">          5000 - PURCHASES @ COST</v>
      </c>
      <c r="C83" s="11"/>
      <c r="D83" s="2">
        <v>283717.63</v>
      </c>
      <c r="E83" s="2"/>
      <c r="F83" s="19">
        <f t="shared" si="22"/>
        <v>0.55554541045988814</v>
      </c>
      <c r="G83" s="2"/>
      <c r="H83" s="2"/>
      <c r="I83" s="2"/>
      <c r="J83" s="19">
        <f t="shared" si="23"/>
        <v>0</v>
      </c>
      <c r="K83" s="2"/>
      <c r="L83" s="2">
        <f t="shared" si="24"/>
        <v>283717.63</v>
      </c>
      <c r="M83" s="2"/>
      <c r="N83" s="19">
        <f t="shared" si="25"/>
        <v>0</v>
      </c>
      <c r="O83" s="11"/>
      <c r="P83" s="2">
        <v>2531924.41</v>
      </c>
      <c r="Q83" s="2"/>
      <c r="R83" s="19">
        <f t="shared" si="26"/>
        <v>0.67743110157473219</v>
      </c>
      <c r="S83" s="2"/>
      <c r="T83" s="2">
        <v>0</v>
      </c>
      <c r="U83" s="2"/>
      <c r="V83" s="19">
        <f t="shared" si="27"/>
        <v>0</v>
      </c>
      <c r="W83" s="2"/>
      <c r="X83" s="2">
        <f t="shared" si="28"/>
        <v>2531924.41</v>
      </c>
      <c r="Y83" s="2"/>
      <c r="Z83" s="19">
        <f t="shared" si="29"/>
        <v>0</v>
      </c>
    </row>
    <row r="84" spans="1:26" s="24" customFormat="1" hidden="1" outlineLevel="1" x14ac:dyDescent="0.3">
      <c r="A84" s="44"/>
      <c r="B84" s="11" t="str">
        <f>CONCATENATE("          ", "5001", " - ", "PURCHASES @ COST-NEW TEXT")</f>
        <v xml:space="preserve">          5001 - PURCHASES @ COST-NEW TEXT</v>
      </c>
      <c r="C84" s="11"/>
      <c r="D84" s="2"/>
      <c r="E84" s="2"/>
      <c r="F84" s="19">
        <f t="shared" si="22"/>
        <v>0</v>
      </c>
      <c r="G84" s="2"/>
      <c r="H84" s="2">
        <v>37317.56</v>
      </c>
      <c r="I84" s="2"/>
      <c r="J84" s="19">
        <f t="shared" si="23"/>
        <v>0.15972812598151262</v>
      </c>
      <c r="K84" s="2"/>
      <c r="L84" s="2">
        <f t="shared" si="24"/>
        <v>-37317.56</v>
      </c>
      <c r="M84" s="2"/>
      <c r="N84" s="19">
        <f t="shared" si="25"/>
        <v>-1</v>
      </c>
      <c r="O84" s="11"/>
      <c r="P84" s="2">
        <v>0</v>
      </c>
      <c r="Q84" s="2"/>
      <c r="R84" s="19">
        <f t="shared" si="26"/>
        <v>0</v>
      </c>
      <c r="S84" s="2"/>
      <c r="T84" s="2">
        <v>1277913.04</v>
      </c>
      <c r="U84" s="2"/>
      <c r="V84" s="19">
        <f t="shared" si="27"/>
        <v>0.47309066541076128</v>
      </c>
      <c r="W84" s="2"/>
      <c r="X84" s="2">
        <f t="shared" si="28"/>
        <v>-1277913.04</v>
      </c>
      <c r="Y84" s="2"/>
      <c r="Z84" s="19">
        <f t="shared" si="29"/>
        <v>-1</v>
      </c>
    </row>
    <row r="85" spans="1:26" s="24" customFormat="1" hidden="1" outlineLevel="1" x14ac:dyDescent="0.3">
      <c r="A85" s="44"/>
      <c r="B85" s="11" t="str">
        <f>CONCATENATE("          ", "5002", " - ", "PURCHASES @ COST-USED TEXT")</f>
        <v xml:space="preserve">          5002 - PURCHASES @ COST-USED TEXT</v>
      </c>
      <c r="C85" s="11"/>
      <c r="D85" s="2"/>
      <c r="E85" s="2"/>
      <c r="F85" s="19">
        <f t="shared" si="22"/>
        <v>0</v>
      </c>
      <c r="G85" s="2"/>
      <c r="H85" s="2">
        <v>70238.87</v>
      </c>
      <c r="I85" s="2"/>
      <c r="J85" s="19">
        <f t="shared" si="23"/>
        <v>0.30063924533541547</v>
      </c>
      <c r="K85" s="2"/>
      <c r="L85" s="2">
        <f t="shared" si="24"/>
        <v>-70238.87</v>
      </c>
      <c r="M85" s="2"/>
      <c r="N85" s="19">
        <f t="shared" si="25"/>
        <v>-1</v>
      </c>
      <c r="O85" s="11"/>
      <c r="P85" s="2">
        <v>0</v>
      </c>
      <c r="Q85" s="2"/>
      <c r="R85" s="19">
        <f t="shared" si="26"/>
        <v>0</v>
      </c>
      <c r="S85" s="2"/>
      <c r="T85" s="2">
        <v>164472.92000000001</v>
      </c>
      <c r="U85" s="2"/>
      <c r="V85" s="19">
        <f t="shared" si="27"/>
        <v>6.088880912025979E-2</v>
      </c>
      <c r="W85" s="2"/>
      <c r="X85" s="2">
        <f t="shared" si="28"/>
        <v>-164472.92000000001</v>
      </c>
      <c r="Y85" s="2"/>
      <c r="Z85" s="19">
        <f t="shared" si="29"/>
        <v>-1</v>
      </c>
    </row>
    <row r="86" spans="1:26" s="24" customFormat="1" hidden="1" outlineLevel="1" x14ac:dyDescent="0.3">
      <c r="A86" s="44"/>
      <c r="B86" s="11" t="str">
        <f>CONCATENATE("          ", "5003", " - ", "PURCHASES @ COST-RENTAL TEXT")</f>
        <v xml:space="preserve">          5003 - PURCHASES @ COST-RENTAL TEXT</v>
      </c>
      <c r="C86" s="11"/>
      <c r="D86" s="2"/>
      <c r="E86" s="2"/>
      <c r="F86" s="19">
        <f t="shared" si="22"/>
        <v>0</v>
      </c>
      <c r="G86" s="2"/>
      <c r="H86" s="2"/>
      <c r="I86" s="2"/>
      <c r="J86" s="19">
        <f t="shared" si="23"/>
        <v>0</v>
      </c>
      <c r="K86" s="2"/>
      <c r="L86" s="2">
        <f t="shared" si="24"/>
        <v>0</v>
      </c>
      <c r="M86" s="2"/>
      <c r="N86" s="19">
        <f t="shared" si="25"/>
        <v>0</v>
      </c>
      <c r="O86" s="11"/>
      <c r="P86" s="2"/>
      <c r="Q86" s="2"/>
      <c r="R86" s="19">
        <f t="shared" si="26"/>
        <v>0</v>
      </c>
      <c r="S86" s="2"/>
      <c r="T86" s="2">
        <v>32.520000000000003</v>
      </c>
      <c r="U86" s="2"/>
      <c r="V86" s="19">
        <f t="shared" si="27"/>
        <v>1.2039088699774093E-5</v>
      </c>
      <c r="W86" s="2"/>
      <c r="X86" s="2">
        <f t="shared" si="28"/>
        <v>-32.520000000000003</v>
      </c>
      <c r="Y86" s="2"/>
      <c r="Z86" s="19">
        <f t="shared" si="29"/>
        <v>-1</v>
      </c>
    </row>
    <row r="87" spans="1:26" s="24" customFormat="1" hidden="1" outlineLevel="1" x14ac:dyDescent="0.3">
      <c r="A87" s="44"/>
      <c r="B87" s="11" t="str">
        <f>CONCATENATE("          ", "5004", " - ", "PURCHASES @ COST-DIGITAL TEXT")</f>
        <v xml:space="preserve">          5004 - PURCHASES @ COST-DIGITAL TEXT</v>
      </c>
      <c r="C87" s="11"/>
      <c r="D87" s="2"/>
      <c r="E87" s="2"/>
      <c r="F87" s="19">
        <f t="shared" si="22"/>
        <v>0</v>
      </c>
      <c r="G87" s="2"/>
      <c r="H87" s="2">
        <v>900</v>
      </c>
      <c r="I87" s="2"/>
      <c r="J87" s="19">
        <f t="shared" si="23"/>
        <v>3.852216312732166E-3</v>
      </c>
      <c r="K87" s="2"/>
      <c r="L87" s="2">
        <f t="shared" si="24"/>
        <v>-900</v>
      </c>
      <c r="M87" s="2"/>
      <c r="N87" s="19">
        <f t="shared" si="25"/>
        <v>-1</v>
      </c>
      <c r="O87" s="11"/>
      <c r="P87" s="2">
        <v>0</v>
      </c>
      <c r="Q87" s="2"/>
      <c r="R87" s="19">
        <f t="shared" si="26"/>
        <v>0</v>
      </c>
      <c r="S87" s="2"/>
      <c r="T87" s="2">
        <v>197838.11</v>
      </c>
      <c r="U87" s="2"/>
      <c r="V87" s="19">
        <f t="shared" si="27"/>
        <v>7.3240791958353743E-2</v>
      </c>
      <c r="W87" s="2"/>
      <c r="X87" s="2">
        <f t="shared" si="28"/>
        <v>-197838.11</v>
      </c>
      <c r="Y87" s="2"/>
      <c r="Z87" s="19">
        <f t="shared" si="29"/>
        <v>-1</v>
      </c>
    </row>
    <row r="88" spans="1:26" s="24" customFormat="1" hidden="1" outlineLevel="1" x14ac:dyDescent="0.3">
      <c r="A88" s="44"/>
      <c r="B88" s="11" t="str">
        <f>CONCATENATE("          ", "5011", " - ", "PURCHASES @ COST-NO VALUE TEXT")</f>
        <v xml:space="preserve">          5011 - PURCHASES @ COST-NO VALUE TEXT</v>
      </c>
      <c r="C88" s="11"/>
      <c r="D88" s="2"/>
      <c r="E88" s="2"/>
      <c r="F88" s="19">
        <f t="shared" si="22"/>
        <v>0</v>
      </c>
      <c r="G88" s="2"/>
      <c r="H88" s="2"/>
      <c r="I88" s="2"/>
      <c r="J88" s="19">
        <f t="shared" si="23"/>
        <v>0</v>
      </c>
      <c r="K88" s="2"/>
      <c r="L88" s="2">
        <f t="shared" si="24"/>
        <v>0</v>
      </c>
      <c r="M88" s="2"/>
      <c r="N88" s="19">
        <f t="shared" si="25"/>
        <v>0</v>
      </c>
      <c r="O88" s="11"/>
      <c r="P88" s="2"/>
      <c r="Q88" s="2"/>
      <c r="R88" s="19">
        <f t="shared" si="26"/>
        <v>0</v>
      </c>
      <c r="S88" s="2"/>
      <c r="T88" s="2">
        <v>67.17</v>
      </c>
      <c r="U88" s="2"/>
      <c r="V88" s="19">
        <f t="shared" si="27"/>
        <v>2.4866715497042611E-5</v>
      </c>
      <c r="W88" s="2"/>
      <c r="X88" s="2">
        <f t="shared" si="28"/>
        <v>-67.17</v>
      </c>
      <c r="Y88" s="2"/>
      <c r="Z88" s="19">
        <f t="shared" si="29"/>
        <v>-1</v>
      </c>
    </row>
    <row r="89" spans="1:26" s="24" customFormat="1" hidden="1" outlineLevel="1" x14ac:dyDescent="0.3">
      <c r="A89" s="44"/>
      <c r="B89" s="11" t="str">
        <f>CONCATENATE("          ", "5013", " - ", "PURCHASES @ COST-TRADE BOOKS")</f>
        <v xml:space="preserve">          5013 - PURCHASES @ COST-TRADE BOOKS</v>
      </c>
      <c r="C89" s="11"/>
      <c r="D89" s="2"/>
      <c r="E89" s="2"/>
      <c r="F89" s="19">
        <f t="shared" si="22"/>
        <v>0</v>
      </c>
      <c r="G89" s="2"/>
      <c r="H89" s="2">
        <v>31.11</v>
      </c>
      <c r="I89" s="2"/>
      <c r="J89" s="19">
        <f t="shared" si="23"/>
        <v>1.3315827721010855E-4</v>
      </c>
      <c r="K89" s="2"/>
      <c r="L89" s="2">
        <f t="shared" si="24"/>
        <v>-31.11</v>
      </c>
      <c r="M89" s="2"/>
      <c r="N89" s="19">
        <f t="shared" si="25"/>
        <v>-1</v>
      </c>
      <c r="O89" s="11"/>
      <c r="P89" s="2"/>
      <c r="Q89" s="2"/>
      <c r="R89" s="19">
        <f t="shared" si="26"/>
        <v>0</v>
      </c>
      <c r="S89" s="2"/>
      <c r="T89" s="2">
        <v>2125.85</v>
      </c>
      <c r="U89" s="2"/>
      <c r="V89" s="19">
        <f t="shared" si="27"/>
        <v>7.8700174392419282E-4</v>
      </c>
      <c r="W89" s="2"/>
      <c r="X89" s="2">
        <f t="shared" si="28"/>
        <v>-2125.85</v>
      </c>
      <c r="Y89" s="2"/>
      <c r="Z89" s="19">
        <f t="shared" si="29"/>
        <v>-1</v>
      </c>
    </row>
    <row r="90" spans="1:26" s="24" customFormat="1" hidden="1" outlineLevel="1" x14ac:dyDescent="0.3">
      <c r="A90" s="44"/>
      <c r="B90" s="11" t="str">
        <f>CONCATENATE("          ", "5014", " - ", "PURCHASES @ COST-REMAINDERS")</f>
        <v xml:space="preserve">          5014 - PURCHASES @ COST-REMAINDERS</v>
      </c>
      <c r="C90" s="11"/>
      <c r="D90" s="2"/>
      <c r="E90" s="2"/>
      <c r="F90" s="19">
        <f t="shared" si="22"/>
        <v>0</v>
      </c>
      <c r="G90" s="2"/>
      <c r="H90" s="2"/>
      <c r="I90" s="2"/>
      <c r="J90" s="19">
        <f t="shared" si="23"/>
        <v>0</v>
      </c>
      <c r="K90" s="2"/>
      <c r="L90" s="2">
        <f t="shared" si="24"/>
        <v>0</v>
      </c>
      <c r="M90" s="2"/>
      <c r="N90" s="19">
        <f t="shared" si="25"/>
        <v>0</v>
      </c>
      <c r="O90" s="11"/>
      <c r="P90" s="2"/>
      <c r="Q90" s="2"/>
      <c r="R90" s="19">
        <f t="shared" si="26"/>
        <v>0</v>
      </c>
      <c r="S90" s="2"/>
      <c r="T90" s="2">
        <v>90.41</v>
      </c>
      <c r="U90" s="2"/>
      <c r="V90" s="19">
        <f t="shared" si="27"/>
        <v>3.3470295490362101E-5</v>
      </c>
      <c r="W90" s="2"/>
      <c r="X90" s="2">
        <f t="shared" si="28"/>
        <v>-90.41</v>
      </c>
      <c r="Y90" s="2"/>
      <c r="Z90" s="19">
        <f t="shared" si="29"/>
        <v>-1</v>
      </c>
    </row>
    <row r="91" spans="1:26" s="24" customFormat="1" hidden="1" outlineLevel="1" x14ac:dyDescent="0.3">
      <c r="A91" s="44"/>
      <c r="B91" s="11" t="str">
        <f>CONCATENATE("          ", "5018", " - ", "PURCHASES @ COST-STUDY GUIDES")</f>
        <v xml:space="preserve">          5018 - PURCHASES @ COST-STUDY GUIDES</v>
      </c>
      <c r="C91" s="11"/>
      <c r="D91" s="2"/>
      <c r="E91" s="2"/>
      <c r="F91" s="19">
        <f t="shared" si="22"/>
        <v>0</v>
      </c>
      <c r="G91" s="2"/>
      <c r="H91" s="2"/>
      <c r="I91" s="2"/>
      <c r="J91" s="19">
        <f t="shared" si="23"/>
        <v>0</v>
      </c>
      <c r="K91" s="2"/>
      <c r="L91" s="2">
        <f t="shared" si="24"/>
        <v>0</v>
      </c>
      <c r="M91" s="2"/>
      <c r="N91" s="19">
        <f t="shared" si="25"/>
        <v>0</v>
      </c>
      <c r="O91" s="11"/>
      <c r="P91" s="2"/>
      <c r="Q91" s="2"/>
      <c r="R91" s="19">
        <f t="shared" si="26"/>
        <v>0</v>
      </c>
      <c r="S91" s="2"/>
      <c r="T91" s="2">
        <v>106.34</v>
      </c>
      <c r="U91" s="2"/>
      <c r="V91" s="19">
        <f t="shared" si="27"/>
        <v>3.9367671965989448E-5</v>
      </c>
      <c r="W91" s="2"/>
      <c r="X91" s="2">
        <f t="shared" si="28"/>
        <v>-106.34</v>
      </c>
      <c r="Y91" s="2"/>
      <c r="Z91" s="19">
        <f t="shared" si="29"/>
        <v>-1</v>
      </c>
    </row>
    <row r="92" spans="1:26" s="24" customFormat="1" hidden="1" outlineLevel="1" x14ac:dyDescent="0.3">
      <c r="A92" s="44"/>
      <c r="B92" s="11" t="str">
        <f>CONCATENATE("          ", "5025", " - ", "PURCHASES @ COST-TEST FORMS")</f>
        <v xml:space="preserve">          5025 - PURCHASES @ COST-TEST FORMS</v>
      </c>
      <c r="C92" s="11"/>
      <c r="D92" s="2"/>
      <c r="E92" s="2"/>
      <c r="F92" s="19">
        <f t="shared" si="22"/>
        <v>0</v>
      </c>
      <c r="G92" s="2"/>
      <c r="H92" s="2"/>
      <c r="I92" s="2"/>
      <c r="J92" s="19">
        <f t="shared" si="23"/>
        <v>0</v>
      </c>
      <c r="K92" s="2"/>
      <c r="L92" s="2">
        <f t="shared" si="24"/>
        <v>0</v>
      </c>
      <c r="M92" s="2"/>
      <c r="N92" s="19">
        <f t="shared" si="25"/>
        <v>0</v>
      </c>
      <c r="O92" s="11"/>
      <c r="P92" s="2"/>
      <c r="Q92" s="2"/>
      <c r="R92" s="19">
        <f t="shared" si="26"/>
        <v>0</v>
      </c>
      <c r="S92" s="2"/>
      <c r="T92" s="2">
        <v>599.29</v>
      </c>
      <c r="U92" s="2"/>
      <c r="V92" s="19">
        <f t="shared" si="27"/>
        <v>2.2186056171241128E-4</v>
      </c>
      <c r="W92" s="2"/>
      <c r="X92" s="2">
        <f t="shared" si="28"/>
        <v>-599.29</v>
      </c>
      <c r="Y92" s="2"/>
      <c r="Z92" s="19">
        <f t="shared" si="29"/>
        <v>-1</v>
      </c>
    </row>
    <row r="93" spans="1:26" s="24" customFormat="1" hidden="1" outlineLevel="1" x14ac:dyDescent="0.3">
      <c r="A93" s="44"/>
      <c r="B93" s="11" t="str">
        <f>CONCATENATE("          ", "5026", " - ", "PURCHASES @ COST-WRITING INSTR")</f>
        <v xml:space="preserve">          5026 - PURCHASES @ COST-WRITING INSTR</v>
      </c>
      <c r="C93" s="11"/>
      <c r="D93" s="2"/>
      <c r="E93" s="2"/>
      <c r="F93" s="19">
        <f t="shared" si="22"/>
        <v>0</v>
      </c>
      <c r="G93" s="2"/>
      <c r="H93" s="2">
        <v>-5.1100000000000003</v>
      </c>
      <c r="I93" s="2"/>
      <c r="J93" s="19">
        <f t="shared" si="23"/>
        <v>-2.1872028175623747E-5</v>
      </c>
      <c r="K93" s="2"/>
      <c r="L93" s="2">
        <f t="shared" si="24"/>
        <v>5.1100000000000003</v>
      </c>
      <c r="M93" s="2"/>
      <c r="N93" s="19">
        <f t="shared" si="25"/>
        <v>-1</v>
      </c>
      <c r="O93" s="11"/>
      <c r="P93" s="2">
        <v>0</v>
      </c>
      <c r="Q93" s="2"/>
      <c r="R93" s="19">
        <f t="shared" si="26"/>
        <v>0</v>
      </c>
      <c r="S93" s="2"/>
      <c r="T93" s="2">
        <v>374.91</v>
      </c>
      <c r="U93" s="2"/>
      <c r="V93" s="19">
        <f t="shared" si="27"/>
        <v>1.3879381132940666E-4</v>
      </c>
      <c r="W93" s="2"/>
      <c r="X93" s="2">
        <f t="shared" si="28"/>
        <v>-374.91</v>
      </c>
      <c r="Y93" s="2"/>
      <c r="Z93" s="19">
        <f t="shared" si="29"/>
        <v>-1</v>
      </c>
    </row>
    <row r="94" spans="1:26" s="24" customFormat="1" hidden="1" outlineLevel="1" x14ac:dyDescent="0.3">
      <c r="A94" s="44"/>
      <c r="B94" s="11" t="str">
        <f>CONCATENATE("          ", "5027", " - ", "PURCHASES @ COST-SCHOOL SUPPLI")</f>
        <v xml:space="preserve">          5027 - PURCHASES @ COST-SCHOOL SUPPLI</v>
      </c>
      <c r="C94" s="11"/>
      <c r="D94" s="2"/>
      <c r="E94" s="2"/>
      <c r="F94" s="19">
        <f t="shared" si="22"/>
        <v>0</v>
      </c>
      <c r="G94" s="2"/>
      <c r="H94" s="2"/>
      <c r="I94" s="2"/>
      <c r="J94" s="19">
        <f t="shared" si="23"/>
        <v>0</v>
      </c>
      <c r="K94" s="2"/>
      <c r="L94" s="2">
        <f t="shared" si="24"/>
        <v>0</v>
      </c>
      <c r="M94" s="2"/>
      <c r="N94" s="19">
        <f t="shared" si="25"/>
        <v>0</v>
      </c>
      <c r="O94" s="11"/>
      <c r="P94" s="2">
        <v>0</v>
      </c>
      <c r="Q94" s="2"/>
      <c r="R94" s="19">
        <f t="shared" si="26"/>
        <v>0</v>
      </c>
      <c r="S94" s="2"/>
      <c r="T94" s="2">
        <v>19071.349999999999</v>
      </c>
      <c r="U94" s="2"/>
      <c r="V94" s="19">
        <f t="shared" si="27"/>
        <v>7.0603220871597976E-3</v>
      </c>
      <c r="W94" s="2"/>
      <c r="X94" s="2">
        <f t="shared" si="28"/>
        <v>-19071.349999999999</v>
      </c>
      <c r="Y94" s="2"/>
      <c r="Z94" s="19">
        <f t="shared" si="29"/>
        <v>-1</v>
      </c>
    </row>
    <row r="95" spans="1:26" s="24" customFormat="1" hidden="1" outlineLevel="1" x14ac:dyDescent="0.3">
      <c r="A95" s="44"/>
      <c r="B95" s="11" t="str">
        <f>CONCATENATE("          ", "5028", " - ", "PURCHASES @ COST-ART/TECH")</f>
        <v xml:space="preserve">          5028 - PURCHASES @ COST-ART/TECH</v>
      </c>
      <c r="C95" s="11"/>
      <c r="D95" s="2"/>
      <c r="E95" s="2"/>
      <c r="F95" s="19">
        <f t="shared" si="22"/>
        <v>0</v>
      </c>
      <c r="G95" s="2"/>
      <c r="H95" s="2"/>
      <c r="I95" s="2"/>
      <c r="J95" s="19">
        <f t="shared" si="23"/>
        <v>0</v>
      </c>
      <c r="K95" s="2"/>
      <c r="L95" s="2">
        <f t="shared" si="24"/>
        <v>0</v>
      </c>
      <c r="M95" s="2"/>
      <c r="N95" s="19">
        <f t="shared" si="25"/>
        <v>0</v>
      </c>
      <c r="O95" s="11"/>
      <c r="P95" s="2">
        <v>0</v>
      </c>
      <c r="Q95" s="2"/>
      <c r="R95" s="19">
        <f t="shared" si="26"/>
        <v>0</v>
      </c>
      <c r="S95" s="2"/>
      <c r="T95" s="2">
        <v>41358.449999999997</v>
      </c>
      <c r="U95" s="2"/>
      <c r="V95" s="19">
        <f t="shared" si="27"/>
        <v>1.5311133088412416E-2</v>
      </c>
      <c r="W95" s="2"/>
      <c r="X95" s="2">
        <f t="shared" si="28"/>
        <v>-41358.449999999997</v>
      </c>
      <c r="Y95" s="2"/>
      <c r="Z95" s="19">
        <f t="shared" si="29"/>
        <v>-1</v>
      </c>
    </row>
    <row r="96" spans="1:26" s="24" customFormat="1" hidden="1" outlineLevel="1" x14ac:dyDescent="0.3">
      <c r="A96" s="44"/>
      <c r="B96" s="11" t="str">
        <f>CONCATENATE("          ", "5031", " - ", "PURCHASES @ COST-FOOD")</f>
        <v xml:space="preserve">          5031 - PURCHASES @ COST-FOOD</v>
      </c>
      <c r="C96" s="11"/>
      <c r="D96" s="2"/>
      <c r="E96" s="2"/>
      <c r="F96" s="19">
        <f t="shared" si="22"/>
        <v>0</v>
      </c>
      <c r="G96" s="2"/>
      <c r="H96" s="2">
        <v>-1260</v>
      </c>
      <c r="I96" s="2"/>
      <c r="J96" s="19">
        <f t="shared" si="23"/>
        <v>-5.3931028378250328E-3</v>
      </c>
      <c r="K96" s="2"/>
      <c r="L96" s="2">
        <f t="shared" si="24"/>
        <v>1260</v>
      </c>
      <c r="M96" s="2"/>
      <c r="N96" s="19">
        <f t="shared" si="25"/>
        <v>-1</v>
      </c>
      <c r="O96" s="11"/>
      <c r="P96" s="2">
        <v>0</v>
      </c>
      <c r="Q96" s="2"/>
      <c r="R96" s="19">
        <f t="shared" si="26"/>
        <v>0</v>
      </c>
      <c r="S96" s="2"/>
      <c r="T96" s="2">
        <v>7275.1</v>
      </c>
      <c r="U96" s="2"/>
      <c r="V96" s="19">
        <f t="shared" si="27"/>
        <v>2.6932833394749845E-3</v>
      </c>
      <c r="W96" s="2"/>
      <c r="X96" s="2">
        <f t="shared" si="28"/>
        <v>-7275.1</v>
      </c>
      <c r="Y96" s="2"/>
      <c r="Z96" s="19">
        <f t="shared" si="29"/>
        <v>-1</v>
      </c>
    </row>
    <row r="97" spans="1:26" s="24" customFormat="1" hidden="1" outlineLevel="1" x14ac:dyDescent="0.3">
      <c r="A97" s="44"/>
      <c r="B97" s="11" t="str">
        <f>CONCATENATE("          ", "5040", " - ", "PURCHASES @ COST-LOGO CLOTHING")</f>
        <v xml:space="preserve">          5040 - PURCHASES @ COST-LOGO CLOTHING</v>
      </c>
      <c r="C97" s="11"/>
      <c r="D97" s="2"/>
      <c r="E97" s="2"/>
      <c r="F97" s="19">
        <f t="shared" si="22"/>
        <v>0</v>
      </c>
      <c r="G97" s="2"/>
      <c r="H97" s="2">
        <v>38175.120000000003</v>
      </c>
      <c r="I97" s="2"/>
      <c r="J97" s="19">
        <f t="shared" si="23"/>
        <v>0.16339868889389775</v>
      </c>
      <c r="K97" s="2"/>
      <c r="L97" s="2">
        <f t="shared" si="24"/>
        <v>-38175.120000000003</v>
      </c>
      <c r="M97" s="2"/>
      <c r="N97" s="19">
        <f t="shared" si="25"/>
        <v>-1</v>
      </c>
      <c r="O97" s="11"/>
      <c r="P97" s="2">
        <v>0</v>
      </c>
      <c r="Q97" s="2"/>
      <c r="R97" s="19">
        <f t="shared" si="26"/>
        <v>0</v>
      </c>
      <c r="S97" s="2"/>
      <c r="T97" s="2">
        <v>132470.39999999999</v>
      </c>
      <c r="U97" s="2"/>
      <c r="V97" s="19">
        <f t="shared" si="27"/>
        <v>4.9041294455552081E-2</v>
      </c>
      <c r="W97" s="2"/>
      <c r="X97" s="2">
        <f t="shared" si="28"/>
        <v>-132470.39999999999</v>
      </c>
      <c r="Y97" s="2"/>
      <c r="Z97" s="19">
        <f t="shared" si="29"/>
        <v>-1</v>
      </c>
    </row>
    <row r="98" spans="1:26" s="24" customFormat="1" hidden="1" outlineLevel="1" x14ac:dyDescent="0.3">
      <c r="A98" s="44"/>
      <c r="B98" s="11" t="str">
        <f>CONCATENATE("          ", "5041", " - ", "PURCHASES @ COST-LOGO GIFTS")</f>
        <v xml:space="preserve">          5041 - PURCHASES @ COST-LOGO GIFTS</v>
      </c>
      <c r="C98" s="11"/>
      <c r="D98" s="2"/>
      <c r="E98" s="2"/>
      <c r="F98" s="19">
        <f t="shared" si="22"/>
        <v>0</v>
      </c>
      <c r="G98" s="2"/>
      <c r="H98" s="2">
        <v>5559.99</v>
      </c>
      <c r="I98" s="2"/>
      <c r="J98" s="19">
        <f t="shared" si="23"/>
        <v>2.379809352958635E-2</v>
      </c>
      <c r="K98" s="2"/>
      <c r="L98" s="2">
        <f t="shared" si="24"/>
        <v>-5559.99</v>
      </c>
      <c r="M98" s="2"/>
      <c r="N98" s="19">
        <f t="shared" si="25"/>
        <v>-1</v>
      </c>
      <c r="O98" s="11"/>
      <c r="P98" s="2">
        <v>0</v>
      </c>
      <c r="Q98" s="2"/>
      <c r="R98" s="19">
        <f t="shared" si="26"/>
        <v>0</v>
      </c>
      <c r="S98" s="2"/>
      <c r="T98" s="2">
        <v>32201.759999999998</v>
      </c>
      <c r="U98" s="2"/>
      <c r="V98" s="19">
        <f t="shared" si="27"/>
        <v>1.1921274444306192E-2</v>
      </c>
      <c r="W98" s="2"/>
      <c r="X98" s="2">
        <f t="shared" si="28"/>
        <v>-32201.759999999998</v>
      </c>
      <c r="Y98" s="2"/>
      <c r="Z98" s="19">
        <f t="shared" si="29"/>
        <v>-1</v>
      </c>
    </row>
    <row r="99" spans="1:26" s="24" customFormat="1" hidden="1" outlineLevel="1" x14ac:dyDescent="0.3">
      <c r="A99" s="44"/>
      <c r="B99" s="11" t="str">
        <f>CONCATENATE("          ", "5042", " - ", "PURCHASES @ COST-EVERYDAY GIFT")</f>
        <v xml:space="preserve">          5042 - PURCHASES @ COST-EVERYDAY GIFT</v>
      </c>
      <c r="C99" s="11"/>
      <c r="D99" s="2"/>
      <c r="E99" s="2"/>
      <c r="F99" s="19">
        <f t="shared" si="22"/>
        <v>0</v>
      </c>
      <c r="G99" s="2"/>
      <c r="H99" s="2">
        <v>148.6</v>
      </c>
      <c r="I99" s="2"/>
      <c r="J99" s="19">
        <f t="shared" si="23"/>
        <v>6.3604371563555546E-4</v>
      </c>
      <c r="K99" s="2"/>
      <c r="L99" s="2">
        <f t="shared" si="24"/>
        <v>-148.6</v>
      </c>
      <c r="M99" s="2"/>
      <c r="N99" s="19">
        <f t="shared" si="25"/>
        <v>-1</v>
      </c>
      <c r="O99" s="11"/>
      <c r="P99" s="2">
        <v>0</v>
      </c>
      <c r="Q99" s="2"/>
      <c r="R99" s="19">
        <f t="shared" si="26"/>
        <v>0</v>
      </c>
      <c r="S99" s="2"/>
      <c r="T99" s="2">
        <v>11061.28</v>
      </c>
      <c r="U99" s="2"/>
      <c r="V99" s="19">
        <f t="shared" si="27"/>
        <v>4.0949486793676864E-3</v>
      </c>
      <c r="W99" s="2"/>
      <c r="X99" s="2">
        <f t="shared" si="28"/>
        <v>-11061.28</v>
      </c>
      <c r="Y99" s="2"/>
      <c r="Z99" s="19">
        <f t="shared" si="29"/>
        <v>-1</v>
      </c>
    </row>
    <row r="100" spans="1:26" s="24" customFormat="1" hidden="1" outlineLevel="1" x14ac:dyDescent="0.3">
      <c r="A100" s="44"/>
      <c r="B100" s="11" t="str">
        <f>CONCATENATE("          ", "5043", " - ", "PURCHASES @ COST-CARDS")</f>
        <v xml:space="preserve">          5043 - PURCHASES @ COST-CARDS</v>
      </c>
      <c r="C100" s="11"/>
      <c r="D100" s="2"/>
      <c r="E100" s="2"/>
      <c r="F100" s="19">
        <f t="shared" si="22"/>
        <v>0</v>
      </c>
      <c r="G100" s="2"/>
      <c r="H100" s="2">
        <v>2448</v>
      </c>
      <c r="I100" s="2"/>
      <c r="J100" s="19">
        <f t="shared" si="23"/>
        <v>1.0478028370631493E-2</v>
      </c>
      <c r="K100" s="2"/>
      <c r="L100" s="2">
        <f t="shared" si="24"/>
        <v>-2448</v>
      </c>
      <c r="M100" s="2"/>
      <c r="N100" s="19">
        <f t="shared" si="25"/>
        <v>-1</v>
      </c>
      <c r="O100" s="11"/>
      <c r="P100" s="2">
        <v>0</v>
      </c>
      <c r="Q100" s="2"/>
      <c r="R100" s="19">
        <f t="shared" si="26"/>
        <v>0</v>
      </c>
      <c r="S100" s="2"/>
      <c r="T100" s="2">
        <v>46621.23</v>
      </c>
      <c r="U100" s="2"/>
      <c r="V100" s="19">
        <f t="shared" si="27"/>
        <v>1.725944413476534E-2</v>
      </c>
      <c r="W100" s="2"/>
      <c r="X100" s="2">
        <f t="shared" si="28"/>
        <v>-46621.23</v>
      </c>
      <c r="Y100" s="2"/>
      <c r="Z100" s="19">
        <f t="shared" si="29"/>
        <v>-1</v>
      </c>
    </row>
    <row r="101" spans="1:26" s="24" customFormat="1" hidden="1" outlineLevel="1" x14ac:dyDescent="0.3">
      <c r="A101" s="44"/>
      <c r="B101" s="11" t="str">
        <f>CONCATENATE("          ", "5044", " - ", "PURCHASES @ COST-ACCESSORIES")</f>
        <v xml:space="preserve">          5044 - PURCHASES @ COST-ACCESSORIES</v>
      </c>
      <c r="C101" s="11"/>
      <c r="D101" s="2"/>
      <c r="E101" s="2"/>
      <c r="F101" s="19">
        <f t="shared" si="22"/>
        <v>0</v>
      </c>
      <c r="G101" s="2"/>
      <c r="H101" s="2"/>
      <c r="I101" s="2"/>
      <c r="J101" s="19">
        <f t="shared" si="23"/>
        <v>0</v>
      </c>
      <c r="K101" s="2"/>
      <c r="L101" s="2">
        <f t="shared" si="24"/>
        <v>0</v>
      </c>
      <c r="M101" s="2"/>
      <c r="N101" s="19">
        <f t="shared" si="25"/>
        <v>0</v>
      </c>
      <c r="O101" s="11"/>
      <c r="P101" s="2">
        <v>0</v>
      </c>
      <c r="Q101" s="2"/>
      <c r="R101" s="19">
        <f t="shared" si="26"/>
        <v>0</v>
      </c>
      <c r="S101" s="2"/>
      <c r="T101" s="2">
        <v>282.33</v>
      </c>
      <c r="U101" s="2"/>
      <c r="V101" s="19">
        <f t="shared" si="27"/>
        <v>1.0452016951436712E-4</v>
      </c>
      <c r="W101" s="2"/>
      <c r="X101" s="2">
        <f t="shared" si="28"/>
        <v>-282.33</v>
      </c>
      <c r="Y101" s="2"/>
      <c r="Z101" s="19">
        <f t="shared" si="29"/>
        <v>-1</v>
      </c>
    </row>
    <row r="102" spans="1:26" s="24" customFormat="1" hidden="1" outlineLevel="1" x14ac:dyDescent="0.3">
      <c r="A102" s="44"/>
      <c r="B102" s="11" t="str">
        <f>CONCATENATE("          ", "5045", " - ", "PURCHASES @ COST-SPECIAL ORDER")</f>
        <v xml:space="preserve">          5045 - PURCHASES @ COST-SPECIAL ORDER</v>
      </c>
      <c r="C102" s="11"/>
      <c r="D102" s="2"/>
      <c r="E102" s="2"/>
      <c r="F102" s="19">
        <f t="shared" si="22"/>
        <v>0</v>
      </c>
      <c r="G102" s="2"/>
      <c r="H102" s="2">
        <v>10676.48</v>
      </c>
      <c r="I102" s="2"/>
      <c r="J102" s="19">
        <f t="shared" si="23"/>
        <v>4.5697900465065243E-2</v>
      </c>
      <c r="K102" s="2"/>
      <c r="L102" s="2">
        <f t="shared" si="24"/>
        <v>-10676.48</v>
      </c>
      <c r="M102" s="2"/>
      <c r="N102" s="19">
        <f t="shared" si="25"/>
        <v>-1</v>
      </c>
      <c r="O102" s="11"/>
      <c r="P102" s="2">
        <v>0</v>
      </c>
      <c r="Q102" s="2"/>
      <c r="R102" s="19">
        <f t="shared" si="26"/>
        <v>0</v>
      </c>
      <c r="S102" s="2"/>
      <c r="T102" s="2">
        <v>87609</v>
      </c>
      <c r="U102" s="2"/>
      <c r="V102" s="19">
        <f t="shared" si="27"/>
        <v>3.243334938187295E-2</v>
      </c>
      <c r="W102" s="2"/>
      <c r="X102" s="2">
        <f t="shared" si="28"/>
        <v>-87609</v>
      </c>
      <c r="Y102" s="2"/>
      <c r="Z102" s="19">
        <f t="shared" si="29"/>
        <v>-1</v>
      </c>
    </row>
    <row r="103" spans="1:26" s="24" customFormat="1" hidden="1" outlineLevel="1" x14ac:dyDescent="0.3">
      <c r="A103" s="44"/>
      <c r="B103" s="11" t="str">
        <f>CONCATENATE("          ", "5053", " - ", "PURCHASES @ COST-FOOD")</f>
        <v xml:space="preserve">          5053 - PURCHASES @ COST-FOOD</v>
      </c>
      <c r="C103" s="11"/>
      <c r="D103" s="2">
        <v>1757.73</v>
      </c>
      <c r="E103" s="2"/>
      <c r="F103" s="19">
        <f t="shared" si="22"/>
        <v>3.4417982214487667E-3</v>
      </c>
      <c r="G103" s="2"/>
      <c r="H103" s="2">
        <v>290.37</v>
      </c>
      <c r="I103" s="2"/>
      <c r="J103" s="19">
        <f t="shared" si="23"/>
        <v>1.2428533896978212E-3</v>
      </c>
      <c r="K103" s="2"/>
      <c r="L103" s="2">
        <f t="shared" si="24"/>
        <v>1467.3600000000001</v>
      </c>
      <c r="M103" s="2"/>
      <c r="N103" s="19">
        <f t="shared" si="25"/>
        <v>5.0534146089472056</v>
      </c>
      <c r="O103" s="11"/>
      <c r="P103" s="2">
        <v>41699.19</v>
      </c>
      <c r="Q103" s="2"/>
      <c r="R103" s="19">
        <f t="shared" si="26"/>
        <v>1.1156860807102079E-2</v>
      </c>
      <c r="S103" s="2"/>
      <c r="T103" s="2">
        <v>-2565.1999999999998</v>
      </c>
      <c r="U103" s="2"/>
      <c r="V103" s="19">
        <f t="shared" si="27"/>
        <v>-9.4965160924540275E-4</v>
      </c>
      <c r="W103" s="2"/>
      <c r="X103" s="2">
        <f t="shared" si="28"/>
        <v>44264.39</v>
      </c>
      <c r="Y103" s="2"/>
      <c r="Z103" s="19">
        <f t="shared" si="29"/>
        <v>-17.25572664899423</v>
      </c>
    </row>
    <row r="104" spans="1:26" s="24" customFormat="1" hidden="1" outlineLevel="1" x14ac:dyDescent="0.3">
      <c r="A104" s="44"/>
      <c r="B104" s="11" t="str">
        <f>CONCATENATE("          ", "5059", " - ", "PURCHASES @ COST-FOOD")</f>
        <v xml:space="preserve">          5059 - PURCHASES @ COST-FOOD</v>
      </c>
      <c r="C104" s="11"/>
      <c r="D104" s="2">
        <v>5966.56</v>
      </c>
      <c r="E104" s="2"/>
      <c r="F104" s="19">
        <f t="shared" si="22"/>
        <v>1.1683077376028942E-2</v>
      </c>
      <c r="G104" s="2"/>
      <c r="H104" s="2"/>
      <c r="I104" s="2"/>
      <c r="J104" s="19">
        <f t="shared" si="23"/>
        <v>0</v>
      </c>
      <c r="K104" s="2"/>
      <c r="L104" s="2">
        <f t="shared" si="24"/>
        <v>5966.56</v>
      </c>
      <c r="M104" s="2"/>
      <c r="N104" s="19">
        <f t="shared" si="25"/>
        <v>0</v>
      </c>
      <c r="O104" s="11"/>
      <c r="P104" s="2">
        <v>4758.12</v>
      </c>
      <c r="Q104" s="2"/>
      <c r="R104" s="19">
        <f t="shared" si="26"/>
        <v>1.2730626792388183E-3</v>
      </c>
      <c r="S104" s="2"/>
      <c r="T104" s="2">
        <v>11697.91</v>
      </c>
      <c r="U104" s="2"/>
      <c r="V104" s="19">
        <f t="shared" si="27"/>
        <v>4.3306327211554228E-3</v>
      </c>
      <c r="W104" s="2"/>
      <c r="X104" s="2">
        <f t="shared" si="28"/>
        <v>-6939.79</v>
      </c>
      <c r="Y104" s="2"/>
      <c r="Z104" s="19">
        <f t="shared" si="29"/>
        <v>-0.59325041823710389</v>
      </c>
    </row>
    <row r="105" spans="1:26" s="24" customFormat="1" hidden="1" outlineLevel="1" x14ac:dyDescent="0.3">
      <c r="A105" s="44"/>
      <c r="B105" s="11" t="str">
        <f>CONCATENATE("          ", "5092", " - ", "PURCHASES @ COST-GRAD MERCH")</f>
        <v xml:space="preserve">          5092 - PURCHASES @ COST-GRAD MERCH</v>
      </c>
      <c r="C105" s="11"/>
      <c r="D105" s="2"/>
      <c r="E105" s="2"/>
      <c r="F105" s="19">
        <f t="shared" si="22"/>
        <v>0</v>
      </c>
      <c r="G105" s="2"/>
      <c r="H105" s="2"/>
      <c r="I105" s="2"/>
      <c r="J105" s="19">
        <f t="shared" si="23"/>
        <v>0</v>
      </c>
      <c r="K105" s="2"/>
      <c r="L105" s="2">
        <f t="shared" si="24"/>
        <v>0</v>
      </c>
      <c r="M105" s="2"/>
      <c r="N105" s="19">
        <f t="shared" si="25"/>
        <v>0</v>
      </c>
      <c r="O105" s="11"/>
      <c r="P105" s="2"/>
      <c r="Q105" s="2"/>
      <c r="R105" s="19">
        <f t="shared" si="26"/>
        <v>0</v>
      </c>
      <c r="S105" s="2"/>
      <c r="T105" s="2">
        <v>0</v>
      </c>
      <c r="U105" s="2"/>
      <c r="V105" s="19">
        <f t="shared" si="27"/>
        <v>0</v>
      </c>
      <c r="W105" s="2"/>
      <c r="X105" s="2">
        <f t="shared" si="28"/>
        <v>0</v>
      </c>
      <c r="Y105" s="2"/>
      <c r="Z105" s="19">
        <f t="shared" si="29"/>
        <v>0</v>
      </c>
    </row>
    <row r="106" spans="1:26" s="24" customFormat="1" hidden="1" outlineLevel="1" x14ac:dyDescent="0.3">
      <c r="A106" s="44"/>
      <c r="B106" s="11" t="str">
        <f>CONCATENATE("          ", "5200", " - ", "PURCHASES OFFSET")</f>
        <v xml:space="preserve">          5200 - PURCHASES OFFSET</v>
      </c>
      <c r="C106" s="11"/>
      <c r="D106" s="2">
        <v>-295778.33</v>
      </c>
      <c r="E106" s="2"/>
      <c r="F106" s="19">
        <f t="shared" si="22"/>
        <v>-0.57916137867424822</v>
      </c>
      <c r="G106" s="2"/>
      <c r="H106" s="2">
        <v>-172627.15</v>
      </c>
      <c r="I106" s="2"/>
      <c r="J106" s="19">
        <f t="shared" si="23"/>
        <v>-0.73888569250051395</v>
      </c>
      <c r="K106" s="2"/>
      <c r="L106" s="2">
        <f t="shared" si="24"/>
        <v>-123151.18000000002</v>
      </c>
      <c r="M106" s="2"/>
      <c r="N106" s="19">
        <f t="shared" si="25"/>
        <v>0.71339404027697861</v>
      </c>
      <c r="O106" s="11"/>
      <c r="P106" s="2">
        <v>-2350995.54</v>
      </c>
      <c r="Q106" s="2"/>
      <c r="R106" s="19">
        <f t="shared" si="26"/>
        <v>-0.62902253012343379</v>
      </c>
      <c r="S106" s="2"/>
      <c r="T106" s="2">
        <v>-1745022.43</v>
      </c>
      <c r="U106" s="2"/>
      <c r="V106" s="19">
        <f t="shared" si="27"/>
        <v>-0.64601721457150441</v>
      </c>
      <c r="W106" s="2"/>
      <c r="X106" s="2">
        <f t="shared" si="28"/>
        <v>-605973.1100000001</v>
      </c>
      <c r="Y106" s="2"/>
      <c r="Z106" s="19">
        <f t="shared" si="29"/>
        <v>0.34725806361125117</v>
      </c>
    </row>
    <row r="107" spans="1:26" s="24" customFormat="1" hidden="1" outlineLevel="1" x14ac:dyDescent="0.3">
      <c r="A107" s="44"/>
      <c r="B107" s="11" t="str">
        <f>CONCATENATE("          ", "5300", " - ", "COG$ OFFSET")</f>
        <v xml:space="preserve">          5300 - COG$ OFFSET</v>
      </c>
      <c r="C107" s="11"/>
      <c r="D107" s="2">
        <v>260630.8</v>
      </c>
      <c r="E107" s="2"/>
      <c r="F107" s="19">
        <f t="shared" si="22"/>
        <v>0.51033925796042001</v>
      </c>
      <c r="G107" s="2"/>
      <c r="H107" s="2">
        <v>134493</v>
      </c>
      <c r="I107" s="2"/>
      <c r="J107" s="19">
        <f t="shared" si="23"/>
        <v>0.57566236505365243</v>
      </c>
      <c r="K107" s="2"/>
      <c r="L107" s="2">
        <f t="shared" si="24"/>
        <v>126137.79999999999</v>
      </c>
      <c r="M107" s="2"/>
      <c r="N107" s="19">
        <f t="shared" si="25"/>
        <v>0.93787632070070548</v>
      </c>
      <c r="O107" s="11"/>
      <c r="P107" s="2">
        <v>1960711.16</v>
      </c>
      <c r="Q107" s="2"/>
      <c r="R107" s="19">
        <f t="shared" si="26"/>
        <v>0.52459967435942167</v>
      </c>
      <c r="S107" s="2"/>
      <c r="T107" s="2">
        <v>1391133</v>
      </c>
      <c r="U107" s="2"/>
      <c r="V107" s="19">
        <f t="shared" si="27"/>
        <v>0.51500533764399847</v>
      </c>
      <c r="W107" s="2"/>
      <c r="X107" s="2">
        <f t="shared" si="28"/>
        <v>569578.15999999992</v>
      </c>
      <c r="Y107" s="2"/>
      <c r="Z107" s="19">
        <f t="shared" si="29"/>
        <v>0.40943472694559035</v>
      </c>
    </row>
    <row r="108" spans="1:26" s="24" customFormat="1" hidden="1" outlineLevel="1" x14ac:dyDescent="0.3">
      <c r="A108" s="44"/>
      <c r="B108" s="11" t="str">
        <f>CONCATENATE("          ", "5500", " - ", "FREIGHT-IN")</f>
        <v xml:space="preserve">          5500 - FREIGHT-IN</v>
      </c>
      <c r="C108" s="11"/>
      <c r="D108" s="2">
        <v>9525.24</v>
      </c>
      <c r="E108" s="2"/>
      <c r="F108" s="19">
        <f t="shared" si="22"/>
        <v>1.8651302583942157E-2</v>
      </c>
      <c r="G108" s="2"/>
      <c r="H108" s="2">
        <v>0</v>
      </c>
      <c r="I108" s="2"/>
      <c r="J108" s="19">
        <f t="shared" si="23"/>
        <v>0</v>
      </c>
      <c r="K108" s="2"/>
      <c r="L108" s="2">
        <f t="shared" si="24"/>
        <v>9525.24</v>
      </c>
      <c r="M108" s="2"/>
      <c r="N108" s="19">
        <f t="shared" si="25"/>
        <v>0</v>
      </c>
      <c r="O108" s="11"/>
      <c r="P108" s="2">
        <v>70282.3</v>
      </c>
      <c r="Q108" s="2"/>
      <c r="R108" s="19">
        <f t="shared" si="26"/>
        <v>1.8804438127047324E-2</v>
      </c>
      <c r="S108" s="2"/>
      <c r="T108" s="2">
        <v>0</v>
      </c>
      <c r="U108" s="2"/>
      <c r="V108" s="19">
        <f t="shared" si="27"/>
        <v>0</v>
      </c>
      <c r="W108" s="2"/>
      <c r="X108" s="2">
        <f t="shared" si="28"/>
        <v>70282.3</v>
      </c>
      <c r="Y108" s="2"/>
      <c r="Z108" s="19">
        <f t="shared" si="29"/>
        <v>0</v>
      </c>
    </row>
    <row r="109" spans="1:26" s="24" customFormat="1" hidden="1" outlineLevel="1" x14ac:dyDescent="0.3">
      <c r="A109" s="44"/>
      <c r="B109" s="11" t="str">
        <f>CONCATENATE("          ", "5501", " - ", "FREIGHT-IN-NEW TEXT")</f>
        <v xml:space="preserve">          5501 - FREIGHT-IN-NEW TEXT</v>
      </c>
      <c r="C109" s="11"/>
      <c r="D109" s="2"/>
      <c r="E109" s="2"/>
      <c r="F109" s="19">
        <f t="shared" si="22"/>
        <v>0</v>
      </c>
      <c r="G109" s="2"/>
      <c r="H109" s="2">
        <v>2414.77</v>
      </c>
      <c r="I109" s="2"/>
      <c r="J109" s="19">
        <f t="shared" si="23"/>
        <v>1.0335795983884725E-2</v>
      </c>
      <c r="K109" s="2"/>
      <c r="L109" s="2">
        <f t="shared" si="24"/>
        <v>-2414.77</v>
      </c>
      <c r="M109" s="2"/>
      <c r="N109" s="19">
        <f t="shared" si="25"/>
        <v>-1</v>
      </c>
      <c r="O109" s="11"/>
      <c r="P109" s="2">
        <v>0</v>
      </c>
      <c r="Q109" s="2"/>
      <c r="R109" s="19">
        <f t="shared" si="26"/>
        <v>0</v>
      </c>
      <c r="S109" s="2"/>
      <c r="T109" s="2">
        <v>37463.58</v>
      </c>
      <c r="U109" s="2"/>
      <c r="V109" s="19">
        <f t="shared" si="27"/>
        <v>1.3869230093206725E-2</v>
      </c>
      <c r="W109" s="2"/>
      <c r="X109" s="2">
        <f t="shared" si="28"/>
        <v>-37463.58</v>
      </c>
      <c r="Y109" s="2"/>
      <c r="Z109" s="19">
        <f t="shared" si="29"/>
        <v>-1</v>
      </c>
    </row>
    <row r="110" spans="1:26" s="24" customFormat="1" hidden="1" outlineLevel="1" x14ac:dyDescent="0.3">
      <c r="A110" s="44"/>
      <c r="B110" s="11" t="str">
        <f>CONCATENATE("          ", "5502", " - ", "FREIGHT-IN-USED TEXT")</f>
        <v xml:space="preserve">          5502 - FREIGHT-IN-USED TEXT</v>
      </c>
      <c r="C110" s="11"/>
      <c r="D110" s="2"/>
      <c r="E110" s="2"/>
      <c r="F110" s="19">
        <f t="shared" si="22"/>
        <v>0</v>
      </c>
      <c r="G110" s="2"/>
      <c r="H110" s="2">
        <v>2389.48</v>
      </c>
      <c r="I110" s="2"/>
      <c r="J110" s="19">
        <f t="shared" si="23"/>
        <v>1.0227548705496952E-2</v>
      </c>
      <c r="K110" s="2"/>
      <c r="L110" s="2">
        <f t="shared" si="24"/>
        <v>-2389.48</v>
      </c>
      <c r="M110" s="2"/>
      <c r="N110" s="19">
        <f t="shared" si="25"/>
        <v>-1</v>
      </c>
      <c r="O110" s="11"/>
      <c r="P110" s="2">
        <v>0</v>
      </c>
      <c r="Q110" s="2"/>
      <c r="R110" s="19">
        <f t="shared" si="26"/>
        <v>0</v>
      </c>
      <c r="S110" s="2"/>
      <c r="T110" s="2">
        <v>13522.57</v>
      </c>
      <c r="U110" s="2"/>
      <c r="V110" s="19">
        <f t="shared" si="27"/>
        <v>5.0061322164484667E-3</v>
      </c>
      <c r="W110" s="2"/>
      <c r="X110" s="2">
        <f t="shared" si="28"/>
        <v>-13522.57</v>
      </c>
      <c r="Y110" s="2"/>
      <c r="Z110" s="19">
        <f t="shared" si="29"/>
        <v>-1</v>
      </c>
    </row>
    <row r="111" spans="1:26" s="24" customFormat="1" hidden="1" outlineLevel="1" x14ac:dyDescent="0.3">
      <c r="A111" s="44"/>
      <c r="B111" s="11" t="str">
        <f>CONCATENATE("          ", "5504", " - ", "FREIGHT-IN-DIGITAL TEXT")</f>
        <v xml:space="preserve">          5504 - FREIGHT-IN-DIGITAL TEXT</v>
      </c>
      <c r="C111" s="11"/>
      <c r="D111" s="2"/>
      <c r="E111" s="2"/>
      <c r="F111" s="19">
        <f t="shared" si="22"/>
        <v>0</v>
      </c>
      <c r="G111" s="2"/>
      <c r="H111" s="2"/>
      <c r="I111" s="2"/>
      <c r="J111" s="19">
        <f t="shared" si="23"/>
        <v>0</v>
      </c>
      <c r="K111" s="2"/>
      <c r="L111" s="2">
        <f t="shared" si="24"/>
        <v>0</v>
      </c>
      <c r="M111" s="2"/>
      <c r="N111" s="19">
        <f t="shared" si="25"/>
        <v>0</v>
      </c>
      <c r="O111" s="11"/>
      <c r="P111" s="2"/>
      <c r="Q111" s="2"/>
      <c r="R111" s="19">
        <f t="shared" si="26"/>
        <v>0</v>
      </c>
      <c r="S111" s="2"/>
      <c r="T111" s="2">
        <v>21.98</v>
      </c>
      <c r="U111" s="2"/>
      <c r="V111" s="19">
        <f t="shared" si="27"/>
        <v>8.1371208370551822E-6</v>
      </c>
      <c r="W111" s="2"/>
      <c r="X111" s="2">
        <f t="shared" si="28"/>
        <v>-21.98</v>
      </c>
      <c r="Y111" s="2"/>
      <c r="Z111" s="19">
        <f t="shared" si="29"/>
        <v>-1</v>
      </c>
    </row>
    <row r="112" spans="1:26" s="24" customFormat="1" hidden="1" outlineLevel="1" x14ac:dyDescent="0.3">
      <c r="A112" s="44"/>
      <c r="B112" s="11" t="str">
        <f>CONCATENATE("          ", "5513", " - ", "FREIGHT-IN-TRADE BOOKS")</f>
        <v xml:space="preserve">          5513 - FREIGHT-IN-TRADE BOOKS</v>
      </c>
      <c r="C112" s="11"/>
      <c r="D112" s="2"/>
      <c r="E112" s="2"/>
      <c r="F112" s="19">
        <f t="shared" si="22"/>
        <v>0</v>
      </c>
      <c r="G112" s="2"/>
      <c r="H112" s="2"/>
      <c r="I112" s="2"/>
      <c r="J112" s="19">
        <f t="shared" si="23"/>
        <v>0</v>
      </c>
      <c r="K112" s="2"/>
      <c r="L112" s="2">
        <f t="shared" si="24"/>
        <v>0</v>
      </c>
      <c r="M112" s="2"/>
      <c r="N112" s="19">
        <f t="shared" si="25"/>
        <v>0</v>
      </c>
      <c r="O112" s="11"/>
      <c r="P112" s="2"/>
      <c r="Q112" s="2"/>
      <c r="R112" s="19">
        <f t="shared" si="26"/>
        <v>0</v>
      </c>
      <c r="S112" s="2"/>
      <c r="T112" s="2">
        <v>26.46</v>
      </c>
      <c r="U112" s="2"/>
      <c r="V112" s="19">
        <f t="shared" si="27"/>
        <v>9.7956422815505073E-6</v>
      </c>
      <c r="W112" s="2"/>
      <c r="X112" s="2">
        <f t="shared" si="28"/>
        <v>-26.46</v>
      </c>
      <c r="Y112" s="2"/>
      <c r="Z112" s="19">
        <f t="shared" si="29"/>
        <v>-1</v>
      </c>
    </row>
    <row r="113" spans="1:26" s="24" customFormat="1" hidden="1" outlineLevel="1" x14ac:dyDescent="0.3">
      <c r="A113" s="44"/>
      <c r="B113" s="11" t="str">
        <f>CONCATENATE("          ", "5518", " - ", "FREIGHT-IN-STUDY GUIDES")</f>
        <v xml:space="preserve">          5518 - FREIGHT-IN-STUDY GUIDES</v>
      </c>
      <c r="C113" s="11"/>
      <c r="D113" s="2"/>
      <c r="E113" s="2"/>
      <c r="F113" s="19">
        <f t="shared" si="22"/>
        <v>0</v>
      </c>
      <c r="G113" s="2"/>
      <c r="H113" s="2"/>
      <c r="I113" s="2"/>
      <c r="J113" s="19">
        <f t="shared" si="23"/>
        <v>0</v>
      </c>
      <c r="K113" s="2"/>
      <c r="L113" s="2">
        <f t="shared" si="24"/>
        <v>0</v>
      </c>
      <c r="M113" s="2"/>
      <c r="N113" s="19">
        <f t="shared" si="25"/>
        <v>0</v>
      </c>
      <c r="O113" s="11"/>
      <c r="P113" s="2">
        <v>0</v>
      </c>
      <c r="Q113" s="2"/>
      <c r="R113" s="19">
        <f t="shared" si="26"/>
        <v>0</v>
      </c>
      <c r="S113" s="2"/>
      <c r="T113" s="2"/>
      <c r="U113" s="2"/>
      <c r="V113" s="19">
        <f t="shared" si="27"/>
        <v>0</v>
      </c>
      <c r="W113" s="2"/>
      <c r="X113" s="2">
        <f t="shared" si="28"/>
        <v>0</v>
      </c>
      <c r="Y113" s="2"/>
      <c r="Z113" s="19">
        <f t="shared" si="29"/>
        <v>0</v>
      </c>
    </row>
    <row r="114" spans="1:26" s="24" customFormat="1" hidden="1" outlineLevel="1" x14ac:dyDescent="0.3">
      <c r="A114" s="44"/>
      <c r="B114" s="11" t="str">
        <f>CONCATENATE("          ", "5525", " - ", "FREIGHT-IN-TEST FORMS")</f>
        <v xml:space="preserve">          5525 - FREIGHT-IN-TEST FORMS</v>
      </c>
      <c r="C114" s="11"/>
      <c r="D114" s="2"/>
      <c r="E114" s="2"/>
      <c r="F114" s="19">
        <f t="shared" si="22"/>
        <v>0</v>
      </c>
      <c r="G114" s="2"/>
      <c r="H114" s="2"/>
      <c r="I114" s="2"/>
      <c r="J114" s="19">
        <f t="shared" si="23"/>
        <v>0</v>
      </c>
      <c r="K114" s="2"/>
      <c r="L114" s="2">
        <f t="shared" si="24"/>
        <v>0</v>
      </c>
      <c r="M114" s="2"/>
      <c r="N114" s="19">
        <f t="shared" si="25"/>
        <v>0</v>
      </c>
      <c r="O114" s="11"/>
      <c r="P114" s="2"/>
      <c r="Q114" s="2"/>
      <c r="R114" s="19">
        <f t="shared" si="26"/>
        <v>0</v>
      </c>
      <c r="S114" s="2"/>
      <c r="T114" s="2">
        <v>48.14</v>
      </c>
      <c r="U114" s="2"/>
      <c r="V114" s="19">
        <f t="shared" si="27"/>
        <v>1.7821701414733235E-5</v>
      </c>
      <c r="W114" s="2"/>
      <c r="X114" s="2">
        <f t="shared" si="28"/>
        <v>-48.14</v>
      </c>
      <c r="Y114" s="2"/>
      <c r="Z114" s="19">
        <f t="shared" si="29"/>
        <v>-1</v>
      </c>
    </row>
    <row r="115" spans="1:26" s="24" customFormat="1" hidden="1" outlineLevel="1" x14ac:dyDescent="0.3">
      <c r="A115" s="44"/>
      <c r="B115" s="11" t="str">
        <f>CONCATENATE("          ", "5526", " - ", "FREIGHT-IN-WRITING INSTRUMENTS")</f>
        <v xml:space="preserve">          5526 - FREIGHT-IN-WRITING INSTRUMENTS</v>
      </c>
      <c r="C115" s="11"/>
      <c r="D115" s="2"/>
      <c r="E115" s="2"/>
      <c r="F115" s="19">
        <f t="shared" si="22"/>
        <v>0</v>
      </c>
      <c r="G115" s="2"/>
      <c r="H115" s="2">
        <v>0</v>
      </c>
      <c r="I115" s="2"/>
      <c r="J115" s="19">
        <f t="shared" si="23"/>
        <v>0</v>
      </c>
      <c r="K115" s="2"/>
      <c r="L115" s="2">
        <f t="shared" si="24"/>
        <v>0</v>
      </c>
      <c r="M115" s="2"/>
      <c r="N115" s="19">
        <f t="shared" si="25"/>
        <v>0</v>
      </c>
      <c r="O115" s="11"/>
      <c r="P115" s="2"/>
      <c r="Q115" s="2"/>
      <c r="R115" s="19">
        <f t="shared" si="26"/>
        <v>0</v>
      </c>
      <c r="S115" s="2"/>
      <c r="T115" s="2">
        <v>0</v>
      </c>
      <c r="U115" s="2"/>
      <c r="V115" s="19">
        <f t="shared" si="27"/>
        <v>0</v>
      </c>
      <c r="W115" s="2"/>
      <c r="X115" s="2">
        <f t="shared" si="28"/>
        <v>0</v>
      </c>
      <c r="Y115" s="2"/>
      <c r="Z115" s="19">
        <f t="shared" si="29"/>
        <v>0</v>
      </c>
    </row>
    <row r="116" spans="1:26" s="24" customFormat="1" hidden="1" outlineLevel="1" x14ac:dyDescent="0.3">
      <c r="A116" s="44"/>
      <c r="B116" s="11" t="str">
        <f>CONCATENATE("          ", "5527", " - ", "FREIGHT-IN-SCHOOL SUPPLIES")</f>
        <v xml:space="preserve">          5527 - FREIGHT-IN-SCHOOL SUPPLIES</v>
      </c>
      <c r="C116" s="11"/>
      <c r="D116" s="2"/>
      <c r="E116" s="2"/>
      <c r="F116" s="19">
        <f t="shared" si="22"/>
        <v>0</v>
      </c>
      <c r="G116" s="2"/>
      <c r="H116" s="2">
        <v>121.5</v>
      </c>
      <c r="I116" s="2"/>
      <c r="J116" s="19">
        <f t="shared" si="23"/>
        <v>5.2004920221884244E-4</v>
      </c>
      <c r="K116" s="2"/>
      <c r="L116" s="2">
        <f t="shared" si="24"/>
        <v>-121.5</v>
      </c>
      <c r="M116" s="2"/>
      <c r="N116" s="19">
        <f t="shared" si="25"/>
        <v>-1</v>
      </c>
      <c r="O116" s="11"/>
      <c r="P116" s="2">
        <v>0</v>
      </c>
      <c r="Q116" s="2"/>
      <c r="R116" s="19">
        <f t="shared" si="26"/>
        <v>0</v>
      </c>
      <c r="S116" s="2"/>
      <c r="T116" s="2">
        <v>177.5</v>
      </c>
      <c r="U116" s="2"/>
      <c r="V116" s="19">
        <f t="shared" si="27"/>
        <v>6.5711508124535715E-5</v>
      </c>
      <c r="W116" s="2"/>
      <c r="X116" s="2">
        <f t="shared" si="28"/>
        <v>-177.5</v>
      </c>
      <c r="Y116" s="2"/>
      <c r="Z116" s="19">
        <f t="shared" si="29"/>
        <v>-1</v>
      </c>
    </row>
    <row r="117" spans="1:26" s="24" customFormat="1" hidden="1" outlineLevel="1" x14ac:dyDescent="0.3">
      <c r="A117" s="44"/>
      <c r="B117" s="11" t="str">
        <f>CONCATENATE("          ", "5528", " - ", "FREIGHT-IN-ART/TECH")</f>
        <v xml:space="preserve">          5528 - FREIGHT-IN-ART/TECH</v>
      </c>
      <c r="C117" s="11"/>
      <c r="D117" s="2"/>
      <c r="E117" s="2"/>
      <c r="F117" s="19">
        <f t="shared" si="22"/>
        <v>0</v>
      </c>
      <c r="G117" s="2"/>
      <c r="H117" s="2">
        <v>4.29</v>
      </c>
      <c r="I117" s="2"/>
      <c r="J117" s="19">
        <f t="shared" si="23"/>
        <v>1.8362231090689991E-5</v>
      </c>
      <c r="K117" s="2"/>
      <c r="L117" s="2">
        <f t="shared" si="24"/>
        <v>-4.29</v>
      </c>
      <c r="M117" s="2"/>
      <c r="N117" s="19">
        <f t="shared" si="25"/>
        <v>-1</v>
      </c>
      <c r="O117" s="11"/>
      <c r="P117" s="2">
        <v>0</v>
      </c>
      <c r="Q117" s="2"/>
      <c r="R117" s="19">
        <f t="shared" si="26"/>
        <v>0</v>
      </c>
      <c r="S117" s="2"/>
      <c r="T117" s="2">
        <v>290.20999999999998</v>
      </c>
      <c r="U117" s="2"/>
      <c r="V117" s="19">
        <f t="shared" si="27"/>
        <v>1.0743739026941694E-4</v>
      </c>
      <c r="W117" s="2"/>
      <c r="X117" s="2">
        <f t="shared" si="28"/>
        <v>-290.20999999999998</v>
      </c>
      <c r="Y117" s="2"/>
      <c r="Z117" s="19">
        <f t="shared" si="29"/>
        <v>-1</v>
      </c>
    </row>
    <row r="118" spans="1:26" s="24" customFormat="1" hidden="1" outlineLevel="1" x14ac:dyDescent="0.3">
      <c r="A118" s="44"/>
      <c r="B118" s="11" t="str">
        <f>CONCATENATE("          ", "5540", " - ", "FREIGHT-IN-LOGO CLOTHING")</f>
        <v xml:space="preserve">          5540 - FREIGHT-IN-LOGO CLOTHING</v>
      </c>
      <c r="C118" s="11"/>
      <c r="D118" s="2"/>
      <c r="E118" s="2"/>
      <c r="F118" s="19">
        <f t="shared" si="22"/>
        <v>0</v>
      </c>
      <c r="G118" s="2"/>
      <c r="H118" s="2">
        <v>907.48</v>
      </c>
      <c r="I118" s="2"/>
      <c r="J118" s="19">
        <f t="shared" si="23"/>
        <v>3.8842325105313182E-3</v>
      </c>
      <c r="K118" s="2"/>
      <c r="L118" s="2">
        <f t="shared" si="24"/>
        <v>-907.48</v>
      </c>
      <c r="M118" s="2"/>
      <c r="N118" s="19">
        <f t="shared" si="25"/>
        <v>-1</v>
      </c>
      <c r="O118" s="11"/>
      <c r="P118" s="2">
        <v>0</v>
      </c>
      <c r="Q118" s="2"/>
      <c r="R118" s="19">
        <f t="shared" si="26"/>
        <v>0</v>
      </c>
      <c r="S118" s="2"/>
      <c r="T118" s="2">
        <v>5442.96</v>
      </c>
      <c r="U118" s="2"/>
      <c r="V118" s="19">
        <f t="shared" si="27"/>
        <v>2.0150147056987207E-3</v>
      </c>
      <c r="W118" s="2"/>
      <c r="X118" s="2">
        <f t="shared" si="28"/>
        <v>-5442.96</v>
      </c>
      <c r="Y118" s="2"/>
      <c r="Z118" s="19">
        <f t="shared" si="29"/>
        <v>-1</v>
      </c>
    </row>
    <row r="119" spans="1:26" s="24" customFormat="1" hidden="1" outlineLevel="1" x14ac:dyDescent="0.3">
      <c r="A119" s="44"/>
      <c r="B119" s="11" t="str">
        <f>CONCATENATE("          ", "5541", " - ", "FREIGHT-IN-LOGO GIFTS")</f>
        <v xml:space="preserve">          5541 - FREIGHT-IN-LOGO GIFTS</v>
      </c>
      <c r="C119" s="11"/>
      <c r="D119" s="2"/>
      <c r="E119" s="2"/>
      <c r="F119" s="19">
        <f t="shared" si="22"/>
        <v>0</v>
      </c>
      <c r="G119" s="2"/>
      <c r="H119" s="2">
        <v>84.07</v>
      </c>
      <c r="I119" s="2"/>
      <c r="J119" s="19">
        <f t="shared" si="23"/>
        <v>3.598398060126591E-4</v>
      </c>
      <c r="K119" s="2"/>
      <c r="L119" s="2">
        <f t="shared" si="24"/>
        <v>-84.07</v>
      </c>
      <c r="M119" s="2"/>
      <c r="N119" s="19">
        <f t="shared" si="25"/>
        <v>-1</v>
      </c>
      <c r="O119" s="11"/>
      <c r="P119" s="2">
        <v>0</v>
      </c>
      <c r="Q119" s="2"/>
      <c r="R119" s="19">
        <f t="shared" si="26"/>
        <v>0</v>
      </c>
      <c r="S119" s="2"/>
      <c r="T119" s="2">
        <v>1519.94</v>
      </c>
      <c r="U119" s="2"/>
      <c r="V119" s="19">
        <f t="shared" si="27"/>
        <v>5.6269042061299606E-4</v>
      </c>
      <c r="W119" s="2"/>
      <c r="X119" s="2">
        <f t="shared" si="28"/>
        <v>-1519.94</v>
      </c>
      <c r="Y119" s="2"/>
      <c r="Z119" s="19">
        <f t="shared" si="29"/>
        <v>-1</v>
      </c>
    </row>
    <row r="120" spans="1:26" s="24" customFormat="1" hidden="1" outlineLevel="1" x14ac:dyDescent="0.3">
      <c r="A120" s="44"/>
      <c r="B120" s="11" t="str">
        <f>CONCATENATE("          ", "5542", " - ", "FREIGHT-IN-EVERYDAY GIFTS")</f>
        <v xml:space="preserve">          5542 - FREIGHT-IN-EVERYDAY GIFTS</v>
      </c>
      <c r="C120" s="11"/>
      <c r="D120" s="2"/>
      <c r="E120" s="2"/>
      <c r="F120" s="19">
        <f t="shared" si="22"/>
        <v>0</v>
      </c>
      <c r="G120" s="2"/>
      <c r="H120" s="2"/>
      <c r="I120" s="2"/>
      <c r="J120" s="19">
        <f t="shared" si="23"/>
        <v>0</v>
      </c>
      <c r="K120" s="2"/>
      <c r="L120" s="2">
        <f t="shared" si="24"/>
        <v>0</v>
      </c>
      <c r="M120" s="2"/>
      <c r="N120" s="19">
        <f t="shared" si="25"/>
        <v>0</v>
      </c>
      <c r="O120" s="11"/>
      <c r="P120" s="2">
        <v>0</v>
      </c>
      <c r="Q120" s="2"/>
      <c r="R120" s="19">
        <f t="shared" si="26"/>
        <v>0</v>
      </c>
      <c r="S120" s="2"/>
      <c r="T120" s="2">
        <v>196.55</v>
      </c>
      <c r="U120" s="2"/>
      <c r="V120" s="19">
        <f t="shared" si="27"/>
        <v>7.2763926320436583E-5</v>
      </c>
      <c r="W120" s="2"/>
      <c r="X120" s="2">
        <f t="shared" si="28"/>
        <v>-196.55</v>
      </c>
      <c r="Y120" s="2"/>
      <c r="Z120" s="19">
        <f t="shared" si="29"/>
        <v>-1</v>
      </c>
    </row>
    <row r="121" spans="1:26" s="24" customFormat="1" hidden="1" outlineLevel="1" x14ac:dyDescent="0.3">
      <c r="A121" s="44"/>
      <c r="B121" s="11" t="str">
        <f>CONCATENATE("          ", "5543", " - ", "FREIGHT-IN-CARDS")</f>
        <v xml:space="preserve">          5543 - FREIGHT-IN-CARDS</v>
      </c>
      <c r="C121" s="11"/>
      <c r="D121" s="2"/>
      <c r="E121" s="2"/>
      <c r="F121" s="19">
        <f t="shared" si="22"/>
        <v>0</v>
      </c>
      <c r="G121" s="2"/>
      <c r="H121" s="2">
        <v>605.41</v>
      </c>
      <c r="I121" s="2"/>
      <c r="J121" s="19">
        <f t="shared" si="23"/>
        <v>2.5913003087679786E-3</v>
      </c>
      <c r="K121" s="2"/>
      <c r="L121" s="2">
        <f t="shared" si="24"/>
        <v>-605.41</v>
      </c>
      <c r="M121" s="2"/>
      <c r="N121" s="19">
        <f t="shared" si="25"/>
        <v>-1</v>
      </c>
      <c r="O121" s="11"/>
      <c r="P121" s="2"/>
      <c r="Q121" s="2"/>
      <c r="R121" s="19">
        <f t="shared" si="26"/>
        <v>0</v>
      </c>
      <c r="S121" s="2"/>
      <c r="T121" s="2">
        <v>7117.72</v>
      </c>
      <c r="U121" s="2"/>
      <c r="V121" s="19">
        <f t="shared" si="27"/>
        <v>2.6350203696234946E-3</v>
      </c>
      <c r="W121" s="2"/>
      <c r="X121" s="2">
        <f t="shared" si="28"/>
        <v>-7117.72</v>
      </c>
      <c r="Y121" s="2"/>
      <c r="Z121" s="19">
        <f t="shared" si="29"/>
        <v>-1</v>
      </c>
    </row>
    <row r="122" spans="1:26" s="24" customFormat="1" hidden="1" outlineLevel="1" x14ac:dyDescent="0.3">
      <c r="A122" s="44"/>
      <c r="B122" s="11" t="str">
        <f>CONCATENATE("          ", "5544", " - ", "FREIGHT-IN-ACCESSORIES")</f>
        <v xml:space="preserve">          5544 - FREIGHT-IN-ACCESSORIES</v>
      </c>
      <c r="C122" s="11"/>
      <c r="D122" s="2"/>
      <c r="E122" s="2"/>
      <c r="F122" s="19">
        <f t="shared" si="22"/>
        <v>0</v>
      </c>
      <c r="G122" s="2"/>
      <c r="H122" s="2"/>
      <c r="I122" s="2"/>
      <c r="J122" s="19">
        <f t="shared" si="23"/>
        <v>0</v>
      </c>
      <c r="K122" s="2"/>
      <c r="L122" s="2">
        <f t="shared" si="24"/>
        <v>0</v>
      </c>
      <c r="M122" s="2"/>
      <c r="N122" s="19">
        <f t="shared" si="25"/>
        <v>0</v>
      </c>
      <c r="O122" s="11"/>
      <c r="P122" s="2">
        <v>0</v>
      </c>
      <c r="Q122" s="2"/>
      <c r="R122" s="19">
        <f t="shared" si="26"/>
        <v>0</v>
      </c>
      <c r="S122" s="2"/>
      <c r="T122" s="2"/>
      <c r="U122" s="2"/>
      <c r="V122" s="19">
        <f t="shared" si="27"/>
        <v>0</v>
      </c>
      <c r="W122" s="2"/>
      <c r="X122" s="2">
        <f t="shared" si="28"/>
        <v>0</v>
      </c>
      <c r="Y122" s="2"/>
      <c r="Z122" s="19">
        <f t="shared" si="29"/>
        <v>0</v>
      </c>
    </row>
    <row r="123" spans="1:26" s="24" customFormat="1" hidden="1" outlineLevel="1" x14ac:dyDescent="0.3">
      <c r="A123" s="44"/>
      <c r="B123" s="11" t="str">
        <f>CONCATENATE("          ", "5545", " - ", "FREIGHT-IN-SPECIAL ORDERS")</f>
        <v xml:space="preserve">          5545 - FREIGHT-IN-SPECIAL ORDERS</v>
      </c>
      <c r="C123" s="11"/>
      <c r="D123" s="2"/>
      <c r="E123" s="2"/>
      <c r="F123" s="19">
        <f t="shared" si="22"/>
        <v>0</v>
      </c>
      <c r="G123" s="2"/>
      <c r="H123" s="2">
        <v>225.93</v>
      </c>
      <c r="I123" s="2"/>
      <c r="J123" s="19">
        <f t="shared" si="23"/>
        <v>9.6703470170619811E-4</v>
      </c>
      <c r="K123" s="2"/>
      <c r="L123" s="2">
        <f t="shared" si="24"/>
        <v>-225.93</v>
      </c>
      <c r="M123" s="2"/>
      <c r="N123" s="19">
        <f t="shared" si="25"/>
        <v>-1</v>
      </c>
      <c r="O123" s="11"/>
      <c r="P123" s="2">
        <v>0</v>
      </c>
      <c r="Q123" s="2"/>
      <c r="R123" s="19">
        <f t="shared" si="26"/>
        <v>0</v>
      </c>
      <c r="S123" s="2"/>
      <c r="T123" s="2">
        <v>1113.79</v>
      </c>
      <c r="U123" s="2"/>
      <c r="V123" s="19">
        <f t="shared" si="27"/>
        <v>4.1233138385367112E-4</v>
      </c>
      <c r="W123" s="2"/>
      <c r="X123" s="2">
        <f t="shared" si="28"/>
        <v>-1113.79</v>
      </c>
      <c r="Y123" s="2"/>
      <c r="Z123" s="19">
        <f t="shared" si="29"/>
        <v>-1</v>
      </c>
    </row>
    <row r="124" spans="1:26" s="24" customFormat="1" hidden="1" outlineLevel="1" x14ac:dyDescent="0.3">
      <c r="A124" s="44"/>
      <c r="B124" s="11" t="str">
        <f>CONCATENATE("          ", "5592", " - ", "FREIGHT-IN-GRAD MERCH")</f>
        <v xml:space="preserve">          5592 - FREIGHT-IN-GRAD MERCH</v>
      </c>
      <c r="C124" s="11"/>
      <c r="D124" s="2"/>
      <c r="E124" s="2"/>
      <c r="F124" s="19">
        <f t="shared" si="22"/>
        <v>0</v>
      </c>
      <c r="G124" s="2"/>
      <c r="H124" s="2"/>
      <c r="I124" s="2"/>
      <c r="J124" s="19">
        <f t="shared" si="23"/>
        <v>0</v>
      </c>
      <c r="K124" s="2"/>
      <c r="L124" s="2">
        <f t="shared" si="24"/>
        <v>0</v>
      </c>
      <c r="M124" s="2"/>
      <c r="N124" s="19">
        <f t="shared" si="25"/>
        <v>0</v>
      </c>
      <c r="O124" s="11"/>
      <c r="P124" s="2"/>
      <c r="Q124" s="2"/>
      <c r="R124" s="19">
        <f t="shared" si="26"/>
        <v>0</v>
      </c>
      <c r="S124" s="2"/>
      <c r="T124" s="2">
        <v>0</v>
      </c>
      <c r="U124" s="2"/>
      <c r="V124" s="19">
        <f t="shared" si="27"/>
        <v>0</v>
      </c>
      <c r="W124" s="2"/>
      <c r="X124" s="2">
        <f t="shared" si="28"/>
        <v>0</v>
      </c>
      <c r="Y124" s="2"/>
      <c r="Z124" s="19">
        <f t="shared" si="29"/>
        <v>0</v>
      </c>
    </row>
    <row r="125" spans="1:26" x14ac:dyDescent="0.3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3">
      <c r="A126" s="10"/>
      <c r="B126" s="26" t="s">
        <v>107</v>
      </c>
      <c r="C126" s="26"/>
      <c r="D126" s="20">
        <f>D12-D82</f>
        <v>244881.43000000011</v>
      </c>
      <c r="E126" s="13"/>
      <c r="F126" s="21">
        <f>IF(D$12=0,0,D126/D$12)</f>
        <v>0.47950053207252025</v>
      </c>
      <c r="G126" s="13"/>
      <c r="H126" s="20">
        <f>H12-H82</f>
        <v>100491.96999999994</v>
      </c>
      <c r="I126" s="13"/>
      <c r="J126" s="21">
        <f>IF(H$12=0,0,H126/H$12)</f>
        <v>0.43012978459176804</v>
      </c>
      <c r="K126" s="15"/>
      <c r="L126" s="20">
        <f>+D126-H126</f>
        <v>144389.46000000017</v>
      </c>
      <c r="M126" s="15"/>
      <c r="N126" s="21">
        <f>IF(H126=0,0,L126/H126)</f>
        <v>1.4368258478762059</v>
      </c>
      <c r="O126" s="25"/>
      <c r="P126" s="20">
        <f>P12-P82</f>
        <v>1479158.2500000005</v>
      </c>
      <c r="Q126" s="13"/>
      <c r="R126" s="21">
        <f>IF(P$12=0,0,P126/P$12)</f>
        <v>0.39575739257589182</v>
      </c>
      <c r="S126" s="13"/>
      <c r="T126" s="20">
        <f>T12-T82</f>
        <v>957444.98999999953</v>
      </c>
      <c r="U126" s="13"/>
      <c r="V126" s="21">
        <f>IF(T$12=0,0,T126/T$12)</f>
        <v>0.35445157317848441</v>
      </c>
      <c r="W126" s="15"/>
      <c r="X126" s="20">
        <f>+P126-T126</f>
        <v>521713.26000000094</v>
      </c>
      <c r="Y126" s="15"/>
      <c r="Z126" s="21">
        <f>IF(T126=0,0,X126/T126)</f>
        <v>0.5449015509496804</v>
      </c>
    </row>
    <row r="127" spans="1:26" x14ac:dyDescent="0.3">
      <c r="A127" s="9"/>
      <c r="B127" s="10"/>
      <c r="C127" s="9"/>
      <c r="D127" s="1"/>
      <c r="E127" s="1"/>
      <c r="F127" s="5"/>
      <c r="G127" s="1"/>
      <c r="H127" s="1"/>
      <c r="I127" s="1"/>
      <c r="J127" s="5"/>
      <c r="K127" s="1"/>
      <c r="L127" s="1"/>
      <c r="M127" s="1"/>
      <c r="N127" s="5"/>
      <c r="O127" s="37"/>
      <c r="P127" s="1"/>
      <c r="Q127" s="1"/>
      <c r="R127" s="5"/>
      <c r="S127" s="1"/>
      <c r="T127" s="1"/>
      <c r="U127" s="1"/>
      <c r="V127" s="5"/>
      <c r="W127" s="1"/>
      <c r="X127" s="1"/>
      <c r="Y127" s="1"/>
      <c r="Z127" s="5"/>
    </row>
    <row r="128" spans="1:26" s="23" customFormat="1" x14ac:dyDescent="0.3">
      <c r="A128" s="10"/>
      <c r="B128" s="25" t="s">
        <v>294</v>
      </c>
      <c r="C128" s="10"/>
      <c r="D128" s="22">
        <f>SUM(OSRRefD22x_0)</f>
        <v>298095.88000000006</v>
      </c>
      <c r="E128" s="22"/>
      <c r="F128" s="34">
        <f t="shared" ref="F128:F139" si="30">IF(D$12=0,0,D128/D$12)</f>
        <v>0.58369935633186276</v>
      </c>
      <c r="G128" s="22"/>
      <c r="H128" s="22">
        <f>SUM(OSRRefH22x_0)</f>
        <v>269056.45000000007</v>
      </c>
      <c r="I128" s="22"/>
      <c r="J128" s="34">
        <f t="shared" ref="J128:J139" si="31">IF(H$12=0,0,H128/H$12)</f>
        <v>1.1516262730397853</v>
      </c>
      <c r="K128" s="4"/>
      <c r="L128" s="22">
        <f t="shared" ref="L128:L139" si="32">+D128-H128</f>
        <v>29039.429999999993</v>
      </c>
      <c r="M128" s="4"/>
      <c r="N128" s="34">
        <f t="shared" ref="N128:N139" si="33">IF(H128=0,0,L128/H128)</f>
        <v>0.107930621994009</v>
      </c>
      <c r="O128" s="10"/>
      <c r="P128" s="22">
        <f>SUM(OSRRefP22x_0)</f>
        <v>1985529.7200000002</v>
      </c>
      <c r="Q128" s="22"/>
      <c r="R128" s="34">
        <f t="shared" ref="R128:R139" si="34">IF(P$12=0,0,P128/P$12)</f>
        <v>0.53124002443223395</v>
      </c>
      <c r="S128" s="22"/>
      <c r="T128" s="22">
        <f>SUM(OSRRefT22x_0)</f>
        <v>1779436.0699999994</v>
      </c>
      <c r="U128" s="22"/>
      <c r="V128" s="34">
        <f t="shared" ref="V128:V139" si="35">IF(T$12=0,0,T128/T$12)</f>
        <v>0.65875733955434845</v>
      </c>
      <c r="W128" s="4"/>
      <c r="X128" s="22">
        <f t="shared" ref="X128:X139" si="36">+P128-T128</f>
        <v>206093.65000000084</v>
      </c>
      <c r="Y128" s="4"/>
      <c r="Z128" s="34">
        <f t="shared" ref="Z128:Z139" si="37">IF(T128=0,0,X128/T128)</f>
        <v>0.1158196427927871</v>
      </c>
    </row>
    <row r="129" spans="1:26" s="29" customFormat="1" outlineLevel="1" collapsed="1" x14ac:dyDescent="0.3">
      <c r="A129" s="27"/>
      <c r="B129" s="14" t="str">
        <f>CONCATENATE("     ","*Benefits                                         ")</f>
        <v xml:space="preserve">     *Benefits                                         </v>
      </c>
      <c r="C129" s="14"/>
      <c r="D129" s="1">
        <f>SUM(OSRRefD22_0x_0)</f>
        <v>45313.18</v>
      </c>
      <c r="E129" s="1"/>
      <c r="F129" s="5">
        <f t="shared" si="30"/>
        <v>8.8727405421872421E-2</v>
      </c>
      <c r="G129" s="1"/>
      <c r="H129" s="1">
        <f>SUM(OSRRefH22_0x_0)</f>
        <v>45950.22</v>
      </c>
      <c r="I129" s="1"/>
      <c r="J129" s="5">
        <f t="shared" si="31"/>
        <v>0.19667798561959093</v>
      </c>
      <c r="K129" s="1"/>
      <c r="L129" s="1">
        <f t="shared" si="32"/>
        <v>-637.04000000000087</v>
      </c>
      <c r="M129" s="1"/>
      <c r="N129" s="5">
        <f t="shared" si="33"/>
        <v>-1.3863698585121048E-2</v>
      </c>
      <c r="O129" s="14"/>
      <c r="P129" s="1">
        <f>SUM(OSRRefP22_0x_0)</f>
        <v>303968.97000000003</v>
      </c>
      <c r="Q129" s="1"/>
      <c r="R129" s="5">
        <f t="shared" si="34"/>
        <v>8.1328665807853529E-2</v>
      </c>
      <c r="S129" s="1"/>
      <c r="T129" s="1">
        <f>SUM(OSRRefT22_0x_0)</f>
        <v>302889.86</v>
      </c>
      <c r="U129" s="1"/>
      <c r="V129" s="5">
        <f t="shared" si="35"/>
        <v>0.11213154645763089</v>
      </c>
      <c r="W129" s="1"/>
      <c r="X129" s="1">
        <f t="shared" si="36"/>
        <v>1079.1100000000442</v>
      </c>
      <c r="Y129" s="1"/>
      <c r="Z129" s="5">
        <f t="shared" si="37"/>
        <v>3.5627141826406611E-3</v>
      </c>
    </row>
    <row r="130" spans="1:26" s="24" customFormat="1" hidden="1" outlineLevel="2" x14ac:dyDescent="0.3">
      <c r="A130" s="28"/>
      <c r="B130" s="11" t="str">
        <f>CONCATENATE("          ", "6111", " - ", "F.I.C.A.")</f>
        <v xml:space="preserve">          6111 - F.I.C.A.</v>
      </c>
      <c r="C130" s="11"/>
      <c r="D130" s="6">
        <v>7212.15</v>
      </c>
      <c r="E130" s="2"/>
      <c r="F130" s="7">
        <f t="shared" si="30"/>
        <v>1.4122058019617188E-2</v>
      </c>
      <c r="G130" s="2"/>
      <c r="H130" s="6">
        <v>7317.04</v>
      </c>
      <c r="I130" s="2"/>
      <c r="J130" s="7">
        <f t="shared" si="31"/>
        <v>3.1318689832126413E-2</v>
      </c>
      <c r="K130" s="2"/>
      <c r="L130" s="6">
        <f t="shared" si="32"/>
        <v>-104.89000000000033</v>
      </c>
      <c r="M130" s="2"/>
      <c r="N130" s="7">
        <f t="shared" si="33"/>
        <v>-1.4335031652143535E-2</v>
      </c>
      <c r="O130" s="11"/>
      <c r="P130" s="6">
        <v>57163.05</v>
      </c>
      <c r="Q130" s="2"/>
      <c r="R130" s="7">
        <f t="shared" si="34"/>
        <v>1.5294306487953758E-2</v>
      </c>
      <c r="S130" s="2"/>
      <c r="T130" s="6">
        <v>59426.92</v>
      </c>
      <c r="U130" s="2"/>
      <c r="V130" s="7">
        <f t="shared" si="35"/>
        <v>2.2000183303640189E-2</v>
      </c>
      <c r="W130" s="2"/>
      <c r="X130" s="6">
        <f t="shared" si="36"/>
        <v>-2263.8699999999953</v>
      </c>
      <c r="Y130" s="2"/>
      <c r="Z130" s="7">
        <f t="shared" si="37"/>
        <v>-3.8095024948289348E-2</v>
      </c>
    </row>
    <row r="131" spans="1:26" s="24" customFormat="1" hidden="1" outlineLevel="2" x14ac:dyDescent="0.3">
      <c r="A131" s="28"/>
      <c r="B131" s="11" t="str">
        <f>CONCATENATE("          ", "6112", " - ", "COMPENSATION INSURANCE")</f>
        <v xml:space="preserve">          6112 - COMPENSATION INSURANCE</v>
      </c>
      <c r="C131" s="11"/>
      <c r="D131" s="6">
        <v>2292.13</v>
      </c>
      <c r="E131" s="2"/>
      <c r="F131" s="7">
        <f t="shared" si="30"/>
        <v>4.4882029420498949E-3</v>
      </c>
      <c r="G131" s="2"/>
      <c r="H131" s="6">
        <v>2948.75</v>
      </c>
      <c r="I131" s="2"/>
      <c r="J131" s="7">
        <f t="shared" si="31"/>
        <v>1.2621358724632195E-2</v>
      </c>
      <c r="K131" s="2"/>
      <c r="L131" s="6">
        <f t="shared" si="32"/>
        <v>-656.61999999999989</v>
      </c>
      <c r="M131" s="2"/>
      <c r="N131" s="7">
        <f t="shared" si="33"/>
        <v>-0.222677405680373</v>
      </c>
      <c r="O131" s="11"/>
      <c r="P131" s="6">
        <v>15302.96</v>
      </c>
      <c r="Q131" s="2"/>
      <c r="R131" s="7">
        <f t="shared" si="34"/>
        <v>4.0943959500568429E-3</v>
      </c>
      <c r="S131" s="2"/>
      <c r="T131" s="6">
        <v>16516.080000000002</v>
      </c>
      <c r="U131" s="2"/>
      <c r="V131" s="7">
        <f t="shared" si="35"/>
        <v>6.1143466203125735E-3</v>
      </c>
      <c r="W131" s="2"/>
      <c r="X131" s="6">
        <f t="shared" si="36"/>
        <v>-1213.1200000000026</v>
      </c>
      <c r="Y131" s="2"/>
      <c r="Z131" s="7">
        <f t="shared" si="37"/>
        <v>-7.3450843057190476E-2</v>
      </c>
    </row>
    <row r="132" spans="1:26" s="24" customFormat="1" hidden="1" outlineLevel="2" x14ac:dyDescent="0.3">
      <c r="A132" s="28"/>
      <c r="B132" s="11" t="str">
        <f>CONCATENATE("          ", "6113", " - ", "GROUP INSURANCE")</f>
        <v xml:space="preserve">          6113 - GROUP INSURANCE</v>
      </c>
      <c r="C132" s="11"/>
      <c r="D132" s="6">
        <v>16584.52</v>
      </c>
      <c r="E132" s="2"/>
      <c r="F132" s="7">
        <f t="shared" si="30"/>
        <v>3.2474026977739184E-2</v>
      </c>
      <c r="G132" s="2"/>
      <c r="H132" s="6">
        <v>17637.66</v>
      </c>
      <c r="I132" s="2"/>
      <c r="J132" s="7">
        <f t="shared" si="31"/>
        <v>7.549342396713736E-2</v>
      </c>
      <c r="K132" s="2"/>
      <c r="L132" s="6">
        <f t="shared" si="32"/>
        <v>-1053.1399999999994</v>
      </c>
      <c r="M132" s="2"/>
      <c r="N132" s="7">
        <f t="shared" si="33"/>
        <v>-5.9709734738054791E-2</v>
      </c>
      <c r="O132" s="11"/>
      <c r="P132" s="6">
        <v>106840.85</v>
      </c>
      <c r="Q132" s="2"/>
      <c r="R132" s="7">
        <f t="shared" si="34"/>
        <v>2.8585890804173227E-2</v>
      </c>
      <c r="S132" s="2"/>
      <c r="T132" s="6">
        <v>106465.42</v>
      </c>
      <c r="U132" s="2"/>
      <c r="V132" s="7">
        <f t="shared" si="35"/>
        <v>3.9414103162321724E-2</v>
      </c>
      <c r="W132" s="2"/>
      <c r="X132" s="6">
        <f t="shared" si="36"/>
        <v>375.43000000000757</v>
      </c>
      <c r="Y132" s="2"/>
      <c r="Z132" s="7">
        <f t="shared" si="37"/>
        <v>3.5263092936655637E-3</v>
      </c>
    </row>
    <row r="133" spans="1:26" s="24" customFormat="1" hidden="1" outlineLevel="2" x14ac:dyDescent="0.3">
      <c r="A133" s="28"/>
      <c r="B133" s="11" t="str">
        <f>CONCATENATE("          ", "6114", " - ", "STATE UNEMPLOYMENT INSURANCE")</f>
        <v xml:space="preserve">          6114 - STATE UNEMPLOYMENT INSURANCE</v>
      </c>
      <c r="C133" s="11"/>
      <c r="D133" s="6">
        <v>412.35</v>
      </c>
      <c r="E133" s="2"/>
      <c r="F133" s="7">
        <f t="shared" si="30"/>
        <v>8.0741951074078438E-4</v>
      </c>
      <c r="G133" s="2"/>
      <c r="H133" s="6"/>
      <c r="I133" s="2"/>
      <c r="J133" s="7">
        <f t="shared" si="31"/>
        <v>0</v>
      </c>
      <c r="K133" s="2"/>
      <c r="L133" s="6">
        <f t="shared" si="32"/>
        <v>412.35</v>
      </c>
      <c r="M133" s="2"/>
      <c r="N133" s="7">
        <f t="shared" si="33"/>
        <v>0</v>
      </c>
      <c r="O133" s="11"/>
      <c r="P133" s="6">
        <v>2756.17</v>
      </c>
      <c r="Q133" s="2"/>
      <c r="R133" s="7">
        <f t="shared" si="34"/>
        <v>7.3742931339219149E-4</v>
      </c>
      <c r="S133" s="2"/>
      <c r="T133" s="6">
        <v>2080.42</v>
      </c>
      <c r="U133" s="2"/>
      <c r="V133" s="7">
        <f t="shared" si="35"/>
        <v>7.7018329990110755E-4</v>
      </c>
      <c r="W133" s="2"/>
      <c r="X133" s="6">
        <f t="shared" si="36"/>
        <v>675.75</v>
      </c>
      <c r="Y133" s="2"/>
      <c r="Z133" s="7">
        <f t="shared" si="37"/>
        <v>0.32481422020553541</v>
      </c>
    </row>
    <row r="134" spans="1:26" s="24" customFormat="1" hidden="1" outlineLevel="2" x14ac:dyDescent="0.3">
      <c r="A134" s="28"/>
      <c r="B134" s="11" t="str">
        <f>CONCATENATE("          ", "6115", " - ", "P.E.R.S.")</f>
        <v xml:space="preserve">          6115 - P.E.R.S.</v>
      </c>
      <c r="C134" s="11"/>
      <c r="D134" s="6">
        <v>5703.78</v>
      </c>
      <c r="E134" s="2"/>
      <c r="F134" s="7">
        <f t="shared" si="30"/>
        <v>1.1168529785311195E-2</v>
      </c>
      <c r="G134" s="2"/>
      <c r="H134" s="6">
        <v>6456.79</v>
      </c>
      <c r="I134" s="2"/>
      <c r="J134" s="7">
        <f t="shared" si="31"/>
        <v>2.7636613073206581E-2</v>
      </c>
      <c r="K134" s="2"/>
      <c r="L134" s="6">
        <f t="shared" si="32"/>
        <v>-753.01000000000022</v>
      </c>
      <c r="M134" s="2"/>
      <c r="N134" s="7">
        <f t="shared" si="33"/>
        <v>-0.11662296590101277</v>
      </c>
      <c r="O134" s="11"/>
      <c r="P134" s="6">
        <v>42607.82</v>
      </c>
      <c r="Q134" s="2"/>
      <c r="R134" s="7">
        <f t="shared" si="34"/>
        <v>1.1399970048196621E-2</v>
      </c>
      <c r="S134" s="2"/>
      <c r="T134" s="6">
        <v>45543.54</v>
      </c>
      <c r="U134" s="2"/>
      <c r="V134" s="7">
        <f t="shared" si="35"/>
        <v>1.686047717594432E-2</v>
      </c>
      <c r="W134" s="2"/>
      <c r="X134" s="6">
        <f t="shared" si="36"/>
        <v>-2935.7200000000012</v>
      </c>
      <c r="Y134" s="2"/>
      <c r="Z134" s="7">
        <f t="shared" si="37"/>
        <v>-6.4459635768321949E-2</v>
      </c>
    </row>
    <row r="135" spans="1:26" s="24" customFormat="1" hidden="1" outlineLevel="2" x14ac:dyDescent="0.3">
      <c r="A135" s="28"/>
      <c r="B135" s="11" t="str">
        <f>CONCATENATE("          ", "6116", " - ", "EDUCATIONAL BENEFITS")</f>
        <v xml:space="preserve">          6116 - EDUCATIONAL BENEFITS</v>
      </c>
      <c r="C135" s="11"/>
      <c r="D135" s="6"/>
      <c r="E135" s="2"/>
      <c r="F135" s="7">
        <f t="shared" si="30"/>
        <v>0</v>
      </c>
      <c r="G135" s="2"/>
      <c r="H135" s="6"/>
      <c r="I135" s="2"/>
      <c r="J135" s="7">
        <f t="shared" si="31"/>
        <v>0</v>
      </c>
      <c r="K135" s="2"/>
      <c r="L135" s="6">
        <f t="shared" si="32"/>
        <v>0</v>
      </c>
      <c r="M135" s="2"/>
      <c r="N135" s="7">
        <f t="shared" si="33"/>
        <v>0</v>
      </c>
      <c r="O135" s="11"/>
      <c r="P135" s="6"/>
      <c r="Q135" s="2"/>
      <c r="R135" s="7">
        <f t="shared" si="34"/>
        <v>0</v>
      </c>
      <c r="S135" s="2"/>
      <c r="T135" s="6">
        <v>0</v>
      </c>
      <c r="U135" s="2"/>
      <c r="V135" s="7">
        <f t="shared" si="35"/>
        <v>0</v>
      </c>
      <c r="W135" s="2"/>
      <c r="X135" s="6">
        <f t="shared" si="36"/>
        <v>0</v>
      </c>
      <c r="Y135" s="2"/>
      <c r="Z135" s="7">
        <f t="shared" si="37"/>
        <v>0</v>
      </c>
    </row>
    <row r="136" spans="1:26" s="24" customFormat="1" hidden="1" outlineLevel="2" x14ac:dyDescent="0.3">
      <c r="A136" s="28"/>
      <c r="B136" s="11" t="str">
        <f>CONCATENATE("          ", "6117", " - ", "RETIREMENT STAFF HOURLY")</f>
        <v xml:space="preserve">          6117 - RETIREMENT STAFF HOURLY</v>
      </c>
      <c r="C136" s="11"/>
      <c r="D136" s="6">
        <v>590.27</v>
      </c>
      <c r="E136" s="2"/>
      <c r="F136" s="7">
        <f t="shared" si="30"/>
        <v>1.155803357839124E-3</v>
      </c>
      <c r="G136" s="2"/>
      <c r="H136" s="6">
        <v>440.47</v>
      </c>
      <c r="I136" s="2"/>
      <c r="J136" s="7">
        <f t="shared" si="31"/>
        <v>1.8853174658545972E-3</v>
      </c>
      <c r="K136" s="2"/>
      <c r="L136" s="6">
        <f t="shared" si="32"/>
        <v>149.79999999999995</v>
      </c>
      <c r="M136" s="2"/>
      <c r="N136" s="7">
        <f t="shared" si="33"/>
        <v>0.34009126614752411</v>
      </c>
      <c r="O136" s="11"/>
      <c r="P136" s="6">
        <v>3694.41</v>
      </c>
      <c r="Q136" s="2"/>
      <c r="R136" s="7">
        <f t="shared" si="34"/>
        <v>9.8846088219857486E-4</v>
      </c>
      <c r="S136" s="2"/>
      <c r="T136" s="6">
        <v>1734.12</v>
      </c>
      <c r="U136" s="2"/>
      <c r="V136" s="7">
        <f t="shared" si="35"/>
        <v>6.4198107306433726E-4</v>
      </c>
      <c r="W136" s="2"/>
      <c r="X136" s="6">
        <f t="shared" si="36"/>
        <v>1960.29</v>
      </c>
      <c r="Y136" s="2"/>
      <c r="Z136" s="7">
        <f t="shared" si="37"/>
        <v>1.130423500103799</v>
      </c>
    </row>
    <row r="137" spans="1:26" s="24" customFormat="1" hidden="1" outlineLevel="2" x14ac:dyDescent="0.3">
      <c r="A137" s="28"/>
      <c r="B137" s="11" t="str">
        <f>CONCATENATE("          ", "6118", " - ", "VACATION")</f>
        <v xml:space="preserve">          6118 - VACATION</v>
      </c>
      <c r="C137" s="11"/>
      <c r="D137" s="6">
        <v>5565.87</v>
      </c>
      <c r="E137" s="2"/>
      <c r="F137" s="7">
        <f t="shared" si="30"/>
        <v>1.0898489225771333E-2</v>
      </c>
      <c r="G137" s="2"/>
      <c r="H137" s="6">
        <v>5850.94</v>
      </c>
      <c r="I137" s="2"/>
      <c r="J137" s="7">
        <f t="shared" si="31"/>
        <v>2.504342945868571E-2</v>
      </c>
      <c r="K137" s="2"/>
      <c r="L137" s="6">
        <f t="shared" si="32"/>
        <v>-285.06999999999971</v>
      </c>
      <c r="M137" s="2"/>
      <c r="N137" s="7">
        <f t="shared" si="33"/>
        <v>-4.8722085681958752E-2</v>
      </c>
      <c r="O137" s="11"/>
      <c r="P137" s="6">
        <v>34538.379999999997</v>
      </c>
      <c r="Q137" s="2"/>
      <c r="R137" s="7">
        <f t="shared" si="34"/>
        <v>9.2409444443117064E-3</v>
      </c>
      <c r="S137" s="2"/>
      <c r="T137" s="6">
        <v>35672.25</v>
      </c>
      <c r="U137" s="2"/>
      <c r="V137" s="7">
        <f t="shared" si="35"/>
        <v>1.320606955321391E-2</v>
      </c>
      <c r="W137" s="2"/>
      <c r="X137" s="6">
        <f t="shared" si="36"/>
        <v>-1133.8700000000026</v>
      </c>
      <c r="Y137" s="2"/>
      <c r="Z137" s="7">
        <f t="shared" si="37"/>
        <v>-3.178577185347161E-2</v>
      </c>
    </row>
    <row r="138" spans="1:26" s="24" customFormat="1" hidden="1" outlineLevel="2" x14ac:dyDescent="0.3">
      <c r="A138" s="28"/>
      <c r="B138" s="11" t="str">
        <f>CONCATENATE("          ", "6119", " - ", "SICK LEAVE")</f>
        <v xml:space="preserve">          6119 - SICK LEAVE</v>
      </c>
      <c r="C138" s="11"/>
      <c r="D138" s="6">
        <v>4000.86</v>
      </c>
      <c r="E138" s="2"/>
      <c r="F138" s="7">
        <f t="shared" si="30"/>
        <v>7.8340546228746807E-3</v>
      </c>
      <c r="G138" s="2"/>
      <c r="H138" s="6">
        <v>4031.99</v>
      </c>
      <c r="I138" s="2"/>
      <c r="J138" s="7">
        <f t="shared" si="31"/>
        <v>1.7257886278636628E-2</v>
      </c>
      <c r="K138" s="2"/>
      <c r="L138" s="6">
        <f t="shared" si="32"/>
        <v>-31.129999999999654</v>
      </c>
      <c r="M138" s="2"/>
      <c r="N138" s="7">
        <f t="shared" si="33"/>
        <v>-7.7207532756776815E-3</v>
      </c>
      <c r="O138" s="11"/>
      <c r="P138" s="6">
        <v>25073.51</v>
      </c>
      <c r="Q138" s="2"/>
      <c r="R138" s="7">
        <f t="shared" si="34"/>
        <v>6.7085634281021291E-3</v>
      </c>
      <c r="S138" s="2"/>
      <c r="T138" s="6">
        <v>25828.29</v>
      </c>
      <c r="U138" s="2"/>
      <c r="V138" s="7">
        <f t="shared" si="35"/>
        <v>9.5617796517062786E-3</v>
      </c>
      <c r="W138" s="2"/>
      <c r="X138" s="6">
        <f t="shared" si="36"/>
        <v>-754.78000000000247</v>
      </c>
      <c r="Y138" s="2"/>
      <c r="Z138" s="7">
        <f t="shared" si="37"/>
        <v>-2.9222995405425695E-2</v>
      </c>
    </row>
    <row r="139" spans="1:26" s="24" customFormat="1" hidden="1" outlineLevel="2" x14ac:dyDescent="0.3">
      <c r="A139" s="28"/>
      <c r="B139" s="11" t="str">
        <f>CONCATENATE("          ", "6156", " - ", "EMPLOYEE MEALS")</f>
        <v xml:space="preserve">          6156 - EMPLOYEE MEALS</v>
      </c>
      <c r="C139" s="11"/>
      <c r="D139" s="6">
        <v>2951.25</v>
      </c>
      <c r="E139" s="2"/>
      <c r="F139" s="7">
        <f t="shared" si="30"/>
        <v>5.7788209799290403E-3</v>
      </c>
      <c r="G139" s="2"/>
      <c r="H139" s="6">
        <v>1266.58</v>
      </c>
      <c r="I139" s="2"/>
      <c r="J139" s="7">
        <f t="shared" si="31"/>
        <v>5.4212668193114521E-3</v>
      </c>
      <c r="K139" s="2"/>
      <c r="L139" s="6">
        <f t="shared" si="32"/>
        <v>1684.67</v>
      </c>
      <c r="M139" s="2"/>
      <c r="N139" s="7">
        <f t="shared" si="33"/>
        <v>1.3300936379857571</v>
      </c>
      <c r="O139" s="11"/>
      <c r="P139" s="6">
        <v>15991.82</v>
      </c>
      <c r="Q139" s="2"/>
      <c r="R139" s="7">
        <f t="shared" si="34"/>
        <v>4.2787044494684706E-3</v>
      </c>
      <c r="S139" s="2"/>
      <c r="T139" s="6">
        <v>9622.82</v>
      </c>
      <c r="U139" s="2"/>
      <c r="V139" s="7">
        <f t="shared" si="35"/>
        <v>3.5624226175264488E-3</v>
      </c>
      <c r="W139" s="2"/>
      <c r="X139" s="6">
        <f t="shared" si="36"/>
        <v>6369</v>
      </c>
      <c r="Y139" s="2"/>
      <c r="Z139" s="7">
        <f t="shared" si="37"/>
        <v>0.66186419365632942</v>
      </c>
    </row>
    <row r="140" spans="1:26" s="29" customFormat="1" outlineLevel="1" collapsed="1" x14ac:dyDescent="0.3">
      <c r="A140" s="27"/>
      <c r="B140" s="14" t="str">
        <f>CONCATENATE("     ","*Payroll                                          ")</f>
        <v xml:space="preserve">     *Payroll                                          </v>
      </c>
      <c r="C140" s="14"/>
      <c r="D140" s="1">
        <f>SUM(OSRRefD22_1x_0)</f>
        <v>156278.80000000002</v>
      </c>
      <c r="E140" s="1"/>
      <c r="F140" s="5">
        <f t="shared" ref="F140:F147" si="38">IF(D$12=0,0,D140/D$12)</f>
        <v>0.30600837209932558</v>
      </c>
      <c r="G140" s="1"/>
      <c r="H140" s="1">
        <f>SUM(OSRRefH22_1x_0)</f>
        <v>119812.64000000001</v>
      </c>
      <c r="I140" s="1"/>
      <c r="J140" s="5">
        <f t="shared" ref="J140:J147" si="39">IF(H$12=0,0,H140/H$12)</f>
        <v>0.51282689586611829</v>
      </c>
      <c r="K140" s="1"/>
      <c r="L140" s="1">
        <f t="shared" ref="L140:L147" si="40">+D140-H140</f>
        <v>36466.160000000003</v>
      </c>
      <c r="M140" s="1"/>
      <c r="N140" s="5">
        <f t="shared" ref="N140:N147" si="41">IF(H140=0,0,L140/H140)</f>
        <v>0.30435987388308944</v>
      </c>
      <c r="O140" s="14"/>
      <c r="P140" s="1">
        <f>SUM(OSRRefP22_1x_0)</f>
        <v>979767.46</v>
      </c>
      <c r="Q140" s="1"/>
      <c r="R140" s="5">
        <f t="shared" ref="R140:R147" si="42">IF(P$12=0,0,P140/P$12)</f>
        <v>0.2621424822532033</v>
      </c>
      <c r="S140" s="1"/>
      <c r="T140" s="1">
        <f>SUM(OSRRefT22_1x_0)</f>
        <v>772182.87999999989</v>
      </c>
      <c r="U140" s="1"/>
      <c r="V140" s="5">
        <f t="shared" ref="V140:V147" si="43">IF(T$12=0,0,T140/T$12)</f>
        <v>0.28586648784646407</v>
      </c>
      <c r="W140" s="1"/>
      <c r="X140" s="1">
        <f t="shared" ref="X140:X147" si="44">+P140-T140</f>
        <v>207584.58000000007</v>
      </c>
      <c r="Y140" s="1"/>
      <c r="Z140" s="5">
        <f t="shared" ref="Z140:Z147" si="45">IF(T140=0,0,X140/T140)</f>
        <v>0.26882825995831466</v>
      </c>
    </row>
    <row r="141" spans="1:26" s="24" customFormat="1" hidden="1" outlineLevel="2" x14ac:dyDescent="0.3">
      <c r="A141" s="28"/>
      <c r="B141" s="11" t="str">
        <f>CONCATENATE("          ", "6001", " - ", "ADMINISTRATIVE SALARIES")</f>
        <v xml:space="preserve">          6001 - ADMINISTRATIVE SALARIES</v>
      </c>
      <c r="C141" s="11"/>
      <c r="D141" s="6">
        <v>4658.26</v>
      </c>
      <c r="E141" s="2"/>
      <c r="F141" s="7">
        <f t="shared" si="38"/>
        <v>9.1213047413686577E-3</v>
      </c>
      <c r="G141" s="2"/>
      <c r="H141" s="6">
        <v>3745.16</v>
      </c>
      <c r="I141" s="2"/>
      <c r="J141" s="7">
        <f t="shared" si="39"/>
        <v>1.6030184939768887E-2</v>
      </c>
      <c r="K141" s="2"/>
      <c r="L141" s="6">
        <f t="shared" si="40"/>
        <v>913.10000000000036</v>
      </c>
      <c r="M141" s="2"/>
      <c r="N141" s="7">
        <f t="shared" si="41"/>
        <v>0.24380800820258691</v>
      </c>
      <c r="O141" s="11"/>
      <c r="P141" s="6">
        <v>28334.77</v>
      </c>
      <c r="Q141" s="2"/>
      <c r="R141" s="7">
        <f t="shared" si="42"/>
        <v>7.5811325085991298E-3</v>
      </c>
      <c r="S141" s="2"/>
      <c r="T141" s="6">
        <v>24883.11</v>
      </c>
      <c r="U141" s="2"/>
      <c r="V141" s="7">
        <f t="shared" si="43"/>
        <v>9.2118686474857228E-3</v>
      </c>
      <c r="W141" s="2"/>
      <c r="X141" s="6">
        <f t="shared" si="44"/>
        <v>3451.66</v>
      </c>
      <c r="Y141" s="2"/>
      <c r="Z141" s="7">
        <f t="shared" si="45"/>
        <v>0.13871497574057262</v>
      </c>
    </row>
    <row r="142" spans="1:26" s="24" customFormat="1" hidden="1" outlineLevel="2" x14ac:dyDescent="0.3">
      <c r="A142" s="28"/>
      <c r="B142" s="11" t="str">
        <f>CONCATENATE("          ", "6002", " - ", "STAFF SALARIES")</f>
        <v xml:space="preserve">          6002 - STAFF SALARIES</v>
      </c>
      <c r="C142" s="11"/>
      <c r="D142" s="6">
        <v>52623.72</v>
      </c>
      <c r="E142" s="2"/>
      <c r="F142" s="7">
        <f t="shared" si="38"/>
        <v>0.10304212017887723</v>
      </c>
      <c r="G142" s="2"/>
      <c r="H142" s="6">
        <v>60554.25</v>
      </c>
      <c r="I142" s="2"/>
      <c r="J142" s="7">
        <f t="shared" si="39"/>
        <v>0.25918674406140196</v>
      </c>
      <c r="K142" s="2"/>
      <c r="L142" s="6">
        <f t="shared" si="40"/>
        <v>-7930.5299999999988</v>
      </c>
      <c r="M142" s="2"/>
      <c r="N142" s="7">
        <f t="shared" si="41"/>
        <v>-0.13096570430646898</v>
      </c>
      <c r="O142" s="11"/>
      <c r="P142" s="6">
        <v>341639.07</v>
      </c>
      <c r="Q142" s="2"/>
      <c r="R142" s="7">
        <f t="shared" si="42"/>
        <v>9.1407520152257241E-2</v>
      </c>
      <c r="S142" s="2"/>
      <c r="T142" s="6">
        <v>375340.61</v>
      </c>
      <c r="U142" s="2"/>
      <c r="V142" s="7">
        <f t="shared" si="43"/>
        <v>0.13895322559708839</v>
      </c>
      <c r="W142" s="2"/>
      <c r="X142" s="6">
        <f t="shared" si="44"/>
        <v>-33701.539999999979</v>
      </c>
      <c r="Y142" s="2"/>
      <c r="Z142" s="7">
        <f t="shared" si="45"/>
        <v>-8.9789218384869099E-2</v>
      </c>
    </row>
    <row r="143" spans="1:26" s="24" customFormat="1" hidden="1" outlineLevel="2" x14ac:dyDescent="0.3">
      <c r="A143" s="28"/>
      <c r="B143" s="11" t="str">
        <f>CONCATENATE("          ", "6004", " - ", "STAFF HOURLY")</f>
        <v xml:space="preserve">          6004 - STAFF HOURLY</v>
      </c>
      <c r="C143" s="11"/>
      <c r="D143" s="6">
        <v>24932.65</v>
      </c>
      <c r="E143" s="2"/>
      <c r="F143" s="7">
        <f t="shared" si="38"/>
        <v>4.8820439103846779E-2</v>
      </c>
      <c r="G143" s="2"/>
      <c r="H143" s="6">
        <v>15520.77</v>
      </c>
      <c r="I143" s="2"/>
      <c r="J143" s="7">
        <f t="shared" si="39"/>
        <v>6.6432625977960028E-2</v>
      </c>
      <c r="K143" s="2"/>
      <c r="L143" s="6">
        <f t="shared" si="40"/>
        <v>9411.880000000001</v>
      </c>
      <c r="M143" s="2"/>
      <c r="N143" s="7">
        <f t="shared" si="41"/>
        <v>0.60640548117135951</v>
      </c>
      <c r="O143" s="11"/>
      <c r="P143" s="6">
        <v>136013.17000000001</v>
      </c>
      <c r="Q143" s="2"/>
      <c r="R143" s="7">
        <f t="shared" si="42"/>
        <v>3.6391114686465428E-2</v>
      </c>
      <c r="S143" s="2"/>
      <c r="T143" s="6">
        <v>91036.91</v>
      </c>
      <c r="U143" s="2"/>
      <c r="V143" s="7">
        <f t="shared" si="43"/>
        <v>3.3702381132944374E-2</v>
      </c>
      <c r="W143" s="2"/>
      <c r="X143" s="6">
        <f t="shared" si="44"/>
        <v>44976.260000000009</v>
      </c>
      <c r="Y143" s="2"/>
      <c r="Z143" s="7">
        <f t="shared" si="45"/>
        <v>0.49404422887376126</v>
      </c>
    </row>
    <row r="144" spans="1:26" s="24" customFormat="1" hidden="1" outlineLevel="2" x14ac:dyDescent="0.3">
      <c r="A144" s="28"/>
      <c r="B144" s="11" t="str">
        <f>CONCATENATE("          ", "6005", " - ", "TEMPORARY WAGES-HOURLY")</f>
        <v xml:space="preserve">          6005 - TEMPORARY WAGES-HOURLY</v>
      </c>
      <c r="C144" s="11"/>
      <c r="D144" s="6">
        <v>9155.69</v>
      </c>
      <c r="E144" s="2"/>
      <c r="F144" s="7">
        <f t="shared" si="38"/>
        <v>1.7927689439297421E-2</v>
      </c>
      <c r="G144" s="2"/>
      <c r="H144" s="6">
        <v>9577.32</v>
      </c>
      <c r="I144" s="2"/>
      <c r="J144" s="7">
        <f t="shared" si="39"/>
        <v>4.0993231484728922E-2</v>
      </c>
      <c r="K144" s="2"/>
      <c r="L144" s="6">
        <f t="shared" si="40"/>
        <v>-421.6299999999992</v>
      </c>
      <c r="M144" s="2"/>
      <c r="N144" s="7">
        <f t="shared" si="41"/>
        <v>-4.4023797889179775E-2</v>
      </c>
      <c r="O144" s="11"/>
      <c r="P144" s="6">
        <v>66052.39</v>
      </c>
      <c r="Q144" s="2"/>
      <c r="R144" s="7">
        <f t="shared" si="42"/>
        <v>1.7672701105379295E-2</v>
      </c>
      <c r="S144" s="2"/>
      <c r="T144" s="6">
        <v>99775.41</v>
      </c>
      <c r="U144" s="2"/>
      <c r="V144" s="7">
        <f t="shared" si="43"/>
        <v>3.6937423463909193E-2</v>
      </c>
      <c r="W144" s="2"/>
      <c r="X144" s="6">
        <f t="shared" si="44"/>
        <v>-33723.020000000004</v>
      </c>
      <c r="Y144" s="2"/>
      <c r="Z144" s="7">
        <f t="shared" si="45"/>
        <v>-0.33798929014674062</v>
      </c>
    </row>
    <row r="145" spans="1:26" s="24" customFormat="1" hidden="1" outlineLevel="2" x14ac:dyDescent="0.3">
      <c r="A145" s="28"/>
      <c r="B145" s="11" t="str">
        <f>CONCATENATE("          ", "6006", " - ", "TEMPORARY PART TIME")</f>
        <v xml:space="preserve">          6006 - TEMPORARY PART TIME</v>
      </c>
      <c r="C145" s="11"/>
      <c r="D145" s="6"/>
      <c r="E145" s="2"/>
      <c r="F145" s="7">
        <f t="shared" si="38"/>
        <v>0</v>
      </c>
      <c r="G145" s="2"/>
      <c r="H145" s="6">
        <v>1432.35</v>
      </c>
      <c r="I145" s="2"/>
      <c r="J145" s="7">
        <f t="shared" si="39"/>
        <v>6.1308022617132425E-3</v>
      </c>
      <c r="K145" s="2"/>
      <c r="L145" s="6">
        <f t="shared" si="40"/>
        <v>-1432.35</v>
      </c>
      <c r="M145" s="2"/>
      <c r="N145" s="7">
        <f t="shared" si="41"/>
        <v>-1</v>
      </c>
      <c r="O145" s="11"/>
      <c r="P145" s="6">
        <v>9877.6200000000008</v>
      </c>
      <c r="Q145" s="2"/>
      <c r="R145" s="7">
        <f t="shared" si="42"/>
        <v>2.6428146792646964E-3</v>
      </c>
      <c r="S145" s="2"/>
      <c r="T145" s="6">
        <v>9987.9599999999991</v>
      </c>
      <c r="U145" s="2"/>
      <c r="V145" s="7">
        <f t="shared" si="43"/>
        <v>3.697599519366409E-3</v>
      </c>
      <c r="W145" s="2"/>
      <c r="X145" s="6">
        <f t="shared" si="44"/>
        <v>-110.33999999999833</v>
      </c>
      <c r="Y145" s="2"/>
      <c r="Z145" s="7">
        <f t="shared" si="45"/>
        <v>-1.1047300950344048E-2</v>
      </c>
    </row>
    <row r="146" spans="1:26" s="24" customFormat="1" hidden="1" outlineLevel="2" x14ac:dyDescent="0.3">
      <c r="A146" s="28"/>
      <c r="B146" s="11" t="str">
        <f>CONCATENATE("          ", "6007", " - ", "STUDENT HOURLY")</f>
        <v xml:space="preserve">          6007 - STUDENT HOURLY</v>
      </c>
      <c r="C146" s="11"/>
      <c r="D146" s="6">
        <v>58321.81</v>
      </c>
      <c r="E146" s="2"/>
      <c r="F146" s="7">
        <f t="shared" si="38"/>
        <v>0.11419950841692005</v>
      </c>
      <c r="G146" s="2"/>
      <c r="H146" s="6">
        <v>27899.63</v>
      </c>
      <c r="I146" s="2"/>
      <c r="J146" s="7">
        <f t="shared" si="39"/>
        <v>0.11941712200576859</v>
      </c>
      <c r="K146" s="2"/>
      <c r="L146" s="6">
        <f t="shared" si="40"/>
        <v>30422.179999999997</v>
      </c>
      <c r="M146" s="2"/>
      <c r="N146" s="7">
        <f t="shared" si="41"/>
        <v>1.0904151775489495</v>
      </c>
      <c r="O146" s="11"/>
      <c r="P146" s="6">
        <v>340558.1</v>
      </c>
      <c r="Q146" s="2"/>
      <c r="R146" s="7">
        <f t="shared" si="42"/>
        <v>9.1118300341832784E-2</v>
      </c>
      <c r="S146" s="2"/>
      <c r="T146" s="6">
        <v>166228.43</v>
      </c>
      <c r="U146" s="2"/>
      <c r="V146" s="7">
        <f t="shared" si="43"/>
        <v>6.1538708892810226E-2</v>
      </c>
      <c r="W146" s="2"/>
      <c r="X146" s="6">
        <f t="shared" si="44"/>
        <v>174329.66999999998</v>
      </c>
      <c r="Y146" s="2"/>
      <c r="Z146" s="7">
        <f t="shared" si="45"/>
        <v>1.0487355863253958</v>
      </c>
    </row>
    <row r="147" spans="1:26" s="24" customFormat="1" hidden="1" outlineLevel="2" x14ac:dyDescent="0.3">
      <c r="A147" s="28"/>
      <c r="B147" s="11" t="str">
        <f>CONCATENATE("          ", "6008", " - ", "STUDENT HOURLY-FICA EXEMPT")</f>
        <v xml:space="preserve">          6008 - STUDENT HOURLY-FICA EXEMPT</v>
      </c>
      <c r="C147" s="11"/>
      <c r="D147" s="6">
        <v>6586.67</v>
      </c>
      <c r="E147" s="2"/>
      <c r="F147" s="7">
        <f t="shared" si="38"/>
        <v>1.2897310219015405E-2</v>
      </c>
      <c r="G147" s="2"/>
      <c r="H147" s="6">
        <v>1083.1600000000001</v>
      </c>
      <c r="I147" s="2"/>
      <c r="J147" s="7">
        <f t="shared" si="39"/>
        <v>4.636185134776637E-3</v>
      </c>
      <c r="K147" s="2"/>
      <c r="L147" s="6">
        <f t="shared" si="40"/>
        <v>5503.51</v>
      </c>
      <c r="M147" s="2"/>
      <c r="N147" s="7">
        <f t="shared" si="41"/>
        <v>5.0809760330883709</v>
      </c>
      <c r="O147" s="11"/>
      <c r="P147" s="6">
        <v>57292.34</v>
      </c>
      <c r="Q147" s="2"/>
      <c r="R147" s="7">
        <f t="shared" si="42"/>
        <v>1.5328898779404748E-2</v>
      </c>
      <c r="S147" s="2"/>
      <c r="T147" s="6">
        <v>4930.45</v>
      </c>
      <c r="U147" s="2"/>
      <c r="V147" s="7">
        <f t="shared" si="43"/>
        <v>1.8252805928598145E-3</v>
      </c>
      <c r="W147" s="2"/>
      <c r="X147" s="6">
        <f t="shared" si="44"/>
        <v>52361.89</v>
      </c>
      <c r="Y147" s="2"/>
      <c r="Z147" s="7">
        <f t="shared" si="45"/>
        <v>10.620103641655428</v>
      </c>
    </row>
    <row r="148" spans="1:26" s="29" customFormat="1" outlineLevel="1" collapsed="1" x14ac:dyDescent="0.3">
      <c r="A148" s="27"/>
      <c r="B148" s="14" t="str">
        <f>CONCATENATE("     ","Advertising/Promo                                 ")</f>
        <v xml:space="preserve">     Advertising/Promo                                 </v>
      </c>
      <c r="C148" s="14"/>
      <c r="D148" s="1">
        <f>SUM(OSRRefD22_2x_0)</f>
        <v>722.3</v>
      </c>
      <c r="E148" s="1"/>
      <c r="F148" s="5">
        <f t="shared" ref="F148:F156" si="46">IF(D$12=0,0,D148/D$12)</f>
        <v>1.414330332504107E-3</v>
      </c>
      <c r="G148" s="1"/>
      <c r="H148" s="1">
        <f>SUM(OSRRefH22_2x_0)</f>
        <v>343.98</v>
      </c>
      <c r="I148" s="1"/>
      <c r="J148" s="5">
        <f t="shared" ref="J148:J156" si="47">IF(H$12=0,0,H148/H$12)</f>
        <v>1.472317074726234E-3</v>
      </c>
      <c r="K148" s="1"/>
      <c r="L148" s="1">
        <f t="shared" ref="L148:L156" si="48">+D148-H148</f>
        <v>378.31999999999994</v>
      </c>
      <c r="M148" s="1"/>
      <c r="N148" s="5">
        <f t="shared" ref="N148:N156" si="49">IF(H148=0,0,L148/H148)</f>
        <v>1.0998313855456709</v>
      </c>
      <c r="O148" s="14"/>
      <c r="P148" s="1">
        <f>SUM(OSRRefP22_2x_0)</f>
        <v>5646.21</v>
      </c>
      <c r="Q148" s="1"/>
      <c r="R148" s="5">
        <f t="shared" ref="R148:R156" si="50">IF(P$12=0,0,P148/P$12)</f>
        <v>1.5106763238726657E-3</v>
      </c>
      <c r="S148" s="1"/>
      <c r="T148" s="1">
        <f>SUM(OSRRefT22_2x_0)</f>
        <v>14702.51</v>
      </c>
      <c r="U148" s="1"/>
      <c r="V148" s="5">
        <f t="shared" ref="V148:V156" si="51">IF(T$12=0,0,T148/T$12)</f>
        <v>5.4429527060060141E-3</v>
      </c>
      <c r="W148" s="1"/>
      <c r="X148" s="1">
        <f t="shared" ref="X148:X156" si="52">+P148-T148</f>
        <v>-9056.2999999999993</v>
      </c>
      <c r="Y148" s="1"/>
      <c r="Z148" s="5">
        <f t="shared" ref="Z148:Z156" si="53">IF(T148=0,0,X148/T148)</f>
        <v>-0.61596965416109217</v>
      </c>
    </row>
    <row r="149" spans="1:26" s="24" customFormat="1" hidden="1" outlineLevel="2" x14ac:dyDescent="0.3">
      <c r="A149" s="28"/>
      <c r="B149" s="11" t="str">
        <f>CONCATENATE("          ", "6362", " - ", "ADVERTISING EXPENSE")</f>
        <v xml:space="preserve">          6362 - ADVERTISING EXPENSE</v>
      </c>
      <c r="C149" s="11"/>
      <c r="D149" s="6">
        <v>722.3</v>
      </c>
      <c r="E149" s="2"/>
      <c r="F149" s="7">
        <f t="shared" si="46"/>
        <v>1.414330332504107E-3</v>
      </c>
      <c r="G149" s="2"/>
      <c r="H149" s="6">
        <v>343.98</v>
      </c>
      <c r="I149" s="2"/>
      <c r="J149" s="7">
        <f t="shared" si="47"/>
        <v>1.472317074726234E-3</v>
      </c>
      <c r="K149" s="2"/>
      <c r="L149" s="6">
        <f t="shared" si="48"/>
        <v>378.31999999999994</v>
      </c>
      <c r="M149" s="2"/>
      <c r="N149" s="7">
        <f t="shared" si="49"/>
        <v>1.0998313855456709</v>
      </c>
      <c r="O149" s="11"/>
      <c r="P149" s="6">
        <v>5646.21</v>
      </c>
      <c r="Q149" s="2"/>
      <c r="R149" s="7">
        <f t="shared" si="50"/>
        <v>1.5106763238726657E-3</v>
      </c>
      <c r="S149" s="2"/>
      <c r="T149" s="6">
        <v>14702.51</v>
      </c>
      <c r="U149" s="2"/>
      <c r="V149" s="7">
        <f t="shared" si="51"/>
        <v>5.4429527060060141E-3</v>
      </c>
      <c r="W149" s="2"/>
      <c r="X149" s="6">
        <f t="shared" si="52"/>
        <v>-9056.2999999999993</v>
      </c>
      <c r="Y149" s="2"/>
      <c r="Z149" s="7">
        <f t="shared" si="53"/>
        <v>-0.61596965416109217</v>
      </c>
    </row>
    <row r="150" spans="1:26" s="29" customFormat="1" outlineLevel="1" collapsed="1" x14ac:dyDescent="0.3">
      <c r="A150" s="27"/>
      <c r="B150" s="14" t="str">
        <f>CONCATENATE("     ","Bad Debts/Over/Short                              ")</f>
        <v xml:space="preserve">     Bad Debts/Over/Short                              </v>
      </c>
      <c r="C150" s="14"/>
      <c r="D150" s="1">
        <f>SUM(OSRRefD22_3x_0)</f>
        <v>-5.0599999999999996</v>
      </c>
      <c r="E150" s="1"/>
      <c r="F150" s="5">
        <f t="shared" si="46"/>
        <v>-9.9079488889253504E-6</v>
      </c>
      <c r="G150" s="1"/>
      <c r="H150" s="1">
        <f>SUM(OSRRefH22_3x_0)</f>
        <v>-5.34</v>
      </c>
      <c r="I150" s="1"/>
      <c r="J150" s="5">
        <f t="shared" si="47"/>
        <v>-2.2856483455544186E-5</v>
      </c>
      <c r="K150" s="1"/>
      <c r="L150" s="1">
        <f t="shared" si="48"/>
        <v>0.28000000000000025</v>
      </c>
      <c r="M150" s="1"/>
      <c r="N150" s="5">
        <f t="shared" si="49"/>
        <v>-5.2434456928838996E-2</v>
      </c>
      <c r="O150" s="14"/>
      <c r="P150" s="1">
        <f>SUM(OSRRefP22_3x_0)</f>
        <v>181.9</v>
      </c>
      <c r="Q150" s="1"/>
      <c r="R150" s="5">
        <f t="shared" si="50"/>
        <v>4.8668402930893094E-5</v>
      </c>
      <c r="S150" s="1"/>
      <c r="T150" s="1">
        <f>SUM(OSRRefT22_3x_0)</f>
        <v>49.27</v>
      </c>
      <c r="U150" s="1"/>
      <c r="V150" s="5">
        <f t="shared" si="51"/>
        <v>1.8240033832652813E-5</v>
      </c>
      <c r="W150" s="1"/>
      <c r="X150" s="1">
        <f t="shared" si="52"/>
        <v>132.63</v>
      </c>
      <c r="Y150" s="1"/>
      <c r="Z150" s="5">
        <f t="shared" si="53"/>
        <v>2.6919017657803934</v>
      </c>
    </row>
    <row r="151" spans="1:26" s="24" customFormat="1" hidden="1" outlineLevel="2" x14ac:dyDescent="0.3">
      <c r="A151" s="28"/>
      <c r="B151" s="11" t="str">
        <f>CONCATENATE("          ", "6272", " - ", "CASH (OVER/SHORT)")</f>
        <v xml:space="preserve">          6272 - CASH (OVER/SHORT)</v>
      </c>
      <c r="C151" s="11"/>
      <c r="D151" s="6">
        <v>-5.0599999999999996</v>
      </c>
      <c r="E151" s="2"/>
      <c r="F151" s="7">
        <f t="shared" si="46"/>
        <v>-9.9079488889253504E-6</v>
      </c>
      <c r="G151" s="2"/>
      <c r="H151" s="6">
        <v>-5.34</v>
      </c>
      <c r="I151" s="2"/>
      <c r="J151" s="7">
        <f t="shared" si="47"/>
        <v>-2.2856483455544186E-5</v>
      </c>
      <c r="K151" s="2"/>
      <c r="L151" s="6">
        <f t="shared" si="48"/>
        <v>0.28000000000000025</v>
      </c>
      <c r="M151" s="2"/>
      <c r="N151" s="7">
        <f t="shared" si="49"/>
        <v>-5.2434456928838996E-2</v>
      </c>
      <c r="O151" s="11"/>
      <c r="P151" s="6">
        <v>181.9</v>
      </c>
      <c r="Q151" s="2"/>
      <c r="R151" s="7">
        <f t="shared" si="50"/>
        <v>4.8668402930893094E-5</v>
      </c>
      <c r="S151" s="2"/>
      <c r="T151" s="6">
        <v>49.27</v>
      </c>
      <c r="U151" s="2"/>
      <c r="V151" s="7">
        <f t="shared" si="51"/>
        <v>1.8240033832652813E-5</v>
      </c>
      <c r="W151" s="2"/>
      <c r="X151" s="6">
        <f t="shared" si="52"/>
        <v>132.63</v>
      </c>
      <c r="Y151" s="2"/>
      <c r="Z151" s="7">
        <f t="shared" si="53"/>
        <v>2.6919017657803934</v>
      </c>
    </row>
    <row r="152" spans="1:26" s="29" customFormat="1" outlineLevel="1" collapsed="1" x14ac:dyDescent="0.3">
      <c r="A152" s="27"/>
      <c r="B152" s="14" t="str">
        <f>CONCATENATE("     ","Bank/card Fees                                    ")</f>
        <v xml:space="preserve">     Bank/card Fees                                    </v>
      </c>
      <c r="C152" s="14"/>
      <c r="D152" s="1">
        <f>SUM(OSRRefD22_4x_0)</f>
        <v>9758.82</v>
      </c>
      <c r="E152" s="1"/>
      <c r="F152" s="5">
        <f t="shared" si="46"/>
        <v>1.9108673868818676E-2</v>
      </c>
      <c r="G152" s="1"/>
      <c r="H152" s="1">
        <f>SUM(OSRRefH22_4x_0)</f>
        <v>5488.4</v>
      </c>
      <c r="I152" s="1"/>
      <c r="J152" s="5">
        <f t="shared" si="47"/>
        <v>2.3491671123110243E-2</v>
      </c>
      <c r="K152" s="1"/>
      <c r="L152" s="1">
        <f t="shared" si="48"/>
        <v>4270.42</v>
      </c>
      <c r="M152" s="1"/>
      <c r="N152" s="5">
        <f t="shared" si="49"/>
        <v>0.77808104365571029</v>
      </c>
      <c r="O152" s="14"/>
      <c r="P152" s="1">
        <f>SUM(OSRRefP22_4x_0)</f>
        <v>71336.58</v>
      </c>
      <c r="Q152" s="1"/>
      <c r="R152" s="5">
        <f t="shared" si="50"/>
        <v>1.9086516872742661E-2</v>
      </c>
      <c r="S152" s="1"/>
      <c r="T152" s="1">
        <f>SUM(OSRRefT22_4x_0)</f>
        <v>47710.11</v>
      </c>
      <c r="U152" s="1"/>
      <c r="V152" s="5">
        <f t="shared" si="51"/>
        <v>1.7662553695140804E-2</v>
      </c>
      <c r="W152" s="1"/>
      <c r="X152" s="1">
        <f t="shared" si="52"/>
        <v>23626.47</v>
      </c>
      <c r="Y152" s="1"/>
      <c r="Z152" s="5">
        <f t="shared" si="53"/>
        <v>0.49520887711220957</v>
      </c>
    </row>
    <row r="153" spans="1:26" s="24" customFormat="1" hidden="1" outlineLevel="2" x14ac:dyDescent="0.3">
      <c r="A153" s="28"/>
      <c r="B153" s="11" t="str">
        <f>CONCATENATE("          ", "6381", " - ", "BANK/CREDIT CARD FEES")</f>
        <v xml:space="preserve">          6381 - BANK/CREDIT CARD FEES</v>
      </c>
      <c r="C153" s="11"/>
      <c r="D153" s="6">
        <v>9758.82</v>
      </c>
      <c r="E153" s="2"/>
      <c r="F153" s="7">
        <f t="shared" si="46"/>
        <v>1.9108673868818676E-2</v>
      </c>
      <c r="G153" s="2"/>
      <c r="H153" s="6">
        <v>5488.4</v>
      </c>
      <c r="I153" s="2"/>
      <c r="J153" s="7">
        <f t="shared" si="47"/>
        <v>2.3491671123110243E-2</v>
      </c>
      <c r="K153" s="2"/>
      <c r="L153" s="6">
        <f t="shared" si="48"/>
        <v>4270.42</v>
      </c>
      <c r="M153" s="2"/>
      <c r="N153" s="7">
        <f t="shared" si="49"/>
        <v>0.77808104365571029</v>
      </c>
      <c r="O153" s="11"/>
      <c r="P153" s="6">
        <v>71336.58</v>
      </c>
      <c r="Q153" s="2"/>
      <c r="R153" s="7">
        <f t="shared" si="50"/>
        <v>1.9086516872742661E-2</v>
      </c>
      <c r="S153" s="2"/>
      <c r="T153" s="6">
        <v>47710.11</v>
      </c>
      <c r="U153" s="2"/>
      <c r="V153" s="7">
        <f t="shared" si="51"/>
        <v>1.7662553695140804E-2</v>
      </c>
      <c r="W153" s="2"/>
      <c r="X153" s="6">
        <f t="shared" si="52"/>
        <v>23626.47</v>
      </c>
      <c r="Y153" s="2"/>
      <c r="Z153" s="7">
        <f t="shared" si="53"/>
        <v>0.49520887711220957</v>
      </c>
    </row>
    <row r="154" spans="1:26" s="29" customFormat="1" outlineLevel="1" collapsed="1" x14ac:dyDescent="0.3">
      <c r="A154" s="27"/>
      <c r="B154" s="14" t="str">
        <f>CONCATENATE("     ","Depreciation                                      ")</f>
        <v xml:space="preserve">     Depreciation                                      </v>
      </c>
      <c r="C154" s="14"/>
      <c r="D154" s="1">
        <f>SUM(OSRRefD22_5x_0)</f>
        <v>36939.589999999997</v>
      </c>
      <c r="E154" s="1"/>
      <c r="F154" s="5">
        <f t="shared" si="46"/>
        <v>7.2331140256493676E-2</v>
      </c>
      <c r="G154" s="1"/>
      <c r="H154" s="1">
        <f>SUM(OSRRefH22_5x_0)</f>
        <v>39887.94</v>
      </c>
      <c r="I154" s="1"/>
      <c r="J154" s="5">
        <f t="shared" si="47"/>
        <v>0.17072997016586877</v>
      </c>
      <c r="K154" s="1"/>
      <c r="L154" s="1">
        <f t="shared" si="48"/>
        <v>-2948.3500000000058</v>
      </c>
      <c r="M154" s="1"/>
      <c r="N154" s="5">
        <f t="shared" si="49"/>
        <v>-7.3915825184253825E-2</v>
      </c>
      <c r="O154" s="14"/>
      <c r="P154" s="1">
        <f>SUM(OSRRefP22_5x_0)</f>
        <v>224387.45</v>
      </c>
      <c r="Q154" s="1"/>
      <c r="R154" s="5">
        <f t="shared" si="50"/>
        <v>6.0036167285517472E-2</v>
      </c>
      <c r="S154" s="1"/>
      <c r="T154" s="1">
        <f>SUM(OSRRefT22_5x_0)</f>
        <v>239804.40999999997</v>
      </c>
      <c r="U154" s="1"/>
      <c r="V154" s="5">
        <f t="shared" si="51"/>
        <v>8.877695456909572E-2</v>
      </c>
      <c r="W154" s="1"/>
      <c r="X154" s="1">
        <f t="shared" si="52"/>
        <v>-15416.959999999963</v>
      </c>
      <c r="Y154" s="1"/>
      <c r="Z154" s="5">
        <f t="shared" si="53"/>
        <v>-6.4289726781921838E-2</v>
      </c>
    </row>
    <row r="155" spans="1:26" s="24" customFormat="1" hidden="1" outlineLevel="2" x14ac:dyDescent="0.3">
      <c r="A155" s="28"/>
      <c r="B155" s="11" t="str">
        <f>CONCATENATE("          ", "6321", " - ", "BUILDING DEPRECIATION")</f>
        <v xml:space="preserve">          6321 - BUILDING DEPRECIATION</v>
      </c>
      <c r="C155" s="11"/>
      <c r="D155" s="6">
        <v>21477.02</v>
      </c>
      <c r="E155" s="2"/>
      <c r="F155" s="7">
        <f t="shared" si="46"/>
        <v>4.2053995345143785E-2</v>
      </c>
      <c r="G155" s="2"/>
      <c r="H155" s="6">
        <v>21477.03</v>
      </c>
      <c r="I155" s="2"/>
      <c r="J155" s="7">
        <f t="shared" si="47"/>
        <v>9.1926850350042347E-2</v>
      </c>
      <c r="K155" s="2"/>
      <c r="L155" s="6">
        <f t="shared" si="48"/>
        <v>-9.9999999983992893E-3</v>
      </c>
      <c r="M155" s="2"/>
      <c r="N155" s="7">
        <f t="shared" si="49"/>
        <v>-4.6561372770812771E-7</v>
      </c>
      <c r="O155" s="11"/>
      <c r="P155" s="6">
        <v>128862.17</v>
      </c>
      <c r="Q155" s="2"/>
      <c r="R155" s="7">
        <f t="shared" si="50"/>
        <v>3.4477823046230038E-2</v>
      </c>
      <c r="S155" s="2"/>
      <c r="T155" s="6">
        <v>128862.18</v>
      </c>
      <c r="U155" s="2"/>
      <c r="V155" s="7">
        <f t="shared" si="51"/>
        <v>4.7705510918396518E-2</v>
      </c>
      <c r="W155" s="2"/>
      <c r="X155" s="6">
        <f t="shared" si="52"/>
        <v>-9.9999999947613105E-3</v>
      </c>
      <c r="Y155" s="2"/>
      <c r="Z155" s="7">
        <f t="shared" si="53"/>
        <v>-7.7602287923123073E-8</v>
      </c>
    </row>
    <row r="156" spans="1:26" s="24" customFormat="1" hidden="1" outlineLevel="2" x14ac:dyDescent="0.3">
      <c r="A156" s="28"/>
      <c r="B156" s="11" t="str">
        <f>CONCATENATE("          ", "6322", " - ", "EQUIPMENT DEPRECIATION EXPENSE")</f>
        <v xml:space="preserve">          6322 - EQUIPMENT DEPRECIATION EXPENSE</v>
      </c>
      <c r="C156" s="11"/>
      <c r="D156" s="6">
        <v>15462.57</v>
      </c>
      <c r="E156" s="2"/>
      <c r="F156" s="7">
        <f t="shared" si="46"/>
        <v>3.0277144911349897E-2</v>
      </c>
      <c r="G156" s="2"/>
      <c r="H156" s="6">
        <v>18410.91</v>
      </c>
      <c r="I156" s="2"/>
      <c r="J156" s="7">
        <f t="shared" si="47"/>
        <v>7.8803119815826411E-2</v>
      </c>
      <c r="K156" s="2"/>
      <c r="L156" s="6">
        <f t="shared" si="48"/>
        <v>-2948.34</v>
      </c>
      <c r="M156" s="2"/>
      <c r="N156" s="7">
        <f t="shared" si="49"/>
        <v>-0.16014091644573789</v>
      </c>
      <c r="O156" s="11"/>
      <c r="P156" s="6">
        <v>95525.28</v>
      </c>
      <c r="Q156" s="2"/>
      <c r="R156" s="7">
        <f t="shared" si="50"/>
        <v>2.555834423928743E-2</v>
      </c>
      <c r="S156" s="2"/>
      <c r="T156" s="6">
        <v>110942.23</v>
      </c>
      <c r="U156" s="2"/>
      <c r="V156" s="7">
        <f t="shared" si="51"/>
        <v>4.1071443650699209E-2</v>
      </c>
      <c r="W156" s="2"/>
      <c r="X156" s="6">
        <f t="shared" si="52"/>
        <v>-15416.949999999997</v>
      </c>
      <c r="Y156" s="2"/>
      <c r="Z156" s="7">
        <f t="shared" si="53"/>
        <v>-0.13896376519563378</v>
      </c>
    </row>
    <row r="157" spans="1:26" s="29" customFormat="1" outlineLevel="1" collapsed="1" x14ac:dyDescent="0.3">
      <c r="A157" s="27"/>
      <c r="B157" s="14" t="str">
        <f>CONCATENATE("     ","Discounts and Markdowns                           ")</f>
        <v xml:space="preserve">     Discounts and Markdowns                           </v>
      </c>
      <c r="C157" s="14"/>
      <c r="D157" s="1">
        <f>SUM(OSRRefD22_6x_0)</f>
        <v>11.17</v>
      </c>
      <c r="E157" s="1"/>
      <c r="F157" s="5">
        <f t="shared" ref="F157:F159" si="54">IF(D$12=0,0,D157/D$12)</f>
        <v>2.1871895076936005E-5</v>
      </c>
      <c r="G157" s="1"/>
      <c r="H157" s="1">
        <f>SUM(OSRRefH22_6x_0)</f>
        <v>0</v>
      </c>
      <c r="I157" s="1"/>
      <c r="J157" s="5">
        <f t="shared" ref="J157:J159" si="55">IF(H$12=0,0,H157/H$12)</f>
        <v>0</v>
      </c>
      <c r="K157" s="1"/>
      <c r="L157" s="1">
        <f t="shared" ref="L157:L159" si="56">+D157-H157</f>
        <v>11.17</v>
      </c>
      <c r="M157" s="1"/>
      <c r="N157" s="5">
        <f t="shared" ref="N157:N159" si="57">IF(H157=0,0,L157/H157)</f>
        <v>0</v>
      </c>
      <c r="O157" s="14"/>
      <c r="P157" s="1">
        <f>SUM(OSRRefP22_6x_0)</f>
        <v>3354.8</v>
      </c>
      <c r="Q157" s="1"/>
      <c r="R157" s="5">
        <f t="shared" ref="R157:R159" si="58">IF(P$12=0,0,P157/P$12)</f>
        <v>8.9759625152589426E-4</v>
      </c>
      <c r="S157" s="1"/>
      <c r="T157" s="1">
        <f>SUM(OSRRefT22_6x_0)</f>
        <v>0</v>
      </c>
      <c r="U157" s="1"/>
      <c r="V157" s="5">
        <f t="shared" ref="V157:V159" si="59">IF(T$12=0,0,T157/T$12)</f>
        <v>0</v>
      </c>
      <c r="W157" s="1"/>
      <c r="X157" s="1">
        <f t="shared" ref="X157:X159" si="60">+P157-T157</f>
        <v>3354.8</v>
      </c>
      <c r="Y157" s="1"/>
      <c r="Z157" s="5">
        <f t="shared" ref="Z157:Z159" si="61">IF(T157=0,0,X157/T157)</f>
        <v>0</v>
      </c>
    </row>
    <row r="158" spans="1:26" s="24" customFormat="1" hidden="1" outlineLevel="2" x14ac:dyDescent="0.3">
      <c r="A158" s="28"/>
      <c r="B158" s="11" t="str">
        <f>CONCATENATE("          ", "6382", " - ", "DISCOUNTS/MARK DOWNS")</f>
        <v xml:space="preserve">          6382 - DISCOUNTS/MARK DOWNS</v>
      </c>
      <c r="C158" s="11"/>
      <c r="D158" s="6"/>
      <c r="E158" s="2"/>
      <c r="F158" s="7">
        <f t="shared" si="54"/>
        <v>0</v>
      </c>
      <c r="G158" s="2"/>
      <c r="H158" s="6">
        <v>0</v>
      </c>
      <c r="I158" s="2"/>
      <c r="J158" s="7">
        <f t="shared" si="55"/>
        <v>0</v>
      </c>
      <c r="K158" s="2"/>
      <c r="L158" s="6">
        <f t="shared" si="56"/>
        <v>0</v>
      </c>
      <c r="M158" s="2"/>
      <c r="N158" s="7">
        <f t="shared" si="57"/>
        <v>0</v>
      </c>
      <c r="O158" s="11"/>
      <c r="P158" s="6">
        <v>3410</v>
      </c>
      <c r="Q158" s="2"/>
      <c r="R158" s="7">
        <f t="shared" si="58"/>
        <v>9.1236533256924379E-4</v>
      </c>
      <c r="S158" s="2"/>
      <c r="T158" s="6">
        <v>0</v>
      </c>
      <c r="U158" s="2"/>
      <c r="V158" s="7">
        <f t="shared" si="59"/>
        <v>0</v>
      </c>
      <c r="W158" s="2"/>
      <c r="X158" s="6">
        <f t="shared" si="60"/>
        <v>3410</v>
      </c>
      <c r="Y158" s="2"/>
      <c r="Z158" s="7">
        <f t="shared" si="61"/>
        <v>0</v>
      </c>
    </row>
    <row r="159" spans="1:26" s="24" customFormat="1" hidden="1" outlineLevel="2" x14ac:dyDescent="0.3">
      <c r="A159" s="28"/>
      <c r="B159" s="11" t="str">
        <f>CONCATENATE("          ", "9175", " - ", "EARNED DISCOUNTS")</f>
        <v xml:space="preserve">          9175 - EARNED DISCOUNTS</v>
      </c>
      <c r="C159" s="11"/>
      <c r="D159" s="6">
        <v>11.17</v>
      </c>
      <c r="E159" s="2"/>
      <c r="F159" s="7">
        <f t="shared" si="54"/>
        <v>2.1871895076936005E-5</v>
      </c>
      <c r="G159" s="2"/>
      <c r="H159" s="6"/>
      <c r="I159" s="2"/>
      <c r="J159" s="7">
        <f t="shared" si="55"/>
        <v>0</v>
      </c>
      <c r="K159" s="2"/>
      <c r="L159" s="6">
        <f t="shared" si="56"/>
        <v>11.17</v>
      </c>
      <c r="M159" s="2"/>
      <c r="N159" s="7">
        <f t="shared" si="57"/>
        <v>0</v>
      </c>
      <c r="O159" s="11"/>
      <c r="P159" s="6">
        <v>-55.2</v>
      </c>
      <c r="Q159" s="2"/>
      <c r="R159" s="7">
        <f t="shared" si="58"/>
        <v>-1.4769081043349637E-5</v>
      </c>
      <c r="S159" s="2"/>
      <c r="T159" s="6">
        <v>0</v>
      </c>
      <c r="U159" s="2"/>
      <c r="V159" s="7">
        <f t="shared" si="59"/>
        <v>0</v>
      </c>
      <c r="W159" s="2"/>
      <c r="X159" s="6">
        <f t="shared" si="60"/>
        <v>-55.2</v>
      </c>
      <c r="Y159" s="2"/>
      <c r="Z159" s="7">
        <f t="shared" si="61"/>
        <v>0</v>
      </c>
    </row>
    <row r="160" spans="1:26" s="29" customFormat="1" outlineLevel="1" collapsed="1" x14ac:dyDescent="0.3">
      <c r="A160" s="27"/>
      <c r="B160" s="14" t="str">
        <f>CONCATENATE("     ","Donations                                         ")</f>
        <v xml:space="preserve">     Donations                                         </v>
      </c>
      <c r="C160" s="14"/>
      <c r="D160" s="1">
        <f>SUM(OSRRefD22_7x_0)</f>
        <v>0</v>
      </c>
      <c r="E160" s="1"/>
      <c r="F160" s="5">
        <f t="shared" ref="F160:F168" si="62">IF(D$12=0,0,D160/D$12)</f>
        <v>0</v>
      </c>
      <c r="G160" s="1"/>
      <c r="H160" s="1">
        <f>SUM(OSRRefH22_7x_0)</f>
        <v>0</v>
      </c>
      <c r="I160" s="1"/>
      <c r="J160" s="5">
        <f t="shared" ref="J160:J168" si="63">IF(H$12=0,0,H160/H$12)</f>
        <v>0</v>
      </c>
      <c r="K160" s="1"/>
      <c r="L160" s="1">
        <f t="shared" ref="L160:L168" si="64">+D160-H160</f>
        <v>0</v>
      </c>
      <c r="M160" s="1"/>
      <c r="N160" s="5">
        <f t="shared" ref="N160:N168" si="65">IF(H160=0,0,L160/H160)</f>
        <v>0</v>
      </c>
      <c r="O160" s="14"/>
      <c r="P160" s="1">
        <f>SUM(OSRRefP22_7x_0)</f>
        <v>2820.22</v>
      </c>
      <c r="Q160" s="1"/>
      <c r="R160" s="5">
        <f t="shared" ref="R160:R168" si="66">IF(P$12=0,0,P160/P$12)</f>
        <v>7.5456626340716503E-4</v>
      </c>
      <c r="S160" s="1"/>
      <c r="T160" s="1">
        <f>SUM(OSRRefT22_7x_0)</f>
        <v>0</v>
      </c>
      <c r="U160" s="1"/>
      <c r="V160" s="5">
        <f t="shared" ref="V160:V168" si="67">IF(T$12=0,0,T160/T$12)</f>
        <v>0</v>
      </c>
      <c r="W160" s="1"/>
      <c r="X160" s="1">
        <f t="shared" ref="X160:X168" si="68">+P160-T160</f>
        <v>2820.22</v>
      </c>
      <c r="Y160" s="1"/>
      <c r="Z160" s="5">
        <f t="shared" ref="Z160:Z168" si="69">IF(T160=0,0,X160/T160)</f>
        <v>0</v>
      </c>
    </row>
    <row r="161" spans="1:26" s="24" customFormat="1" hidden="1" outlineLevel="2" x14ac:dyDescent="0.3">
      <c r="A161" s="28"/>
      <c r="B161" s="11" t="str">
        <f>CONCATENATE("          ", "6399", " - ", "DONATION-ON CAMPUS")</f>
        <v xml:space="preserve">          6399 - DONATION-ON CAMPUS</v>
      </c>
      <c r="C161" s="11"/>
      <c r="D161" s="6"/>
      <c r="E161" s="2"/>
      <c r="F161" s="7">
        <f t="shared" si="62"/>
        <v>0</v>
      </c>
      <c r="G161" s="2"/>
      <c r="H161" s="6"/>
      <c r="I161" s="2"/>
      <c r="J161" s="7">
        <f t="shared" si="63"/>
        <v>0</v>
      </c>
      <c r="K161" s="2"/>
      <c r="L161" s="6">
        <f t="shared" si="64"/>
        <v>0</v>
      </c>
      <c r="M161" s="2"/>
      <c r="N161" s="7">
        <f t="shared" si="65"/>
        <v>0</v>
      </c>
      <c r="O161" s="11"/>
      <c r="P161" s="6">
        <v>2820.22</v>
      </c>
      <c r="Q161" s="2"/>
      <c r="R161" s="7">
        <f t="shared" si="66"/>
        <v>7.5456626340716503E-4</v>
      </c>
      <c r="S161" s="2"/>
      <c r="T161" s="6"/>
      <c r="U161" s="2"/>
      <c r="V161" s="7">
        <f t="shared" si="67"/>
        <v>0</v>
      </c>
      <c r="W161" s="2"/>
      <c r="X161" s="6">
        <f t="shared" si="68"/>
        <v>2820.22</v>
      </c>
      <c r="Y161" s="2"/>
      <c r="Z161" s="7">
        <f t="shared" si="69"/>
        <v>0</v>
      </c>
    </row>
    <row r="162" spans="1:26" s="29" customFormat="1" outlineLevel="1" collapsed="1" x14ac:dyDescent="0.3">
      <c r="A162" s="27"/>
      <c r="B162" s="14" t="str">
        <f>CONCATENATE("     ","Employees' Appreciation                           ")</f>
        <v xml:space="preserve">     Employees' Appreciation                           </v>
      </c>
      <c r="C162" s="14"/>
      <c r="D162" s="1">
        <f>SUM(OSRRefD22_8x_0)</f>
        <v>949.16</v>
      </c>
      <c r="E162" s="1"/>
      <c r="F162" s="5">
        <f t="shared" si="62"/>
        <v>1.8585432346664797E-3</v>
      </c>
      <c r="G162" s="1"/>
      <c r="H162" s="1">
        <f>SUM(OSRRefH22_8x_0)</f>
        <v>0</v>
      </c>
      <c r="I162" s="1"/>
      <c r="J162" s="5">
        <f t="shared" si="63"/>
        <v>0</v>
      </c>
      <c r="K162" s="1"/>
      <c r="L162" s="1">
        <f t="shared" si="64"/>
        <v>949.16</v>
      </c>
      <c r="M162" s="1"/>
      <c r="N162" s="5">
        <f t="shared" si="65"/>
        <v>0</v>
      </c>
      <c r="O162" s="14"/>
      <c r="P162" s="1">
        <f>SUM(OSRRefP22_8x_0)</f>
        <v>2823.81</v>
      </c>
      <c r="Q162" s="1"/>
      <c r="R162" s="5">
        <f t="shared" si="66"/>
        <v>7.5552678878661476E-4</v>
      </c>
      <c r="S162" s="1"/>
      <c r="T162" s="1">
        <f>SUM(OSRRefT22_8x_0)</f>
        <v>107.7</v>
      </c>
      <c r="U162" s="1"/>
      <c r="V162" s="5">
        <f t="shared" si="67"/>
        <v>3.9871151690211246E-5</v>
      </c>
      <c r="W162" s="1"/>
      <c r="X162" s="1">
        <f t="shared" si="68"/>
        <v>2716.11</v>
      </c>
      <c r="Y162" s="1"/>
      <c r="Z162" s="5">
        <f t="shared" si="69"/>
        <v>25.219220055710306</v>
      </c>
    </row>
    <row r="163" spans="1:26" s="24" customFormat="1" hidden="1" outlineLevel="2" x14ac:dyDescent="0.3">
      <c r="A163" s="28"/>
      <c r="B163" s="11" t="str">
        <f>CONCATENATE("          ", "6277", " - ", "EMPLOYEE APPRECIATION")</f>
        <v xml:space="preserve">          6277 - EMPLOYEE APPRECIATION</v>
      </c>
      <c r="C163" s="11"/>
      <c r="D163" s="6">
        <v>949.16</v>
      </c>
      <c r="E163" s="2"/>
      <c r="F163" s="7">
        <f t="shared" si="62"/>
        <v>1.8585432346664797E-3</v>
      </c>
      <c r="G163" s="2"/>
      <c r="H163" s="6"/>
      <c r="I163" s="2"/>
      <c r="J163" s="7">
        <f t="shared" si="63"/>
        <v>0</v>
      </c>
      <c r="K163" s="2"/>
      <c r="L163" s="6">
        <f t="shared" si="64"/>
        <v>949.16</v>
      </c>
      <c r="M163" s="2"/>
      <c r="N163" s="7">
        <f t="shared" si="65"/>
        <v>0</v>
      </c>
      <c r="O163" s="11"/>
      <c r="P163" s="6">
        <v>2823.81</v>
      </c>
      <c r="Q163" s="2"/>
      <c r="R163" s="7">
        <f t="shared" si="66"/>
        <v>7.5552678878661476E-4</v>
      </c>
      <c r="S163" s="2"/>
      <c r="T163" s="6">
        <v>107.7</v>
      </c>
      <c r="U163" s="2"/>
      <c r="V163" s="7">
        <f t="shared" si="67"/>
        <v>3.9871151690211246E-5</v>
      </c>
      <c r="W163" s="2"/>
      <c r="X163" s="6">
        <f t="shared" si="68"/>
        <v>2716.11</v>
      </c>
      <c r="Y163" s="2"/>
      <c r="Z163" s="7">
        <f t="shared" si="69"/>
        <v>25.219220055710306</v>
      </c>
    </row>
    <row r="164" spans="1:26" s="29" customFormat="1" outlineLevel="1" collapsed="1" x14ac:dyDescent="0.3">
      <c r="A164" s="27"/>
      <c r="B164" s="14" t="str">
        <f>CONCATENATE("     ","Equipment Rental                                  ")</f>
        <v xml:space="preserve">     Equipment Rental                                  </v>
      </c>
      <c r="C164" s="14"/>
      <c r="D164" s="1">
        <f>SUM(OSRRefD22_9x_0)</f>
        <v>1537.07</v>
      </c>
      <c r="E164" s="1"/>
      <c r="F164" s="5">
        <f t="shared" si="62"/>
        <v>3.0097254938143262E-3</v>
      </c>
      <c r="G164" s="1"/>
      <c r="H164" s="1">
        <f>SUM(OSRRefH22_9x_0)</f>
        <v>1385.05</v>
      </c>
      <c r="I164" s="1"/>
      <c r="J164" s="5">
        <f t="shared" si="63"/>
        <v>5.9283468932774296E-3</v>
      </c>
      <c r="K164" s="1"/>
      <c r="L164" s="1">
        <f t="shared" si="64"/>
        <v>152.01999999999998</v>
      </c>
      <c r="M164" s="1"/>
      <c r="N164" s="5">
        <f t="shared" si="65"/>
        <v>0.10975777047760008</v>
      </c>
      <c r="O164" s="14"/>
      <c r="P164" s="1">
        <f>SUM(OSRRefP22_9x_0)</f>
        <v>9860.52</v>
      </c>
      <c r="Q164" s="1"/>
      <c r="R164" s="5">
        <f t="shared" si="66"/>
        <v>2.63823947481105E-3</v>
      </c>
      <c r="S164" s="1"/>
      <c r="T164" s="1">
        <f>SUM(OSRRefT22_9x_0)</f>
        <v>9064.89</v>
      </c>
      <c r="U164" s="1"/>
      <c r="V164" s="5">
        <f t="shared" si="67"/>
        <v>3.3558737627212534E-3</v>
      </c>
      <c r="W164" s="1"/>
      <c r="X164" s="1">
        <f t="shared" si="68"/>
        <v>795.63000000000102</v>
      </c>
      <c r="Y164" s="1"/>
      <c r="Z164" s="5">
        <f t="shared" si="69"/>
        <v>8.7770507970863526E-2</v>
      </c>
    </row>
    <row r="165" spans="1:26" s="24" customFormat="1" hidden="1" outlineLevel="2" x14ac:dyDescent="0.3">
      <c r="A165" s="28"/>
      <c r="B165" s="11" t="str">
        <f>CONCATENATE("          ", "6351", " - ", "EQUIPMENT RENTAL")</f>
        <v xml:space="preserve">          6351 - EQUIPMENT RENTAL</v>
      </c>
      <c r="C165" s="11"/>
      <c r="D165" s="6">
        <v>1537.07</v>
      </c>
      <c r="E165" s="2"/>
      <c r="F165" s="7">
        <f t="shared" si="62"/>
        <v>3.0097254938143262E-3</v>
      </c>
      <c r="G165" s="2"/>
      <c r="H165" s="6">
        <v>1385.05</v>
      </c>
      <c r="I165" s="2"/>
      <c r="J165" s="7">
        <f t="shared" si="63"/>
        <v>5.9283468932774296E-3</v>
      </c>
      <c r="K165" s="2"/>
      <c r="L165" s="6">
        <f t="shared" si="64"/>
        <v>152.01999999999998</v>
      </c>
      <c r="M165" s="2"/>
      <c r="N165" s="7">
        <f t="shared" si="65"/>
        <v>0.10975777047760008</v>
      </c>
      <c r="O165" s="11"/>
      <c r="P165" s="6">
        <v>9860.52</v>
      </c>
      <c r="Q165" s="2"/>
      <c r="R165" s="7">
        <f t="shared" si="66"/>
        <v>2.63823947481105E-3</v>
      </c>
      <c r="S165" s="2"/>
      <c r="T165" s="6">
        <v>9064.89</v>
      </c>
      <c r="U165" s="2"/>
      <c r="V165" s="7">
        <f t="shared" si="67"/>
        <v>3.3558737627212534E-3</v>
      </c>
      <c r="W165" s="2"/>
      <c r="X165" s="6">
        <f t="shared" si="68"/>
        <v>795.63000000000102</v>
      </c>
      <c r="Y165" s="2"/>
      <c r="Z165" s="7">
        <f t="shared" si="69"/>
        <v>8.7770507970863526E-2</v>
      </c>
    </row>
    <row r="166" spans="1:26" s="29" customFormat="1" outlineLevel="1" collapsed="1" x14ac:dyDescent="0.3">
      <c r="A166" s="27"/>
      <c r="B166" s="14" t="str">
        <f>CONCATENATE("     ","Freight out/Postage                               ")</f>
        <v xml:space="preserve">     Freight out/Postage                               </v>
      </c>
      <c r="C166" s="14"/>
      <c r="D166" s="1">
        <f>SUM(OSRRefD22_10x_0)</f>
        <v>-2180.9800000000014</v>
      </c>
      <c r="E166" s="1"/>
      <c r="F166" s="5">
        <f t="shared" si="62"/>
        <v>-4.2705609422467247E-3</v>
      </c>
      <c r="G166" s="1"/>
      <c r="H166" s="1">
        <f>SUM(OSRRefH22_10x_0)</f>
        <v>4309.8500000000004</v>
      </c>
      <c r="I166" s="1"/>
      <c r="J166" s="5">
        <f t="shared" si="63"/>
        <v>1.8447193861587476E-2</v>
      </c>
      <c r="K166" s="1"/>
      <c r="L166" s="1">
        <f t="shared" si="64"/>
        <v>-6490.8300000000017</v>
      </c>
      <c r="M166" s="1"/>
      <c r="N166" s="5">
        <f t="shared" si="65"/>
        <v>-1.5060454540181216</v>
      </c>
      <c r="O166" s="14"/>
      <c r="P166" s="1">
        <f>SUM(OSRRefP22_10x_0)</f>
        <v>-32167.210000000006</v>
      </c>
      <c r="Q166" s="1"/>
      <c r="R166" s="5">
        <f t="shared" si="66"/>
        <v>-8.6065241200805609E-3</v>
      </c>
      <c r="S166" s="1"/>
      <c r="T166" s="1">
        <f>SUM(OSRRefT22_10x_0)</f>
        <v>-14939.599999999991</v>
      </c>
      <c r="U166" s="1"/>
      <c r="V166" s="5">
        <f t="shared" si="67"/>
        <v>-5.5307247705764116E-3</v>
      </c>
      <c r="W166" s="1"/>
      <c r="X166" s="1">
        <f t="shared" si="68"/>
        <v>-17227.610000000015</v>
      </c>
      <c r="Y166" s="1"/>
      <c r="Z166" s="5">
        <f t="shared" si="69"/>
        <v>1.1531506867653769</v>
      </c>
    </row>
    <row r="167" spans="1:26" s="24" customFormat="1" hidden="1" outlineLevel="2" x14ac:dyDescent="0.3">
      <c r="A167" s="28"/>
      <c r="B167" s="11" t="str">
        <f>CONCATENATE("          ", "6305", " - ", "FREIGHT OUT")</f>
        <v xml:space="preserve">          6305 - FREIGHT OUT</v>
      </c>
      <c r="C167" s="11"/>
      <c r="D167" s="6">
        <v>12270.64</v>
      </c>
      <c r="E167" s="2"/>
      <c r="F167" s="7">
        <f t="shared" si="62"/>
        <v>2.4027050188617189E-2</v>
      </c>
      <c r="G167" s="2"/>
      <c r="H167" s="6">
        <v>13716.42</v>
      </c>
      <c r="I167" s="2"/>
      <c r="J167" s="7">
        <f t="shared" si="63"/>
        <v>5.8709574306984154E-2</v>
      </c>
      <c r="K167" s="2"/>
      <c r="L167" s="6">
        <f t="shared" si="64"/>
        <v>-1445.7800000000007</v>
      </c>
      <c r="M167" s="2"/>
      <c r="N167" s="7">
        <f t="shared" si="65"/>
        <v>-0.1054050546717001</v>
      </c>
      <c r="O167" s="11"/>
      <c r="P167" s="6">
        <v>78099.259999999995</v>
      </c>
      <c r="Q167" s="2"/>
      <c r="R167" s="7">
        <f t="shared" si="66"/>
        <v>2.0895911238507869E-2</v>
      </c>
      <c r="S167" s="2"/>
      <c r="T167" s="6">
        <v>116882.77</v>
      </c>
      <c r="U167" s="2"/>
      <c r="V167" s="7">
        <f t="shared" si="67"/>
        <v>4.3270665298440786E-2</v>
      </c>
      <c r="W167" s="2"/>
      <c r="X167" s="6">
        <f t="shared" si="68"/>
        <v>-38783.510000000009</v>
      </c>
      <c r="Y167" s="2"/>
      <c r="Z167" s="7">
        <f t="shared" si="69"/>
        <v>-0.33181545919899064</v>
      </c>
    </row>
    <row r="168" spans="1:26" s="24" customFormat="1" hidden="1" outlineLevel="2" x14ac:dyDescent="0.3">
      <c r="A168" s="28"/>
      <c r="B168" s="11" t="str">
        <f>CONCATENATE("          ", "6307", " - ", "POSTAGE")</f>
        <v xml:space="preserve">          6307 - POSTAGE</v>
      </c>
      <c r="C168" s="11"/>
      <c r="D168" s="6">
        <v>-14451.62</v>
      </c>
      <c r="E168" s="2"/>
      <c r="F168" s="7">
        <f t="shared" si="62"/>
        <v>-2.8297611130863914E-2</v>
      </c>
      <c r="G168" s="2"/>
      <c r="H168" s="6">
        <v>-9406.57</v>
      </c>
      <c r="I168" s="2"/>
      <c r="J168" s="7">
        <f t="shared" si="63"/>
        <v>-4.0262380445396678E-2</v>
      </c>
      <c r="K168" s="2"/>
      <c r="L168" s="6">
        <f t="shared" si="64"/>
        <v>-5045.0500000000011</v>
      </c>
      <c r="M168" s="2"/>
      <c r="N168" s="7">
        <f t="shared" si="65"/>
        <v>0.53633258456589394</v>
      </c>
      <c r="O168" s="11"/>
      <c r="P168" s="6">
        <v>-110266.47</v>
      </c>
      <c r="Q168" s="2"/>
      <c r="R168" s="7">
        <f t="shared" si="66"/>
        <v>-2.950243535858843E-2</v>
      </c>
      <c r="S168" s="2"/>
      <c r="T168" s="6">
        <v>-131822.37</v>
      </c>
      <c r="U168" s="2"/>
      <c r="V168" s="7">
        <f t="shared" si="67"/>
        <v>-4.8801390069017195E-2</v>
      </c>
      <c r="W168" s="2"/>
      <c r="X168" s="6">
        <f t="shared" si="68"/>
        <v>21555.899999999994</v>
      </c>
      <c r="Y168" s="2"/>
      <c r="Z168" s="7">
        <f t="shared" si="69"/>
        <v>-0.16352232174250847</v>
      </c>
    </row>
    <row r="169" spans="1:26" s="29" customFormat="1" outlineLevel="1" collapsed="1" x14ac:dyDescent="0.3">
      <c r="A169" s="27"/>
      <c r="B169" s="14" t="str">
        <f>CONCATENATE("     ","General                                           ")</f>
        <v xml:space="preserve">     General                                           </v>
      </c>
      <c r="C169" s="14"/>
      <c r="D169" s="1">
        <f>SUM(OSRRefD22_11x_0)</f>
        <v>1434.19</v>
      </c>
      <c r="E169" s="1"/>
      <c r="F169" s="5">
        <f t="shared" ref="F169:F177" si="70">IF(D$12=0,0,D169/D$12)</f>
        <v>2.8082769203572827E-3</v>
      </c>
      <c r="G169" s="1"/>
      <c r="H169" s="1">
        <f>SUM(OSRRefH22_11x_0)</f>
        <v>3030.85</v>
      </c>
      <c r="I169" s="1"/>
      <c r="J169" s="5">
        <f t="shared" ref="J169:J177" si="71">IF(H$12=0,0,H169/H$12)</f>
        <v>1.2972766457160317E-2</v>
      </c>
      <c r="K169" s="1"/>
      <c r="L169" s="1">
        <f t="shared" ref="L169:L177" si="72">+D169-H169</f>
        <v>-1596.6599999999999</v>
      </c>
      <c r="M169" s="1"/>
      <c r="N169" s="5">
        <f t="shared" ref="N169:N177" si="73">IF(H169=0,0,L169/H169)</f>
        <v>-0.52680271211046403</v>
      </c>
      <c r="O169" s="14"/>
      <c r="P169" s="1">
        <f>SUM(OSRRefP22_11x_0)</f>
        <v>6922.57</v>
      </c>
      <c r="Q169" s="1"/>
      <c r="R169" s="5">
        <f t="shared" ref="R169:R177" si="74">IF(P$12=0,0,P169/P$12)</f>
        <v>1.8521738651858855E-3</v>
      </c>
      <c r="S169" s="1"/>
      <c r="T169" s="1">
        <f>SUM(OSRRefT22_11x_0)</f>
        <v>5500.85</v>
      </c>
      <c r="U169" s="1"/>
      <c r="V169" s="5">
        <f t="shared" ref="V169:V177" si="75">IF(T$12=0,0,T169/T$12)</f>
        <v>2.0364459124893085E-3</v>
      </c>
      <c r="W169" s="1"/>
      <c r="X169" s="1">
        <f t="shared" ref="X169:X177" si="76">+P169-T169</f>
        <v>1421.7199999999993</v>
      </c>
      <c r="Y169" s="1"/>
      <c r="Z169" s="5">
        <f t="shared" ref="Z169:Z177" si="77">IF(T169=0,0,X169/T169)</f>
        <v>0.25845460247052715</v>
      </c>
    </row>
    <row r="170" spans="1:26" s="24" customFormat="1" hidden="1" outlineLevel="2" x14ac:dyDescent="0.3">
      <c r="A170" s="28"/>
      <c r="B170" s="11" t="str">
        <f>CONCATENATE("          ", "6279", " - ", "GENERAL EXPENSE")</f>
        <v xml:space="preserve">          6279 - GENERAL EXPENSE</v>
      </c>
      <c r="C170" s="11"/>
      <c r="D170" s="6">
        <v>1434.19</v>
      </c>
      <c r="E170" s="2"/>
      <c r="F170" s="7">
        <f t="shared" si="70"/>
        <v>2.8082769203572827E-3</v>
      </c>
      <c r="G170" s="2"/>
      <c r="H170" s="6">
        <v>3030.85</v>
      </c>
      <c r="I170" s="2"/>
      <c r="J170" s="7">
        <f t="shared" si="71"/>
        <v>1.2972766457160317E-2</v>
      </c>
      <c r="K170" s="2"/>
      <c r="L170" s="6">
        <f t="shared" si="72"/>
        <v>-1596.6599999999999</v>
      </c>
      <c r="M170" s="2"/>
      <c r="N170" s="7">
        <f t="shared" si="73"/>
        <v>-0.52680271211046403</v>
      </c>
      <c r="O170" s="11"/>
      <c r="P170" s="6">
        <v>6922.57</v>
      </c>
      <c r="Q170" s="2"/>
      <c r="R170" s="7">
        <f t="shared" si="74"/>
        <v>1.8521738651858855E-3</v>
      </c>
      <c r="S170" s="2"/>
      <c r="T170" s="6">
        <v>5500.85</v>
      </c>
      <c r="U170" s="2"/>
      <c r="V170" s="7">
        <f t="shared" si="75"/>
        <v>2.0364459124893085E-3</v>
      </c>
      <c r="W170" s="2"/>
      <c r="X170" s="6">
        <f t="shared" si="76"/>
        <v>1421.7199999999993</v>
      </c>
      <c r="Y170" s="2"/>
      <c r="Z170" s="7">
        <f t="shared" si="77"/>
        <v>0.25845460247052715</v>
      </c>
    </row>
    <row r="171" spans="1:26" s="29" customFormat="1" outlineLevel="1" collapsed="1" x14ac:dyDescent="0.3">
      <c r="A171" s="27"/>
      <c r="B171" s="14" t="str">
        <f>CONCATENATE("     ","Insurance                                         ")</f>
        <v xml:space="preserve">     Insurance                                         </v>
      </c>
      <c r="C171" s="14"/>
      <c r="D171" s="1">
        <f>SUM(OSRRefD22_12x_0)</f>
        <v>5825.58</v>
      </c>
      <c r="E171" s="1"/>
      <c r="F171" s="5">
        <f t="shared" si="70"/>
        <v>1.1407025472005089E-2</v>
      </c>
      <c r="G171" s="1"/>
      <c r="H171" s="1">
        <f>SUM(OSRRefH22_12x_0)</f>
        <v>4288.28</v>
      </c>
      <c r="I171" s="1"/>
      <c r="J171" s="5">
        <f t="shared" si="71"/>
        <v>1.8354869077292325E-2</v>
      </c>
      <c r="K171" s="1"/>
      <c r="L171" s="1">
        <f t="shared" si="72"/>
        <v>1537.3000000000002</v>
      </c>
      <c r="M171" s="1"/>
      <c r="N171" s="5">
        <f t="shared" si="73"/>
        <v>0.35848871808743837</v>
      </c>
      <c r="O171" s="14"/>
      <c r="P171" s="1">
        <f>SUM(OSRRefP22_12x_0)</f>
        <v>34953.480000000003</v>
      </c>
      <c r="Q171" s="1"/>
      <c r="R171" s="5">
        <f t="shared" si="74"/>
        <v>9.3520068635344327E-3</v>
      </c>
      <c r="S171" s="1"/>
      <c r="T171" s="1">
        <f>SUM(OSRRefT22_12x_0)</f>
        <v>25729.68</v>
      </c>
      <c r="U171" s="1"/>
      <c r="V171" s="5">
        <f t="shared" si="75"/>
        <v>9.5252736696434023E-3</v>
      </c>
      <c r="W171" s="1"/>
      <c r="X171" s="1">
        <f t="shared" si="76"/>
        <v>9223.8000000000029</v>
      </c>
      <c r="Y171" s="1"/>
      <c r="Z171" s="5">
        <f t="shared" si="77"/>
        <v>0.35848871808743843</v>
      </c>
    </row>
    <row r="172" spans="1:26" s="24" customFormat="1" hidden="1" outlineLevel="2" x14ac:dyDescent="0.3">
      <c r="A172" s="28"/>
      <c r="B172" s="11" t="str">
        <f>CONCATENATE("          ", "6314", " - ", "LIABILITY INSURANCE")</f>
        <v xml:space="preserve">          6314 - LIABILITY INSURANCE</v>
      </c>
      <c r="C172" s="11"/>
      <c r="D172" s="6">
        <v>5825.58</v>
      </c>
      <c r="E172" s="2"/>
      <c r="F172" s="7">
        <f t="shared" si="70"/>
        <v>1.1407025472005089E-2</v>
      </c>
      <c r="G172" s="2"/>
      <c r="H172" s="6">
        <v>4288.28</v>
      </c>
      <c r="I172" s="2"/>
      <c r="J172" s="7">
        <f t="shared" si="71"/>
        <v>1.8354869077292325E-2</v>
      </c>
      <c r="K172" s="2"/>
      <c r="L172" s="6">
        <f t="shared" si="72"/>
        <v>1537.3000000000002</v>
      </c>
      <c r="M172" s="2"/>
      <c r="N172" s="7">
        <f t="shared" si="73"/>
        <v>0.35848871808743837</v>
      </c>
      <c r="O172" s="11"/>
      <c r="P172" s="6">
        <v>34953.480000000003</v>
      </c>
      <c r="Q172" s="2"/>
      <c r="R172" s="7">
        <f t="shared" si="74"/>
        <v>9.3520068635344327E-3</v>
      </c>
      <c r="S172" s="2"/>
      <c r="T172" s="6">
        <v>25729.68</v>
      </c>
      <c r="U172" s="2"/>
      <c r="V172" s="7">
        <f t="shared" si="75"/>
        <v>9.5252736696434023E-3</v>
      </c>
      <c r="W172" s="2"/>
      <c r="X172" s="6">
        <f t="shared" si="76"/>
        <v>9223.8000000000029</v>
      </c>
      <c r="Y172" s="2"/>
      <c r="Z172" s="7">
        <f t="shared" si="77"/>
        <v>0.35848871808743843</v>
      </c>
    </row>
    <row r="173" spans="1:26" s="29" customFormat="1" outlineLevel="1" collapsed="1" x14ac:dyDescent="0.3">
      <c r="A173" s="27"/>
      <c r="B173" s="14" t="str">
        <f>CONCATENATE("     ","Interest                                          ")</f>
        <v xml:space="preserve">     Interest                                          </v>
      </c>
      <c r="C173" s="14"/>
      <c r="D173" s="1">
        <f>SUM(OSRRefD22_13x_0)</f>
        <v>3905</v>
      </c>
      <c r="E173" s="1"/>
      <c r="F173" s="5">
        <f t="shared" si="70"/>
        <v>7.6463518599315218E-3</v>
      </c>
      <c r="G173" s="1"/>
      <c r="H173" s="1">
        <f>SUM(OSRRefH22_13x_0)</f>
        <v>4044</v>
      </c>
      <c r="I173" s="1"/>
      <c r="J173" s="5">
        <f t="shared" si="71"/>
        <v>1.7309291965209868E-2</v>
      </c>
      <c r="K173" s="1"/>
      <c r="L173" s="1">
        <f t="shared" si="72"/>
        <v>-139</v>
      </c>
      <c r="M173" s="1"/>
      <c r="N173" s="5">
        <f t="shared" si="73"/>
        <v>-3.4371909000989118E-2</v>
      </c>
      <c r="O173" s="14"/>
      <c r="P173" s="1">
        <f>SUM(OSRRefP22_13x_0)</f>
        <v>23154</v>
      </c>
      <c r="Q173" s="1"/>
      <c r="R173" s="5">
        <f t="shared" si="74"/>
        <v>6.1949873637267656E-3</v>
      </c>
      <c r="S173" s="1"/>
      <c r="T173" s="1">
        <f>SUM(OSRRefT22_13x_0)</f>
        <v>24001.85</v>
      </c>
      <c r="U173" s="1"/>
      <c r="V173" s="5">
        <f t="shared" si="75"/>
        <v>8.8856211903035904E-3</v>
      </c>
      <c r="W173" s="1"/>
      <c r="X173" s="1">
        <f t="shared" si="76"/>
        <v>-847.84999999999854</v>
      </c>
      <c r="Y173" s="1"/>
      <c r="Z173" s="5">
        <f t="shared" si="77"/>
        <v>-3.5324360413884703E-2</v>
      </c>
    </row>
    <row r="174" spans="1:26" s="24" customFormat="1" hidden="1" outlineLevel="2" x14ac:dyDescent="0.3">
      <c r="A174" s="28"/>
      <c r="B174" s="11" t="str">
        <f>CONCATENATE("          ", "6401", " - ", "INTEREST EXPENSE")</f>
        <v xml:space="preserve">          6401 - INTEREST EXPENSE</v>
      </c>
      <c r="C174" s="11"/>
      <c r="D174" s="6">
        <v>3905</v>
      </c>
      <c r="E174" s="2"/>
      <c r="F174" s="7">
        <f t="shared" si="70"/>
        <v>7.6463518599315218E-3</v>
      </c>
      <c r="G174" s="2"/>
      <c r="H174" s="6">
        <v>4044</v>
      </c>
      <c r="I174" s="2"/>
      <c r="J174" s="7">
        <f t="shared" si="71"/>
        <v>1.7309291965209868E-2</v>
      </c>
      <c r="K174" s="2"/>
      <c r="L174" s="6">
        <f t="shared" si="72"/>
        <v>-139</v>
      </c>
      <c r="M174" s="2"/>
      <c r="N174" s="7">
        <f t="shared" si="73"/>
        <v>-3.4371909000989118E-2</v>
      </c>
      <c r="O174" s="11"/>
      <c r="P174" s="6">
        <v>23154</v>
      </c>
      <c r="Q174" s="2"/>
      <c r="R174" s="7">
        <f t="shared" si="74"/>
        <v>6.1949873637267656E-3</v>
      </c>
      <c r="S174" s="2"/>
      <c r="T174" s="6">
        <v>24001.85</v>
      </c>
      <c r="U174" s="2"/>
      <c r="V174" s="7">
        <f t="shared" si="75"/>
        <v>8.8856211903035904E-3</v>
      </c>
      <c r="W174" s="2"/>
      <c r="X174" s="6">
        <f t="shared" si="76"/>
        <v>-847.84999999999854</v>
      </c>
      <c r="Y174" s="2"/>
      <c r="Z174" s="7">
        <f t="shared" si="77"/>
        <v>-3.5324360413884703E-2</v>
      </c>
    </row>
    <row r="175" spans="1:26" s="29" customFormat="1" outlineLevel="1" collapsed="1" x14ac:dyDescent="0.3">
      <c r="A175" s="27"/>
      <c r="B175" s="14" t="str">
        <f>CONCATENATE("     ","Inventory Adjustment                              ")</f>
        <v xml:space="preserve">     Inventory Adjustment                              </v>
      </c>
      <c r="C175" s="14"/>
      <c r="D175" s="1">
        <f>SUM(OSRRefD22_14x_0)</f>
        <v>9100</v>
      </c>
      <c r="E175" s="1"/>
      <c r="F175" s="5">
        <f t="shared" si="70"/>
        <v>1.7818643258739268E-2</v>
      </c>
      <c r="G175" s="1"/>
      <c r="H175" s="1">
        <f>SUM(OSRRefH22_14x_0)</f>
        <v>7100</v>
      </c>
      <c r="I175" s="1"/>
      <c r="J175" s="5">
        <f t="shared" si="71"/>
        <v>3.0389706467109312E-2</v>
      </c>
      <c r="K175" s="1"/>
      <c r="L175" s="1">
        <f t="shared" si="72"/>
        <v>2000</v>
      </c>
      <c r="M175" s="1"/>
      <c r="N175" s="5">
        <f t="shared" si="73"/>
        <v>0.28169014084507044</v>
      </c>
      <c r="O175" s="14"/>
      <c r="P175" s="1">
        <f>SUM(OSRRefP22_14x_0)</f>
        <v>34600</v>
      </c>
      <c r="Q175" s="1"/>
      <c r="R175" s="5">
        <f t="shared" si="74"/>
        <v>9.2574312336937935E-3</v>
      </c>
      <c r="S175" s="1"/>
      <c r="T175" s="1">
        <f>SUM(OSRRefT22_14x_0)</f>
        <v>17600</v>
      </c>
      <c r="U175" s="1"/>
      <c r="V175" s="5">
        <f t="shared" si="75"/>
        <v>6.5156199605173439E-3</v>
      </c>
      <c r="W175" s="1"/>
      <c r="X175" s="1">
        <f t="shared" si="76"/>
        <v>17000</v>
      </c>
      <c r="Y175" s="1"/>
      <c r="Z175" s="5">
        <f t="shared" si="77"/>
        <v>0.96590909090909094</v>
      </c>
    </row>
    <row r="176" spans="1:26" s="24" customFormat="1" hidden="1" outlineLevel="2" x14ac:dyDescent="0.3">
      <c r="A176" s="28"/>
      <c r="B176" s="11" t="str">
        <f>CONCATENATE("          ", "6408", " - ", "INVENTORY ADJUSTMENT")</f>
        <v xml:space="preserve">          6408 - INVENTORY ADJUSTMENT</v>
      </c>
      <c r="C176" s="11"/>
      <c r="D176" s="6">
        <v>9100</v>
      </c>
      <c r="E176" s="2"/>
      <c r="F176" s="7">
        <f t="shared" si="70"/>
        <v>1.7818643258739268E-2</v>
      </c>
      <c r="G176" s="2"/>
      <c r="H176" s="6">
        <v>7100</v>
      </c>
      <c r="I176" s="2"/>
      <c r="J176" s="7">
        <f t="shared" si="71"/>
        <v>3.0389706467109312E-2</v>
      </c>
      <c r="K176" s="2"/>
      <c r="L176" s="6">
        <f t="shared" si="72"/>
        <v>2000</v>
      </c>
      <c r="M176" s="2"/>
      <c r="N176" s="7">
        <f t="shared" si="73"/>
        <v>0.28169014084507044</v>
      </c>
      <c r="O176" s="11"/>
      <c r="P176" s="6">
        <v>34600</v>
      </c>
      <c r="Q176" s="2"/>
      <c r="R176" s="7">
        <f t="shared" si="74"/>
        <v>9.2574312336937935E-3</v>
      </c>
      <c r="S176" s="2"/>
      <c r="T176" s="6">
        <v>17600</v>
      </c>
      <c r="U176" s="2"/>
      <c r="V176" s="7">
        <f t="shared" si="75"/>
        <v>6.5156199605173439E-3</v>
      </c>
      <c r="W176" s="2"/>
      <c r="X176" s="6">
        <f t="shared" si="76"/>
        <v>17000</v>
      </c>
      <c r="Y176" s="2"/>
      <c r="Z176" s="7">
        <f t="shared" si="77"/>
        <v>0.96590909090909094</v>
      </c>
    </row>
    <row r="177" spans="1:26" s="24" customFormat="1" hidden="1" outlineLevel="2" x14ac:dyDescent="0.3">
      <c r="A177" s="28"/>
      <c r="B177" s="11" t="str">
        <f>CONCATENATE("          ", "7741", " - ", "INV. SHRINKAGE-LOGO GIFTS")</f>
        <v xml:space="preserve">          7741 - INV. SHRINKAGE-LOGO GIFTS</v>
      </c>
      <c r="C177" s="11"/>
      <c r="D177" s="6"/>
      <c r="E177" s="2"/>
      <c r="F177" s="7">
        <f t="shared" si="70"/>
        <v>0</v>
      </c>
      <c r="G177" s="2"/>
      <c r="H177" s="6"/>
      <c r="I177" s="2"/>
      <c r="J177" s="7">
        <f t="shared" si="71"/>
        <v>0</v>
      </c>
      <c r="K177" s="2"/>
      <c r="L177" s="6">
        <f t="shared" si="72"/>
        <v>0</v>
      </c>
      <c r="M177" s="2"/>
      <c r="N177" s="7">
        <f t="shared" si="73"/>
        <v>0</v>
      </c>
      <c r="O177" s="11"/>
      <c r="P177" s="6"/>
      <c r="Q177" s="2"/>
      <c r="R177" s="7">
        <f t="shared" si="74"/>
        <v>0</v>
      </c>
      <c r="S177" s="2"/>
      <c r="T177" s="6">
        <v>0</v>
      </c>
      <c r="U177" s="2"/>
      <c r="V177" s="7">
        <f t="shared" si="75"/>
        <v>0</v>
      </c>
      <c r="W177" s="2"/>
      <c r="X177" s="6">
        <f t="shared" si="76"/>
        <v>0</v>
      </c>
      <c r="Y177" s="2"/>
      <c r="Z177" s="7">
        <f t="shared" si="77"/>
        <v>0</v>
      </c>
    </row>
    <row r="178" spans="1:26" s="29" customFormat="1" outlineLevel="1" collapsed="1" x14ac:dyDescent="0.3">
      <c r="A178" s="27"/>
      <c r="B178" s="14" t="str">
        <f>CONCATENATE("     ","Professional Services                             ")</f>
        <v xml:space="preserve">     Professional Services                             </v>
      </c>
      <c r="C178" s="14"/>
      <c r="D178" s="1">
        <f>SUM(OSRRefD22_15x_0)</f>
        <v>0</v>
      </c>
      <c r="E178" s="1"/>
      <c r="F178" s="5">
        <f t="shared" ref="F178:F186" si="78">IF(D$12=0,0,D178/D$12)</f>
        <v>0</v>
      </c>
      <c r="G178" s="1"/>
      <c r="H178" s="1">
        <f>SUM(OSRRefH22_15x_0)</f>
        <v>0</v>
      </c>
      <c r="I178" s="1"/>
      <c r="J178" s="5">
        <f t="shared" ref="J178:J186" si="79">IF(H$12=0,0,H178/H$12)</f>
        <v>0</v>
      </c>
      <c r="K178" s="1"/>
      <c r="L178" s="1">
        <f t="shared" ref="L178:L186" si="80">+D178-H178</f>
        <v>0</v>
      </c>
      <c r="M178" s="1"/>
      <c r="N178" s="5">
        <f t="shared" ref="N178:N186" si="81">IF(H178=0,0,L178/H178)</f>
        <v>0</v>
      </c>
      <c r="O178" s="14"/>
      <c r="P178" s="1">
        <f>SUM(OSRRefP22_15x_0)</f>
        <v>8186.53</v>
      </c>
      <c r="Q178" s="1"/>
      <c r="R178" s="5">
        <f t="shared" ref="R178:R186" si="82">IF(P$12=0,0,P178/P$12)</f>
        <v>2.1903537143806722E-3</v>
      </c>
      <c r="S178" s="1"/>
      <c r="T178" s="1">
        <f>SUM(OSRRefT22_15x_0)</f>
        <v>0</v>
      </c>
      <c r="U178" s="1"/>
      <c r="V178" s="5">
        <f t="shared" ref="V178:V186" si="83">IF(T$12=0,0,T178/T$12)</f>
        <v>0</v>
      </c>
      <c r="W178" s="1"/>
      <c r="X178" s="1">
        <f t="shared" ref="X178:X186" si="84">+P178-T178</f>
        <v>8186.53</v>
      </c>
      <c r="Y178" s="1"/>
      <c r="Z178" s="5">
        <f t="shared" ref="Z178:Z186" si="85">IF(T178=0,0,X178/T178)</f>
        <v>0</v>
      </c>
    </row>
    <row r="179" spans="1:26" s="24" customFormat="1" hidden="1" outlineLevel="2" x14ac:dyDescent="0.3">
      <c r="A179" s="28"/>
      <c r="B179" s="11" t="str">
        <f>CONCATENATE("          ", "6336", " - ", "PROFESSIONAL SERVICES")</f>
        <v xml:space="preserve">          6336 - PROFESSIONAL SERVICES</v>
      </c>
      <c r="C179" s="11"/>
      <c r="D179" s="6"/>
      <c r="E179" s="2"/>
      <c r="F179" s="7">
        <f t="shared" si="78"/>
        <v>0</v>
      </c>
      <c r="G179" s="2"/>
      <c r="H179" s="6"/>
      <c r="I179" s="2"/>
      <c r="J179" s="7">
        <f t="shared" si="79"/>
        <v>0</v>
      </c>
      <c r="K179" s="2"/>
      <c r="L179" s="6">
        <f t="shared" si="80"/>
        <v>0</v>
      </c>
      <c r="M179" s="2"/>
      <c r="N179" s="7">
        <f t="shared" si="81"/>
        <v>0</v>
      </c>
      <c r="O179" s="11"/>
      <c r="P179" s="6">
        <v>8186.53</v>
      </c>
      <c r="Q179" s="2"/>
      <c r="R179" s="7">
        <f t="shared" si="82"/>
        <v>2.1903537143806722E-3</v>
      </c>
      <c r="S179" s="2"/>
      <c r="T179" s="6"/>
      <c r="U179" s="2"/>
      <c r="V179" s="7">
        <f t="shared" si="83"/>
        <v>0</v>
      </c>
      <c r="W179" s="2"/>
      <c r="X179" s="6">
        <f t="shared" si="84"/>
        <v>8186.53</v>
      </c>
      <c r="Y179" s="2"/>
      <c r="Z179" s="7">
        <f t="shared" si="85"/>
        <v>0</v>
      </c>
    </row>
    <row r="180" spans="1:26" s="29" customFormat="1" outlineLevel="1" collapsed="1" x14ac:dyDescent="0.3">
      <c r="A180" s="27"/>
      <c r="B180" s="14" t="str">
        <f>CONCATENATE("     ","Rent                                              ")</f>
        <v xml:space="preserve">     Rent                                              </v>
      </c>
      <c r="C180" s="14"/>
      <c r="D180" s="1">
        <f>SUM(OSRRefD22_16x_0)</f>
        <v>6100</v>
      </c>
      <c r="E180" s="1"/>
      <c r="F180" s="5">
        <f t="shared" si="78"/>
        <v>1.1944365261352697E-2</v>
      </c>
      <c r="G180" s="1"/>
      <c r="H180" s="1">
        <f>SUM(OSRRefH22_16x_0)</f>
        <v>6100</v>
      </c>
      <c r="I180" s="1"/>
      <c r="J180" s="5">
        <f t="shared" si="79"/>
        <v>2.6109466119629127E-2</v>
      </c>
      <c r="K180" s="1"/>
      <c r="L180" s="1">
        <f t="shared" si="80"/>
        <v>0</v>
      </c>
      <c r="M180" s="1"/>
      <c r="N180" s="5">
        <f t="shared" si="81"/>
        <v>0</v>
      </c>
      <c r="O180" s="14"/>
      <c r="P180" s="1">
        <f>SUM(OSRRefP22_16x_0)</f>
        <v>36600</v>
      </c>
      <c r="Q180" s="1"/>
      <c r="R180" s="5">
        <f t="shared" si="82"/>
        <v>9.792542865699215E-3</v>
      </c>
      <c r="S180" s="1"/>
      <c r="T180" s="1">
        <f>SUM(OSRRefT22_16x_0)</f>
        <v>36600</v>
      </c>
      <c r="U180" s="1"/>
      <c r="V180" s="5">
        <f t="shared" si="83"/>
        <v>1.3549527872439475E-2</v>
      </c>
      <c r="W180" s="1"/>
      <c r="X180" s="1">
        <f t="shared" si="84"/>
        <v>0</v>
      </c>
      <c r="Y180" s="1"/>
      <c r="Z180" s="5">
        <f t="shared" si="85"/>
        <v>0</v>
      </c>
    </row>
    <row r="181" spans="1:26" s="24" customFormat="1" hidden="1" outlineLevel="2" x14ac:dyDescent="0.3">
      <c r="A181" s="28"/>
      <c r="B181" s="11" t="str">
        <f>CONCATENATE("          ", "6273", " - ", "RENT")</f>
        <v xml:space="preserve">          6273 - RENT</v>
      </c>
      <c r="C181" s="11"/>
      <c r="D181" s="6">
        <v>6100</v>
      </c>
      <c r="E181" s="2"/>
      <c r="F181" s="7">
        <f t="shared" si="78"/>
        <v>1.1944365261352697E-2</v>
      </c>
      <c r="G181" s="2"/>
      <c r="H181" s="6">
        <v>6100</v>
      </c>
      <c r="I181" s="2"/>
      <c r="J181" s="7">
        <f t="shared" si="79"/>
        <v>2.6109466119629127E-2</v>
      </c>
      <c r="K181" s="2"/>
      <c r="L181" s="6">
        <f t="shared" si="80"/>
        <v>0</v>
      </c>
      <c r="M181" s="2"/>
      <c r="N181" s="7">
        <f t="shared" si="81"/>
        <v>0</v>
      </c>
      <c r="O181" s="11"/>
      <c r="P181" s="6">
        <v>36600</v>
      </c>
      <c r="Q181" s="2"/>
      <c r="R181" s="7">
        <f t="shared" si="82"/>
        <v>9.792542865699215E-3</v>
      </c>
      <c r="S181" s="2"/>
      <c r="T181" s="6">
        <v>36600</v>
      </c>
      <c r="U181" s="2"/>
      <c r="V181" s="7">
        <f t="shared" si="83"/>
        <v>1.3549527872439475E-2</v>
      </c>
      <c r="W181" s="2"/>
      <c r="X181" s="6">
        <f t="shared" si="84"/>
        <v>0</v>
      </c>
      <c r="Y181" s="2"/>
      <c r="Z181" s="7">
        <f t="shared" si="85"/>
        <v>0</v>
      </c>
    </row>
    <row r="182" spans="1:26" s="29" customFormat="1" outlineLevel="1" collapsed="1" x14ac:dyDescent="0.3">
      <c r="A182" s="27"/>
      <c r="B182" s="14" t="str">
        <f>CONCATENATE("     ","Repair and Maintenance                            ")</f>
        <v xml:space="preserve">     Repair and Maintenance                            </v>
      </c>
      <c r="C182" s="14"/>
      <c r="D182" s="1">
        <f>SUM(OSRRefD22_17x_0)</f>
        <v>7625.57</v>
      </c>
      <c r="E182" s="1"/>
      <c r="F182" s="5">
        <f t="shared" si="78"/>
        <v>1.4931572689510375E-2</v>
      </c>
      <c r="G182" s="1"/>
      <c r="H182" s="1">
        <f>SUM(OSRRefH22_17x_0)</f>
        <v>8252.6200000000008</v>
      </c>
      <c r="I182" s="1"/>
      <c r="J182" s="5">
        <f t="shared" si="79"/>
        <v>3.5323197096421927E-2</v>
      </c>
      <c r="K182" s="1"/>
      <c r="L182" s="1">
        <f t="shared" si="80"/>
        <v>-627.05000000000109</v>
      </c>
      <c r="M182" s="1"/>
      <c r="N182" s="5">
        <f t="shared" si="81"/>
        <v>-7.5981930586892524E-2</v>
      </c>
      <c r="O182" s="14"/>
      <c r="P182" s="1">
        <f>SUM(OSRRefP22_17x_0)</f>
        <v>100785.87</v>
      </c>
      <c r="Q182" s="1"/>
      <c r="R182" s="5">
        <f t="shared" si="82"/>
        <v>2.6965845689393128E-2</v>
      </c>
      <c r="S182" s="1"/>
      <c r="T182" s="1">
        <f>SUM(OSRRefT22_17x_0)</f>
        <v>111422.17</v>
      </c>
      <c r="U182" s="1"/>
      <c r="V182" s="5">
        <f t="shared" si="83"/>
        <v>4.1249120164554356E-2</v>
      </c>
      <c r="W182" s="1"/>
      <c r="X182" s="1">
        <f t="shared" si="84"/>
        <v>-10636.300000000003</v>
      </c>
      <c r="Y182" s="1"/>
      <c r="Z182" s="5">
        <f t="shared" si="85"/>
        <v>-9.5459458382474535E-2</v>
      </c>
    </row>
    <row r="183" spans="1:26" s="24" customFormat="1" hidden="1" outlineLevel="2" x14ac:dyDescent="0.3">
      <c r="A183" s="28"/>
      <c r="B183" s="11" t="str">
        <f>CONCATENATE("          ", "6371", " - ", "COMPUTER SOFTWARE MAINTENANCE")</f>
        <v xml:space="preserve">          6371 - COMPUTER SOFTWARE MAINTENANCE</v>
      </c>
      <c r="C183" s="11"/>
      <c r="D183" s="6"/>
      <c r="E183" s="2"/>
      <c r="F183" s="7">
        <f t="shared" si="78"/>
        <v>0</v>
      </c>
      <c r="G183" s="2"/>
      <c r="H183" s="6"/>
      <c r="I183" s="2"/>
      <c r="J183" s="7">
        <f t="shared" si="79"/>
        <v>0</v>
      </c>
      <c r="K183" s="2"/>
      <c r="L183" s="6">
        <f t="shared" si="80"/>
        <v>0</v>
      </c>
      <c r="M183" s="2"/>
      <c r="N183" s="7">
        <f t="shared" si="81"/>
        <v>0</v>
      </c>
      <c r="O183" s="11"/>
      <c r="P183" s="6">
        <v>62511</v>
      </c>
      <c r="Q183" s="2"/>
      <c r="R183" s="7">
        <f t="shared" si="82"/>
        <v>1.6725181614145455E-2</v>
      </c>
      <c r="S183" s="2"/>
      <c r="T183" s="6">
        <v>58436.47</v>
      </c>
      <c r="U183" s="2"/>
      <c r="V183" s="7">
        <f t="shared" si="83"/>
        <v>2.163351308830528E-2</v>
      </c>
      <c r="W183" s="2"/>
      <c r="X183" s="6">
        <f t="shared" si="84"/>
        <v>4074.5299999999988</v>
      </c>
      <c r="Y183" s="2"/>
      <c r="Z183" s="7">
        <f t="shared" si="85"/>
        <v>6.972580650405473E-2</v>
      </c>
    </row>
    <row r="184" spans="1:26" s="24" customFormat="1" hidden="1" outlineLevel="2" x14ac:dyDescent="0.3">
      <c r="A184" s="28"/>
      <c r="B184" s="11" t="str">
        <f>CONCATENATE("          ", "6372", " - ", "COMPUTER HARDWARE MAINTENANCE")</f>
        <v xml:space="preserve">          6372 - COMPUTER HARDWARE MAINTENANCE</v>
      </c>
      <c r="C184" s="11"/>
      <c r="D184" s="6"/>
      <c r="E184" s="2"/>
      <c r="F184" s="7">
        <f t="shared" si="78"/>
        <v>0</v>
      </c>
      <c r="G184" s="2"/>
      <c r="H184" s="6"/>
      <c r="I184" s="2"/>
      <c r="J184" s="7">
        <f t="shared" si="79"/>
        <v>0</v>
      </c>
      <c r="K184" s="2"/>
      <c r="L184" s="6">
        <f t="shared" si="80"/>
        <v>0</v>
      </c>
      <c r="M184" s="2"/>
      <c r="N184" s="7">
        <f t="shared" si="81"/>
        <v>0</v>
      </c>
      <c r="O184" s="11"/>
      <c r="P184" s="6"/>
      <c r="Q184" s="2"/>
      <c r="R184" s="7">
        <f t="shared" si="82"/>
        <v>0</v>
      </c>
      <c r="S184" s="2"/>
      <c r="T184" s="6">
        <v>0</v>
      </c>
      <c r="U184" s="2"/>
      <c r="V184" s="7">
        <f t="shared" si="83"/>
        <v>0</v>
      </c>
      <c r="W184" s="2"/>
      <c r="X184" s="6">
        <f t="shared" si="84"/>
        <v>0</v>
      </c>
      <c r="Y184" s="2"/>
      <c r="Z184" s="7">
        <f t="shared" si="85"/>
        <v>0</v>
      </c>
    </row>
    <row r="185" spans="1:26" s="24" customFormat="1" hidden="1" outlineLevel="2" x14ac:dyDescent="0.3">
      <c r="A185" s="28"/>
      <c r="B185" s="11" t="str">
        <f>CONCATENATE("          ", "6373", " - ", "MAINTENANCE CONTRACTS")</f>
        <v xml:space="preserve">          6373 - MAINTENANCE CONTRACTS</v>
      </c>
      <c r="C185" s="11"/>
      <c r="D185" s="6">
        <v>2850.59</v>
      </c>
      <c r="E185" s="2"/>
      <c r="F185" s="7">
        <f t="shared" si="78"/>
        <v>5.5817193721900632E-3</v>
      </c>
      <c r="G185" s="2"/>
      <c r="H185" s="6">
        <v>8207.6200000000008</v>
      </c>
      <c r="I185" s="2"/>
      <c r="J185" s="7">
        <f t="shared" si="79"/>
        <v>3.5130586280785317E-2</v>
      </c>
      <c r="K185" s="2"/>
      <c r="L185" s="6">
        <f t="shared" si="80"/>
        <v>-5357.0300000000007</v>
      </c>
      <c r="M185" s="2"/>
      <c r="N185" s="7">
        <f t="shared" si="81"/>
        <v>-0.6526898175110446</v>
      </c>
      <c r="O185" s="11"/>
      <c r="P185" s="6">
        <v>15300.17</v>
      </c>
      <c r="Q185" s="2"/>
      <c r="R185" s="7">
        <f t="shared" si="82"/>
        <v>4.0936494693301958E-3</v>
      </c>
      <c r="S185" s="2"/>
      <c r="T185" s="6">
        <v>39888.78</v>
      </c>
      <c r="U185" s="2"/>
      <c r="V185" s="7">
        <f t="shared" si="83"/>
        <v>1.4767052907311647E-2</v>
      </c>
      <c r="W185" s="2"/>
      <c r="X185" s="6">
        <f t="shared" si="84"/>
        <v>-24588.61</v>
      </c>
      <c r="Y185" s="2"/>
      <c r="Z185" s="7">
        <f t="shared" si="85"/>
        <v>-0.61642923147812501</v>
      </c>
    </row>
    <row r="186" spans="1:26" s="24" customFormat="1" hidden="1" outlineLevel="2" x14ac:dyDescent="0.3">
      <c r="A186" s="28"/>
      <c r="B186" s="11" t="str">
        <f>CONCATENATE("          ", "6375", " - ", "OUTSIDE REPAIRS &amp; MAINTENANCE")</f>
        <v xml:space="preserve">          6375 - OUTSIDE REPAIRS &amp; MAINTENANCE</v>
      </c>
      <c r="C186" s="11"/>
      <c r="D186" s="6">
        <v>4774.9799999999996</v>
      </c>
      <c r="E186" s="2"/>
      <c r="F186" s="7">
        <f t="shared" si="78"/>
        <v>9.3498533173203106E-3</v>
      </c>
      <c r="G186" s="2"/>
      <c r="H186" s="6">
        <v>45</v>
      </c>
      <c r="I186" s="2"/>
      <c r="J186" s="7">
        <f t="shared" si="79"/>
        <v>1.9261081563660832E-4</v>
      </c>
      <c r="K186" s="2"/>
      <c r="L186" s="6">
        <f t="shared" si="80"/>
        <v>4729.9799999999996</v>
      </c>
      <c r="M186" s="2"/>
      <c r="N186" s="7">
        <f t="shared" si="81"/>
        <v>105.11066666666666</v>
      </c>
      <c r="O186" s="11"/>
      <c r="P186" s="6">
        <v>22974.7</v>
      </c>
      <c r="Q186" s="2"/>
      <c r="R186" s="7">
        <f t="shared" si="82"/>
        <v>6.1470146059174804E-3</v>
      </c>
      <c r="S186" s="2"/>
      <c r="T186" s="6">
        <v>13096.92</v>
      </c>
      <c r="U186" s="2"/>
      <c r="V186" s="7">
        <f t="shared" si="83"/>
        <v>4.8485541689374323E-3</v>
      </c>
      <c r="W186" s="2"/>
      <c r="X186" s="6">
        <f t="shared" si="84"/>
        <v>9877.7800000000007</v>
      </c>
      <c r="Y186" s="2"/>
      <c r="Z186" s="7">
        <f t="shared" si="85"/>
        <v>0.7542063324812246</v>
      </c>
    </row>
    <row r="187" spans="1:26" s="29" customFormat="1" outlineLevel="1" collapsed="1" x14ac:dyDescent="0.3">
      <c r="A187" s="27"/>
      <c r="B187" s="14" t="str">
        <f>CONCATENATE("     ","Royalty &amp; Commissions                             ")</f>
        <v xml:space="preserve">     Royalty &amp; Commissions                             </v>
      </c>
      <c r="C187" s="14"/>
      <c r="D187" s="1">
        <f>SUM(OSRRefD22_18x_0)</f>
        <v>1121.23</v>
      </c>
      <c r="E187" s="1"/>
      <c r="F187" s="5">
        <f t="shared" ref="F187:F190" si="86">IF(D$12=0,0,D187/D$12)</f>
        <v>2.1954722396699154E-3</v>
      </c>
      <c r="G187" s="1"/>
      <c r="H187" s="1">
        <f>SUM(OSRRefH22_18x_0)</f>
        <v>5.97</v>
      </c>
      <c r="I187" s="1"/>
      <c r="J187" s="5">
        <f t="shared" ref="J187:J190" si="87">IF(H$12=0,0,H187/H$12)</f>
        <v>2.55530348744567E-5</v>
      </c>
      <c r="K187" s="1"/>
      <c r="L187" s="1">
        <f t="shared" ref="L187:L190" si="88">+D187-H187</f>
        <v>1115.26</v>
      </c>
      <c r="M187" s="1"/>
      <c r="N187" s="5">
        <f t="shared" ref="N187:N190" si="89">IF(H187=0,0,L187/H187)</f>
        <v>186.81072026800672</v>
      </c>
      <c r="O187" s="14"/>
      <c r="P187" s="1">
        <f>SUM(OSRRefP22_18x_0)</f>
        <v>21746.93</v>
      </c>
      <c r="Q187" s="1"/>
      <c r="R187" s="5">
        <f t="shared" ref="R187:R190" si="90">IF(P$12=0,0,P187/P$12)</f>
        <v>5.8185176017038313E-3</v>
      </c>
      <c r="S187" s="1"/>
      <c r="T187" s="1">
        <f>SUM(OSRRefT22_18x_0)</f>
        <v>28761.760000000002</v>
      </c>
      <c r="U187" s="1"/>
      <c r="V187" s="5">
        <f t="shared" ref="V187:V190" si="91">IF(T$12=0,0,T187/T$12)</f>
        <v>1.0647766906568712E-2</v>
      </c>
      <c r="W187" s="1"/>
      <c r="X187" s="1">
        <f t="shared" ref="X187:X190" si="92">+P187-T187</f>
        <v>-7014.8300000000017</v>
      </c>
      <c r="Y187" s="1"/>
      <c r="Z187" s="5">
        <f t="shared" ref="Z187:Z190" si="93">IF(T187=0,0,X187/T187)</f>
        <v>-0.24389432357407895</v>
      </c>
    </row>
    <row r="188" spans="1:26" s="24" customFormat="1" hidden="1" outlineLevel="2" x14ac:dyDescent="0.3">
      <c r="A188" s="28"/>
      <c r="B188" s="11" t="str">
        <f>CONCATENATE("          ", "6253", " - ", "ROYALTY DUE ATHLETICS-LRG")</f>
        <v xml:space="preserve">          6253 - ROYALTY DUE ATHLETICS-LRG</v>
      </c>
      <c r="C188" s="11"/>
      <c r="D188" s="6"/>
      <c r="E188" s="2"/>
      <c r="F188" s="7">
        <f t="shared" si="86"/>
        <v>0</v>
      </c>
      <c r="G188" s="2"/>
      <c r="H188" s="6"/>
      <c r="I188" s="2"/>
      <c r="J188" s="7">
        <f t="shared" si="87"/>
        <v>0</v>
      </c>
      <c r="K188" s="2"/>
      <c r="L188" s="6">
        <f t="shared" si="88"/>
        <v>0</v>
      </c>
      <c r="M188" s="2"/>
      <c r="N188" s="7">
        <f t="shared" si="89"/>
        <v>0</v>
      </c>
      <c r="O188" s="11"/>
      <c r="P188" s="6">
        <v>23160.29</v>
      </c>
      <c r="Q188" s="2"/>
      <c r="R188" s="7">
        <f t="shared" si="90"/>
        <v>6.1966702898094235E-3</v>
      </c>
      <c r="S188" s="2"/>
      <c r="T188" s="6">
        <v>18411.8</v>
      </c>
      <c r="U188" s="2"/>
      <c r="V188" s="7">
        <f t="shared" si="91"/>
        <v>6.8161529311962059E-3</v>
      </c>
      <c r="W188" s="2"/>
      <c r="X188" s="6">
        <f t="shared" si="92"/>
        <v>4748.4900000000016</v>
      </c>
      <c r="Y188" s="2"/>
      <c r="Z188" s="7">
        <f t="shared" si="93"/>
        <v>0.25790471328169989</v>
      </c>
    </row>
    <row r="189" spans="1:26" s="24" customFormat="1" hidden="1" outlineLevel="2" x14ac:dyDescent="0.3">
      <c r="A189" s="28"/>
      <c r="B189" s="11" t="str">
        <f>CONCATENATE("          ", "6254", " - ", "ROYALTY &amp; COMMISSIONS")</f>
        <v xml:space="preserve">          6254 - ROYALTY &amp; COMMISSIONS</v>
      </c>
      <c r="C189" s="11"/>
      <c r="D189" s="6">
        <v>0</v>
      </c>
      <c r="E189" s="2"/>
      <c r="F189" s="7">
        <f t="shared" si="86"/>
        <v>0</v>
      </c>
      <c r="G189" s="2"/>
      <c r="H189" s="6"/>
      <c r="I189" s="2"/>
      <c r="J189" s="7">
        <f t="shared" si="87"/>
        <v>0</v>
      </c>
      <c r="K189" s="2"/>
      <c r="L189" s="6">
        <f t="shared" si="88"/>
        <v>0</v>
      </c>
      <c r="M189" s="2"/>
      <c r="N189" s="7">
        <f t="shared" si="89"/>
        <v>0</v>
      </c>
      <c r="O189" s="11"/>
      <c r="P189" s="6">
        <v>-7027.5</v>
      </c>
      <c r="Q189" s="2"/>
      <c r="R189" s="7">
        <f t="shared" si="90"/>
        <v>-1.8802484969590502E-3</v>
      </c>
      <c r="S189" s="2"/>
      <c r="T189" s="6">
        <v>185.7</v>
      </c>
      <c r="U189" s="2"/>
      <c r="V189" s="7">
        <f t="shared" si="91"/>
        <v>6.8747194697049469E-5</v>
      </c>
      <c r="W189" s="2"/>
      <c r="X189" s="6">
        <f t="shared" si="92"/>
        <v>-7213.2</v>
      </c>
      <c r="Y189" s="2"/>
      <c r="Z189" s="7">
        <f t="shared" si="93"/>
        <v>-38.843295638126008</v>
      </c>
    </row>
    <row r="190" spans="1:26" s="24" customFormat="1" hidden="1" outlineLevel="2" x14ac:dyDescent="0.3">
      <c r="A190" s="28"/>
      <c r="B190" s="11" t="str">
        <f>CONCATENATE("          ", "6259", " - ", "ROYALTY &amp; COMMISSIONS")</f>
        <v xml:space="preserve">          6259 - ROYALTY &amp; COMMISSIONS</v>
      </c>
      <c r="C190" s="11"/>
      <c r="D190" s="6">
        <v>1121.23</v>
      </c>
      <c r="E190" s="2"/>
      <c r="F190" s="7">
        <f t="shared" si="86"/>
        <v>2.1954722396699154E-3</v>
      </c>
      <c r="G190" s="2"/>
      <c r="H190" s="6">
        <v>5.97</v>
      </c>
      <c r="I190" s="2"/>
      <c r="J190" s="7">
        <f t="shared" si="87"/>
        <v>2.55530348744567E-5</v>
      </c>
      <c r="K190" s="2"/>
      <c r="L190" s="6">
        <f t="shared" si="88"/>
        <v>1115.26</v>
      </c>
      <c r="M190" s="2"/>
      <c r="N190" s="7">
        <f t="shared" si="89"/>
        <v>186.81072026800672</v>
      </c>
      <c r="O190" s="11"/>
      <c r="P190" s="6">
        <v>5614.14</v>
      </c>
      <c r="Q190" s="2"/>
      <c r="R190" s="7">
        <f t="shared" si="90"/>
        <v>1.502095808853459E-3</v>
      </c>
      <c r="S190" s="2"/>
      <c r="T190" s="6">
        <v>10164.26</v>
      </c>
      <c r="U190" s="2"/>
      <c r="V190" s="7">
        <f t="shared" si="91"/>
        <v>3.7628667806754554E-3</v>
      </c>
      <c r="W190" s="2"/>
      <c r="X190" s="6">
        <f t="shared" si="92"/>
        <v>-4550.12</v>
      </c>
      <c r="Y190" s="2"/>
      <c r="Z190" s="7">
        <f t="shared" si="93"/>
        <v>-0.44765875725335635</v>
      </c>
    </row>
    <row r="191" spans="1:26" s="29" customFormat="1" outlineLevel="1" collapsed="1" x14ac:dyDescent="0.3">
      <c r="A191" s="27"/>
      <c r="B191" s="14" t="str">
        <f>CONCATENATE("     ","Services                                          ")</f>
        <v xml:space="preserve">     Services                                          </v>
      </c>
      <c r="C191" s="14"/>
      <c r="D191" s="1">
        <f>SUM(OSRRefD22_19x_0)</f>
        <v>5257.82</v>
      </c>
      <c r="E191" s="1"/>
      <c r="F191" s="5">
        <f t="shared" ref="F191:F196" si="94">IF(D$12=0,0,D191/D$12)</f>
        <v>1.0295298780073021E-2</v>
      </c>
      <c r="G191" s="1"/>
      <c r="H191" s="1">
        <f>SUM(OSRRefH22_19x_0)</f>
        <v>3492.68</v>
      </c>
      <c r="I191" s="1"/>
      <c r="J191" s="5">
        <f t="shared" ref="J191:J196" si="95">IF(H$12=0,0,H191/H$12)</f>
        <v>1.4949509856837091E-2</v>
      </c>
      <c r="K191" s="1"/>
      <c r="L191" s="1">
        <f t="shared" ref="L191:L196" si="96">+D191-H191</f>
        <v>1765.1399999999999</v>
      </c>
      <c r="M191" s="1"/>
      <c r="N191" s="5">
        <f t="shared" ref="N191:N196" si="97">IF(H191=0,0,L191/H191)</f>
        <v>0.50538268607487657</v>
      </c>
      <c r="O191" s="14"/>
      <c r="P191" s="1">
        <f>SUM(OSRRefP22_19x_0)</f>
        <v>45589.93</v>
      </c>
      <c r="Q191" s="1"/>
      <c r="R191" s="5">
        <f t="shared" ref="R191:R196" si="98">IF(P$12=0,0,P191/P$12)</f>
        <v>1.2197850922656465E-2</v>
      </c>
      <c r="S191" s="1"/>
      <c r="T191" s="1">
        <f>SUM(OSRRefT22_19x_0)</f>
        <v>19537.64</v>
      </c>
      <c r="U191" s="1"/>
      <c r="V191" s="5">
        <f t="shared" ref="V191:V196" si="99">IF(T$12=0,0,T191/T$12)</f>
        <v>7.2329452934887534E-3</v>
      </c>
      <c r="W191" s="1"/>
      <c r="X191" s="1">
        <f t="shared" ref="X191:X196" si="100">+P191-T191</f>
        <v>26052.29</v>
      </c>
      <c r="Y191" s="1"/>
      <c r="Z191" s="5">
        <f t="shared" ref="Z191:Z196" si="101">IF(T191=0,0,X191/T191)</f>
        <v>1.3334409887785834</v>
      </c>
    </row>
    <row r="192" spans="1:26" s="24" customFormat="1" hidden="1" outlineLevel="2" x14ac:dyDescent="0.3">
      <c r="A192" s="28"/>
      <c r="B192" s="11" t="str">
        <f>CONCATENATE("          ", "6282", " - ", "JANITORIAL/EXTERMINATOR EXPENS")</f>
        <v xml:space="preserve">          6282 - JANITORIAL/EXTERMINATOR EXPENS</v>
      </c>
      <c r="C192" s="11"/>
      <c r="D192" s="6">
        <v>587.25</v>
      </c>
      <c r="E192" s="2"/>
      <c r="F192" s="7">
        <f t="shared" si="94"/>
        <v>1.1498899179884215E-3</v>
      </c>
      <c r="G192" s="2"/>
      <c r="H192" s="6">
        <v>709.65</v>
      </c>
      <c r="I192" s="2"/>
      <c r="J192" s="7">
        <f t="shared" si="95"/>
        <v>3.0374725625893131E-3</v>
      </c>
      <c r="K192" s="2"/>
      <c r="L192" s="6">
        <f t="shared" si="96"/>
        <v>-122.39999999999998</v>
      </c>
      <c r="M192" s="2"/>
      <c r="N192" s="7">
        <f t="shared" si="97"/>
        <v>-0.17247939124920733</v>
      </c>
      <c r="O192" s="11"/>
      <c r="P192" s="6">
        <v>4046.18</v>
      </c>
      <c r="Q192" s="2"/>
      <c r="R192" s="7">
        <f t="shared" si="98"/>
        <v>1.0825789915938483E-3</v>
      </c>
      <c r="S192" s="2"/>
      <c r="T192" s="6">
        <v>5920.61</v>
      </c>
      <c r="U192" s="2"/>
      <c r="V192" s="7">
        <f t="shared" si="99"/>
        <v>2.1918434485476471E-3</v>
      </c>
      <c r="W192" s="2"/>
      <c r="X192" s="6">
        <f t="shared" si="100"/>
        <v>-1874.4299999999998</v>
      </c>
      <c r="Y192" s="2"/>
      <c r="Z192" s="7">
        <f t="shared" si="101"/>
        <v>-0.31659406716537652</v>
      </c>
    </row>
    <row r="193" spans="1:26" s="24" customFormat="1" hidden="1" outlineLevel="2" x14ac:dyDescent="0.3">
      <c r="A193" s="28"/>
      <c r="B193" s="11" t="str">
        <f>CONCATENATE("          ", "6283", " - ", "PLANT SERVICE")</f>
        <v xml:space="preserve">          6283 - PLANT SERVICE</v>
      </c>
      <c r="C193" s="11"/>
      <c r="D193" s="6"/>
      <c r="E193" s="2"/>
      <c r="F193" s="7">
        <f t="shared" si="94"/>
        <v>0</v>
      </c>
      <c r="G193" s="2"/>
      <c r="H193" s="6"/>
      <c r="I193" s="2"/>
      <c r="J193" s="7">
        <f t="shared" si="95"/>
        <v>0</v>
      </c>
      <c r="K193" s="2"/>
      <c r="L193" s="6">
        <f t="shared" si="96"/>
        <v>0</v>
      </c>
      <c r="M193" s="2"/>
      <c r="N193" s="7">
        <f t="shared" si="97"/>
        <v>0</v>
      </c>
      <c r="O193" s="11"/>
      <c r="P193" s="6"/>
      <c r="Q193" s="2"/>
      <c r="R193" s="7">
        <f t="shared" si="98"/>
        <v>0</v>
      </c>
      <c r="S193" s="2"/>
      <c r="T193" s="6">
        <v>171.31</v>
      </c>
      <c r="U193" s="2"/>
      <c r="V193" s="7">
        <f t="shared" si="99"/>
        <v>6.3419934967967397E-5</v>
      </c>
      <c r="W193" s="2"/>
      <c r="X193" s="6">
        <f t="shared" si="100"/>
        <v>-171.31</v>
      </c>
      <c r="Y193" s="2"/>
      <c r="Z193" s="7">
        <f t="shared" si="101"/>
        <v>-1</v>
      </c>
    </row>
    <row r="194" spans="1:26" s="24" customFormat="1" hidden="1" outlineLevel="2" x14ac:dyDescent="0.3">
      <c r="A194" s="28"/>
      <c r="B194" s="11" t="str">
        <f>CONCATENATE("          ", "6284", " - ", "TRASH REMOVAL EXPENSE")</f>
        <v xml:space="preserve">          6284 - TRASH REMOVAL EXPENSE</v>
      </c>
      <c r="C194" s="11"/>
      <c r="D194" s="6">
        <v>149.69999999999999</v>
      </c>
      <c r="E194" s="2"/>
      <c r="F194" s="7">
        <f t="shared" si="94"/>
        <v>2.9312647206958991E-4</v>
      </c>
      <c r="G194" s="2"/>
      <c r="H194" s="6">
        <v>574.14</v>
      </c>
      <c r="I194" s="2"/>
      <c r="J194" s="7">
        <f t="shared" si="95"/>
        <v>2.457457193102273E-3</v>
      </c>
      <c r="K194" s="2"/>
      <c r="L194" s="6">
        <f t="shared" si="96"/>
        <v>-424.44</v>
      </c>
      <c r="M194" s="2"/>
      <c r="N194" s="7">
        <f t="shared" si="97"/>
        <v>-0.73926220085693384</v>
      </c>
      <c r="O194" s="11"/>
      <c r="P194" s="6">
        <v>891.07</v>
      </c>
      <c r="Q194" s="2"/>
      <c r="R194" s="7">
        <f t="shared" si="98"/>
        <v>2.3841096096553551E-4</v>
      </c>
      <c r="S194" s="2"/>
      <c r="T194" s="6">
        <v>1448.44</v>
      </c>
      <c r="U194" s="2"/>
      <c r="V194" s="7">
        <f t="shared" si="99"/>
        <v>5.3622071452339435E-4</v>
      </c>
      <c r="W194" s="2"/>
      <c r="X194" s="6">
        <f t="shared" si="100"/>
        <v>-557.37</v>
      </c>
      <c r="Y194" s="2"/>
      <c r="Z194" s="7">
        <f t="shared" si="101"/>
        <v>-0.384807102814062</v>
      </c>
    </row>
    <row r="195" spans="1:26" s="24" customFormat="1" hidden="1" outlineLevel="2" x14ac:dyDescent="0.3">
      <c r="A195" s="28"/>
      <c r="B195" s="11" t="str">
        <f>CONCATENATE("          ", "6285", " - ", "JANITORIAL SERVICES")</f>
        <v xml:space="preserve">          6285 - JANITORIAL SERVICES</v>
      </c>
      <c r="C195" s="11"/>
      <c r="D195" s="6">
        <v>4406.71</v>
      </c>
      <c r="E195" s="2"/>
      <c r="F195" s="7">
        <f t="shared" si="94"/>
        <v>8.6287465312877946E-3</v>
      </c>
      <c r="G195" s="2"/>
      <c r="H195" s="6">
        <v>2208.89</v>
      </c>
      <c r="I195" s="2"/>
      <c r="J195" s="7">
        <f t="shared" si="95"/>
        <v>9.4545801011455041E-3</v>
      </c>
      <c r="K195" s="2"/>
      <c r="L195" s="6">
        <f t="shared" si="96"/>
        <v>2197.8200000000002</v>
      </c>
      <c r="M195" s="2"/>
      <c r="N195" s="7">
        <f t="shared" si="97"/>
        <v>0.99498843310440999</v>
      </c>
      <c r="O195" s="11"/>
      <c r="P195" s="6">
        <v>40226.879999999997</v>
      </c>
      <c r="Q195" s="2"/>
      <c r="R195" s="7">
        <f t="shared" si="98"/>
        <v>1.0762935703643126E-2</v>
      </c>
      <c r="S195" s="2"/>
      <c r="T195" s="6">
        <v>11997.28</v>
      </c>
      <c r="U195" s="2"/>
      <c r="V195" s="7">
        <f t="shared" si="99"/>
        <v>4.4414611954497456E-3</v>
      </c>
      <c r="W195" s="2"/>
      <c r="X195" s="6">
        <f t="shared" si="100"/>
        <v>28229.599999999999</v>
      </c>
      <c r="Y195" s="2"/>
      <c r="Z195" s="7">
        <f t="shared" si="101"/>
        <v>2.3530000133363558</v>
      </c>
    </row>
    <row r="196" spans="1:26" s="24" customFormat="1" hidden="1" outlineLevel="2" x14ac:dyDescent="0.3">
      <c r="A196" s="28"/>
      <c r="B196" s="11" t="str">
        <f>CONCATENATE("          ", "6286", " - ", "LAUNDRY EXPENSE")</f>
        <v xml:space="preserve">          6286 - LAUNDRY EXPENSE</v>
      </c>
      <c r="C196" s="11"/>
      <c r="D196" s="6">
        <v>114.16</v>
      </c>
      <c r="E196" s="2"/>
      <c r="F196" s="7">
        <f t="shared" si="94"/>
        <v>2.2353585872721701E-4</v>
      </c>
      <c r="G196" s="2"/>
      <c r="H196" s="6"/>
      <c r="I196" s="2"/>
      <c r="J196" s="7">
        <f t="shared" si="95"/>
        <v>0</v>
      </c>
      <c r="K196" s="2"/>
      <c r="L196" s="6">
        <f t="shared" si="96"/>
        <v>114.16</v>
      </c>
      <c r="M196" s="2"/>
      <c r="N196" s="7">
        <f t="shared" si="97"/>
        <v>0</v>
      </c>
      <c r="O196" s="11"/>
      <c r="P196" s="6">
        <v>425.8</v>
      </c>
      <c r="Q196" s="2"/>
      <c r="R196" s="7">
        <f t="shared" si="98"/>
        <v>1.1392526645395427E-4</v>
      </c>
      <c r="S196" s="2"/>
      <c r="T196" s="6"/>
      <c r="U196" s="2"/>
      <c r="V196" s="7">
        <f t="shared" si="99"/>
        <v>0</v>
      </c>
      <c r="W196" s="2"/>
      <c r="X196" s="6">
        <f t="shared" si="100"/>
        <v>425.8</v>
      </c>
      <c r="Y196" s="2"/>
      <c r="Z196" s="7">
        <f t="shared" si="101"/>
        <v>0</v>
      </c>
    </row>
    <row r="197" spans="1:26" s="29" customFormat="1" outlineLevel="1" collapsed="1" x14ac:dyDescent="0.3">
      <c r="A197" s="27"/>
      <c r="B197" s="14" t="str">
        <f>CONCATENATE("     ","Subscriptions &amp; Dues                              ")</f>
        <v xml:space="preserve">     Subscriptions &amp; Dues                              </v>
      </c>
      <c r="C197" s="14"/>
      <c r="D197" s="1">
        <f>SUM(OSRRefD22_20x_0)</f>
        <v>286.24</v>
      </c>
      <c r="E197" s="1"/>
      <c r="F197" s="5">
        <f t="shared" ref="F197:F199" si="102">IF(D$12=0,0,D197/D$12)</f>
        <v>5.6048444465731085E-4</v>
      </c>
      <c r="G197" s="1"/>
      <c r="H197" s="1">
        <f>SUM(OSRRefH22_20x_0)</f>
        <v>80.430000000000007</v>
      </c>
      <c r="I197" s="1"/>
      <c r="J197" s="5">
        <f t="shared" ref="J197:J199" si="103">IF(H$12=0,0,H197/H$12)</f>
        <v>3.4425973114783127E-4</v>
      </c>
      <c r="K197" s="1"/>
      <c r="L197" s="1">
        <f t="shared" ref="L197:L199" si="104">+D197-H197</f>
        <v>205.81</v>
      </c>
      <c r="M197" s="1"/>
      <c r="N197" s="5">
        <f t="shared" ref="N197:N199" si="105">IF(H197=0,0,L197/H197)</f>
        <v>2.5588710680094491</v>
      </c>
      <c r="O197" s="14"/>
      <c r="P197" s="1">
        <f>SUM(OSRRefP22_20x_0)</f>
        <v>1391.74</v>
      </c>
      <c r="Q197" s="1"/>
      <c r="R197" s="5">
        <f t="shared" ref="R197:R199" si="106">IF(P$12=0,0,P197/P$12)</f>
        <v>3.7236813136361273E-4</v>
      </c>
      <c r="S197" s="1"/>
      <c r="T197" s="1">
        <f>SUM(OSRRefT22_20x_0)</f>
        <v>1455.44</v>
      </c>
      <c r="U197" s="1"/>
      <c r="V197" s="5">
        <f t="shared" ref="V197:V199" si="107">IF(T$12=0,0,T197/T$12)</f>
        <v>5.3881215428041836E-4</v>
      </c>
      <c r="W197" s="1"/>
      <c r="X197" s="1">
        <f t="shared" ref="X197:X199" si="108">+P197-T197</f>
        <v>-63.700000000000045</v>
      </c>
      <c r="Y197" s="1"/>
      <c r="Z197" s="5">
        <f t="shared" ref="Z197:Z199" si="109">IF(T197=0,0,X197/T197)</f>
        <v>-4.376683339746059E-2</v>
      </c>
    </row>
    <row r="198" spans="1:26" s="24" customFormat="1" hidden="1" outlineLevel="2" x14ac:dyDescent="0.3">
      <c r="A198" s="28"/>
      <c r="B198" s="11" t="str">
        <f>CONCATENATE("          ", "6258", " - ", "MEMBERSHIP DUES")</f>
        <v xml:space="preserve">          6258 - MEMBERSHIP DUES</v>
      </c>
      <c r="C198" s="11"/>
      <c r="D198" s="6">
        <v>286.24</v>
      </c>
      <c r="E198" s="2"/>
      <c r="F198" s="7">
        <f t="shared" si="102"/>
        <v>5.6048444465731085E-4</v>
      </c>
      <c r="G198" s="2"/>
      <c r="H198" s="6">
        <v>80.430000000000007</v>
      </c>
      <c r="I198" s="2"/>
      <c r="J198" s="7">
        <f t="shared" si="103"/>
        <v>3.4425973114783127E-4</v>
      </c>
      <c r="K198" s="2"/>
      <c r="L198" s="6">
        <f t="shared" si="104"/>
        <v>205.81</v>
      </c>
      <c r="M198" s="2"/>
      <c r="N198" s="7">
        <f t="shared" si="105"/>
        <v>2.5588710680094491</v>
      </c>
      <c r="O198" s="11"/>
      <c r="P198" s="6">
        <v>1391.74</v>
      </c>
      <c r="Q198" s="2"/>
      <c r="R198" s="7">
        <f t="shared" si="106"/>
        <v>3.7236813136361273E-4</v>
      </c>
      <c r="S198" s="2"/>
      <c r="T198" s="6">
        <v>1229.71</v>
      </c>
      <c r="U198" s="2"/>
      <c r="V198" s="7">
        <f t="shared" si="107"/>
        <v>4.5524562622998763E-4</v>
      </c>
      <c r="W198" s="2"/>
      <c r="X198" s="6">
        <f t="shared" si="108"/>
        <v>162.02999999999997</v>
      </c>
      <c r="Y198" s="2"/>
      <c r="Z198" s="7">
        <f t="shared" si="109"/>
        <v>0.13176277333680295</v>
      </c>
    </row>
    <row r="199" spans="1:26" s="24" customFormat="1" hidden="1" outlineLevel="2" x14ac:dyDescent="0.3">
      <c r="A199" s="28"/>
      <c r="B199" s="11" t="str">
        <f>CONCATENATE("          ", "6275", " - ", "SUBSCRIPTIONS")</f>
        <v xml:space="preserve">          6275 - SUBSCRIPTIONS</v>
      </c>
      <c r="C199" s="11"/>
      <c r="D199" s="6"/>
      <c r="E199" s="2"/>
      <c r="F199" s="7">
        <f t="shared" si="102"/>
        <v>0</v>
      </c>
      <c r="G199" s="2"/>
      <c r="H199" s="6"/>
      <c r="I199" s="2"/>
      <c r="J199" s="7">
        <f t="shared" si="103"/>
        <v>0</v>
      </c>
      <c r="K199" s="2"/>
      <c r="L199" s="6">
        <f t="shared" si="104"/>
        <v>0</v>
      </c>
      <c r="M199" s="2"/>
      <c r="N199" s="7">
        <f t="shared" si="105"/>
        <v>0</v>
      </c>
      <c r="O199" s="11"/>
      <c r="P199" s="6"/>
      <c r="Q199" s="2"/>
      <c r="R199" s="7">
        <f t="shared" si="106"/>
        <v>0</v>
      </c>
      <c r="S199" s="2"/>
      <c r="T199" s="6">
        <v>225.73</v>
      </c>
      <c r="U199" s="2"/>
      <c r="V199" s="7">
        <f t="shared" si="107"/>
        <v>8.3566528050430672E-5</v>
      </c>
      <c r="W199" s="2"/>
      <c r="X199" s="6">
        <f t="shared" si="108"/>
        <v>-225.73</v>
      </c>
      <c r="Y199" s="2"/>
      <c r="Z199" s="7">
        <f t="shared" si="109"/>
        <v>-1</v>
      </c>
    </row>
    <row r="200" spans="1:26" s="29" customFormat="1" outlineLevel="1" collapsed="1" x14ac:dyDescent="0.3">
      <c r="A200" s="27"/>
      <c r="B200" s="14" t="str">
        <f>CONCATENATE("     ","Supplies                                          ")</f>
        <v xml:space="preserve">     Supplies                                          </v>
      </c>
      <c r="C200" s="14"/>
      <c r="D200" s="1">
        <f>SUM(OSRRefD22_21x_0)</f>
        <v>6159.8700000000008</v>
      </c>
      <c r="E200" s="1"/>
      <c r="F200" s="5">
        <f t="shared" ref="F200:F207" si="110">IF(D$12=0,0,D200/D$12)</f>
        <v>1.2061596269253877E-2</v>
      </c>
      <c r="G200" s="1"/>
      <c r="H200" s="1">
        <f>SUM(OSRRefH22_21x_0)</f>
        <v>5930.1799999999994</v>
      </c>
      <c r="I200" s="1"/>
      <c r="J200" s="5">
        <f t="shared" ref="J200:J207" si="111">IF(H$12=0,0,H200/H$12)</f>
        <v>2.5382595703820038E-2</v>
      </c>
      <c r="K200" s="1"/>
      <c r="L200" s="1">
        <f t="shared" ref="L200:L207" si="112">+D200-H200</f>
        <v>229.69000000000142</v>
      </c>
      <c r="M200" s="1"/>
      <c r="N200" s="5">
        <f t="shared" ref="N200:N207" si="113">IF(H200=0,0,L200/H200)</f>
        <v>3.8732382490919572E-2</v>
      </c>
      <c r="O200" s="14"/>
      <c r="P200" s="1">
        <f>SUM(OSRRefP22_21x_0)</f>
        <v>55481.08</v>
      </c>
      <c r="Q200" s="1"/>
      <c r="R200" s="5">
        <f t="shared" ref="R200:R207" si="114">IF(P$12=0,0,P200/P$12)</f>
        <v>1.4844285632111679E-2</v>
      </c>
      <c r="S200" s="1"/>
      <c r="T200" s="1">
        <f>SUM(OSRRefT22_21x_0)</f>
        <v>78420.19</v>
      </c>
      <c r="U200" s="1"/>
      <c r="V200" s="5">
        <f t="shared" ref="V200:V207" si="115">IF(T$12=0,0,T200/T$12)</f>
        <v>2.9031599731338783E-2</v>
      </c>
      <c r="W200" s="1"/>
      <c r="X200" s="1">
        <f t="shared" ref="X200:X207" si="116">+P200-T200</f>
        <v>-22939.11</v>
      </c>
      <c r="Y200" s="1"/>
      <c r="Z200" s="5">
        <f t="shared" ref="Z200:Z207" si="117">IF(T200=0,0,X200/T200)</f>
        <v>-0.292515358608542</v>
      </c>
    </row>
    <row r="201" spans="1:26" s="24" customFormat="1" hidden="1" outlineLevel="2" x14ac:dyDescent="0.3">
      <c r="A201" s="28"/>
      <c r="B201" s="11" t="str">
        <f>CONCATENATE("          ", "6234", " - ", "EXPENDABLE SUPPLIES &amp; EQUIPMEN")</f>
        <v xml:space="preserve">          6234 - EXPENDABLE SUPPLIES &amp; EQUIPMEN</v>
      </c>
      <c r="C201" s="11"/>
      <c r="D201" s="6"/>
      <c r="E201" s="2"/>
      <c r="F201" s="7">
        <f t="shared" si="110"/>
        <v>0</v>
      </c>
      <c r="G201" s="2"/>
      <c r="H201" s="6"/>
      <c r="I201" s="2"/>
      <c r="J201" s="7">
        <f t="shared" si="111"/>
        <v>0</v>
      </c>
      <c r="K201" s="2"/>
      <c r="L201" s="6">
        <f t="shared" si="112"/>
        <v>0</v>
      </c>
      <c r="M201" s="2"/>
      <c r="N201" s="7">
        <f t="shared" si="113"/>
        <v>0</v>
      </c>
      <c r="O201" s="11"/>
      <c r="P201" s="6">
        <v>6484.46</v>
      </c>
      <c r="Q201" s="2"/>
      <c r="R201" s="7">
        <f t="shared" si="114"/>
        <v>1.7349549866369381E-3</v>
      </c>
      <c r="S201" s="2"/>
      <c r="T201" s="6">
        <v>-132.66999999999999</v>
      </c>
      <c r="U201" s="2"/>
      <c r="V201" s="7">
        <f t="shared" si="115"/>
        <v>-4.9115187509195223E-5</v>
      </c>
      <c r="W201" s="2"/>
      <c r="X201" s="6">
        <f t="shared" si="116"/>
        <v>6617.13</v>
      </c>
      <c r="Y201" s="2"/>
      <c r="Z201" s="7">
        <f t="shared" si="117"/>
        <v>-49.876611140423613</v>
      </c>
    </row>
    <row r="202" spans="1:26" s="24" customFormat="1" hidden="1" outlineLevel="2" x14ac:dyDescent="0.3">
      <c r="A202" s="28"/>
      <c r="B202" s="11" t="str">
        <f>CONCATENATE("          ", "6235", " - ", "COVID-19 EXPENSES")</f>
        <v xml:space="preserve">          6235 - COVID-19 EXPENSES</v>
      </c>
      <c r="C202" s="11"/>
      <c r="D202" s="6"/>
      <c r="E202" s="2"/>
      <c r="F202" s="7">
        <f t="shared" si="110"/>
        <v>0</v>
      </c>
      <c r="G202" s="2"/>
      <c r="H202" s="6">
        <v>2921.2</v>
      </c>
      <c r="I202" s="2"/>
      <c r="J202" s="7">
        <f t="shared" si="111"/>
        <v>1.2503438103059115E-2</v>
      </c>
      <c r="K202" s="2"/>
      <c r="L202" s="6">
        <f t="shared" si="112"/>
        <v>-2921.2</v>
      </c>
      <c r="M202" s="2"/>
      <c r="N202" s="7">
        <f t="shared" si="113"/>
        <v>-1</v>
      </c>
      <c r="O202" s="11"/>
      <c r="P202" s="6">
        <v>3430.32</v>
      </c>
      <c r="Q202" s="2"/>
      <c r="R202" s="7">
        <f t="shared" si="114"/>
        <v>9.17802066750419E-4</v>
      </c>
      <c r="S202" s="2"/>
      <c r="T202" s="6">
        <v>31585.1</v>
      </c>
      <c r="U202" s="2"/>
      <c r="V202" s="7">
        <f t="shared" si="115"/>
        <v>1.1692983409939565E-2</v>
      </c>
      <c r="W202" s="2"/>
      <c r="X202" s="6">
        <f t="shared" si="116"/>
        <v>-28154.78</v>
      </c>
      <c r="Y202" s="2"/>
      <c r="Z202" s="7">
        <f t="shared" si="117"/>
        <v>-0.89139435999886019</v>
      </c>
    </row>
    <row r="203" spans="1:26" s="24" customFormat="1" hidden="1" outlineLevel="2" x14ac:dyDescent="0.3">
      <c r="A203" s="28"/>
      <c r="B203" s="11" t="str">
        <f>CONCATENATE("          ", "6237", " - ", "JANITORIAL SUPPLIES")</f>
        <v xml:space="preserve">          6237 - JANITORIAL SUPPLIES</v>
      </c>
      <c r="C203" s="11"/>
      <c r="D203" s="6">
        <v>76.540000000000006</v>
      </c>
      <c r="E203" s="2"/>
      <c r="F203" s="7">
        <f t="shared" si="110"/>
        <v>1.4987241263998943E-4</v>
      </c>
      <c r="G203" s="2"/>
      <c r="H203" s="6">
        <v>438.53</v>
      </c>
      <c r="I203" s="2"/>
      <c r="J203" s="7">
        <f t="shared" si="111"/>
        <v>1.8770137995804852E-3</v>
      </c>
      <c r="K203" s="2"/>
      <c r="L203" s="6">
        <f t="shared" si="112"/>
        <v>-361.98999999999995</v>
      </c>
      <c r="M203" s="2"/>
      <c r="N203" s="7">
        <f t="shared" si="113"/>
        <v>-0.8254623400907577</v>
      </c>
      <c r="O203" s="11"/>
      <c r="P203" s="6">
        <v>4469.8599999999997</v>
      </c>
      <c r="Q203" s="2"/>
      <c r="R203" s="7">
        <f t="shared" si="114"/>
        <v>1.1959370397178768E-3</v>
      </c>
      <c r="S203" s="2"/>
      <c r="T203" s="6">
        <v>2251.4499999999998</v>
      </c>
      <c r="U203" s="2"/>
      <c r="V203" s="7">
        <f t="shared" si="115"/>
        <v>8.3349957727879391E-4</v>
      </c>
      <c r="W203" s="2"/>
      <c r="X203" s="6">
        <f t="shared" si="116"/>
        <v>2218.41</v>
      </c>
      <c r="Y203" s="2"/>
      <c r="Z203" s="7">
        <f t="shared" si="117"/>
        <v>0.98532501276954854</v>
      </c>
    </row>
    <row r="204" spans="1:26" s="24" customFormat="1" hidden="1" outlineLevel="2" x14ac:dyDescent="0.3">
      <c r="A204" s="28"/>
      <c r="B204" s="11" t="str">
        <f>CONCATENATE("          ", "6241", " - ", "OFFICE EXPENSE")</f>
        <v xml:space="preserve">          6241 - OFFICE EXPENSE</v>
      </c>
      <c r="C204" s="11"/>
      <c r="D204" s="6">
        <v>892.08</v>
      </c>
      <c r="E204" s="2"/>
      <c r="F204" s="7">
        <f t="shared" si="110"/>
        <v>1.7467753053028712E-3</v>
      </c>
      <c r="G204" s="2"/>
      <c r="H204" s="6">
        <v>308.81</v>
      </c>
      <c r="I204" s="2"/>
      <c r="J204" s="7">
        <f t="shared" si="111"/>
        <v>1.3217810217053558E-3</v>
      </c>
      <c r="K204" s="2"/>
      <c r="L204" s="6">
        <f t="shared" si="112"/>
        <v>583.27</v>
      </c>
      <c r="M204" s="2"/>
      <c r="N204" s="7">
        <f t="shared" si="113"/>
        <v>1.8887665554871926</v>
      </c>
      <c r="O204" s="11"/>
      <c r="P204" s="6">
        <v>8610.9699999999993</v>
      </c>
      <c r="Q204" s="2"/>
      <c r="R204" s="7">
        <f t="shared" si="114"/>
        <v>2.3039151049248623E-3</v>
      </c>
      <c r="S204" s="2"/>
      <c r="T204" s="6">
        <v>8918.9699999999993</v>
      </c>
      <c r="U204" s="2"/>
      <c r="V204" s="7">
        <f t="shared" si="115"/>
        <v>3.3018533499576913E-3</v>
      </c>
      <c r="W204" s="2"/>
      <c r="X204" s="6">
        <f t="shared" si="116"/>
        <v>-308</v>
      </c>
      <c r="Y204" s="2"/>
      <c r="Z204" s="7">
        <f t="shared" si="117"/>
        <v>-3.4533135552647899E-2</v>
      </c>
    </row>
    <row r="205" spans="1:26" s="24" customFormat="1" hidden="1" outlineLevel="2" x14ac:dyDescent="0.3">
      <c r="A205" s="28"/>
      <c r="B205" s="11" t="str">
        <f>CONCATENATE("          ", "6243", " - ", "PAPER SUPPLIES")</f>
        <v xml:space="preserve">          6243 - PAPER SUPPLIES</v>
      </c>
      <c r="C205" s="11"/>
      <c r="D205" s="6"/>
      <c r="E205" s="2"/>
      <c r="F205" s="7">
        <f t="shared" si="110"/>
        <v>0</v>
      </c>
      <c r="G205" s="2"/>
      <c r="H205" s="6">
        <v>411.1</v>
      </c>
      <c r="I205" s="2"/>
      <c r="J205" s="7">
        <f t="shared" si="111"/>
        <v>1.759606806849104E-3</v>
      </c>
      <c r="K205" s="2"/>
      <c r="L205" s="6">
        <f t="shared" si="112"/>
        <v>-411.1</v>
      </c>
      <c r="M205" s="2"/>
      <c r="N205" s="7">
        <f t="shared" si="113"/>
        <v>-1</v>
      </c>
      <c r="O205" s="11"/>
      <c r="P205" s="6">
        <v>4470.8999999999996</v>
      </c>
      <c r="Q205" s="2"/>
      <c r="R205" s="7">
        <f t="shared" si="114"/>
        <v>1.1962152977665196E-3</v>
      </c>
      <c r="S205" s="2"/>
      <c r="T205" s="6">
        <v>5093.3999999999996</v>
      </c>
      <c r="U205" s="2"/>
      <c r="V205" s="7">
        <f t="shared" si="115"/>
        <v>1.8856056083465362E-3</v>
      </c>
      <c r="W205" s="2"/>
      <c r="X205" s="6">
        <f t="shared" si="116"/>
        <v>-622.5</v>
      </c>
      <c r="Y205" s="2"/>
      <c r="Z205" s="7">
        <f t="shared" si="117"/>
        <v>-0.12221698668865591</v>
      </c>
    </row>
    <row r="206" spans="1:26" s="24" customFormat="1" hidden="1" outlineLevel="2" x14ac:dyDescent="0.3">
      <c r="A206" s="28"/>
      <c r="B206" s="11" t="str">
        <f>CONCATENATE("          ", "6245", " - ", "PRINTING")</f>
        <v xml:space="preserve">          6245 - PRINTING</v>
      </c>
      <c r="C206" s="11"/>
      <c r="D206" s="6">
        <v>1046.49</v>
      </c>
      <c r="E206" s="2"/>
      <c r="F206" s="7">
        <f t="shared" si="110"/>
        <v>2.0491243938283582E-3</v>
      </c>
      <c r="G206" s="2"/>
      <c r="H206" s="6"/>
      <c r="I206" s="2"/>
      <c r="J206" s="7">
        <f t="shared" si="111"/>
        <v>0</v>
      </c>
      <c r="K206" s="2"/>
      <c r="L206" s="6">
        <f t="shared" si="112"/>
        <v>1046.49</v>
      </c>
      <c r="M206" s="2"/>
      <c r="N206" s="7">
        <f t="shared" si="113"/>
        <v>0</v>
      </c>
      <c r="O206" s="11"/>
      <c r="P206" s="6">
        <v>2111.98</v>
      </c>
      <c r="Q206" s="2"/>
      <c r="R206" s="7">
        <f t="shared" si="114"/>
        <v>5.6507253228140516E-4</v>
      </c>
      <c r="S206" s="2"/>
      <c r="T206" s="6">
        <v>508.27</v>
      </c>
      <c r="U206" s="2"/>
      <c r="V206" s="7">
        <f t="shared" si="115"/>
        <v>1.8816444075750853E-4</v>
      </c>
      <c r="W206" s="2"/>
      <c r="X206" s="6">
        <f t="shared" si="116"/>
        <v>1603.71</v>
      </c>
      <c r="Y206" s="2"/>
      <c r="Z206" s="7">
        <f t="shared" si="117"/>
        <v>3.1552324551911388</v>
      </c>
    </row>
    <row r="207" spans="1:26" s="24" customFormat="1" hidden="1" outlineLevel="2" x14ac:dyDescent="0.3">
      <c r="A207" s="28"/>
      <c r="B207" s="11" t="str">
        <f>CONCATENATE("          ", "6247", " - ", "STORE SUPPLIES")</f>
        <v xml:space="preserve">          6247 - STORE SUPPLIES</v>
      </c>
      <c r="C207" s="11"/>
      <c r="D207" s="6">
        <v>4144.76</v>
      </c>
      <c r="E207" s="2"/>
      <c r="F207" s="7">
        <f t="shared" si="110"/>
        <v>8.115824157482656E-3</v>
      </c>
      <c r="G207" s="2"/>
      <c r="H207" s="6">
        <v>1850.54</v>
      </c>
      <c r="I207" s="2"/>
      <c r="J207" s="7">
        <f t="shared" si="111"/>
        <v>7.9207559726259813E-3</v>
      </c>
      <c r="K207" s="2"/>
      <c r="L207" s="6">
        <f t="shared" si="112"/>
        <v>2294.2200000000003</v>
      </c>
      <c r="M207" s="2"/>
      <c r="N207" s="7">
        <f t="shared" si="113"/>
        <v>1.2397570438898917</v>
      </c>
      <c r="O207" s="11"/>
      <c r="P207" s="6">
        <v>25902.59</v>
      </c>
      <c r="Q207" s="2"/>
      <c r="R207" s="7">
        <f t="shared" si="114"/>
        <v>6.9303886040336564E-3</v>
      </c>
      <c r="S207" s="2"/>
      <c r="T207" s="6">
        <v>30195.67</v>
      </c>
      <c r="U207" s="2"/>
      <c r="V207" s="7">
        <f t="shared" si="115"/>
        <v>1.1178608532567882E-2</v>
      </c>
      <c r="W207" s="2"/>
      <c r="X207" s="6">
        <f t="shared" si="116"/>
        <v>-4293.0799999999981</v>
      </c>
      <c r="Y207" s="2"/>
      <c r="Z207" s="7">
        <f t="shared" si="117"/>
        <v>-0.14217535163154182</v>
      </c>
    </row>
    <row r="208" spans="1:26" s="29" customFormat="1" outlineLevel="1" collapsed="1" x14ac:dyDescent="0.3">
      <c r="A208" s="27"/>
      <c r="B208" s="14" t="str">
        <f>CONCATENATE("     ","Telephone/Data Lines                              ")</f>
        <v xml:space="preserve">     Telephone/Data Lines                              </v>
      </c>
      <c r="C208" s="14"/>
      <c r="D208" s="1">
        <f>SUM(OSRRefD22_22x_0)</f>
        <v>1769.01</v>
      </c>
      <c r="E208" s="1"/>
      <c r="F208" s="5">
        <f t="shared" ref="F208:F210" si="118">IF(D$12=0,0,D208/D$12)</f>
        <v>3.4638855067189401E-3</v>
      </c>
      <c r="G208" s="1"/>
      <c r="H208" s="1">
        <f>SUM(OSRRefH22_22x_0)</f>
        <v>2247.09</v>
      </c>
      <c r="I208" s="1"/>
      <c r="J208" s="5">
        <f t="shared" ref="J208:J210" si="119">IF(H$12=0,0,H208/H$12)</f>
        <v>9.6180852824192496E-3</v>
      </c>
      <c r="K208" s="1"/>
      <c r="L208" s="1">
        <f t="shared" ref="L208:L210" si="120">+D208-H208</f>
        <v>-478.08000000000015</v>
      </c>
      <c r="M208" s="1"/>
      <c r="N208" s="5">
        <f t="shared" ref="N208:N210" si="121">IF(H208=0,0,L208/H208)</f>
        <v>-0.21275516334459241</v>
      </c>
      <c r="O208" s="14"/>
      <c r="P208" s="1">
        <f>SUM(OSRRefP22_22x_0)</f>
        <v>11813.36</v>
      </c>
      <c r="Q208" s="1"/>
      <c r="R208" s="5">
        <f t="shared" ref="R208:R210" si="122">IF(P$12=0,0,P208/P$12)</f>
        <v>3.1607331745337839E-3</v>
      </c>
      <c r="S208" s="1"/>
      <c r="T208" s="1">
        <f>SUM(OSRRefT22_22x_0)</f>
        <v>17688.48</v>
      </c>
      <c r="U208" s="1"/>
      <c r="V208" s="5">
        <f t="shared" ref="V208:V210" si="123">IF(T$12=0,0,T208/T$12)</f>
        <v>6.5483757590461258E-3</v>
      </c>
      <c r="W208" s="1"/>
      <c r="X208" s="1">
        <f t="shared" ref="X208:X210" si="124">+P208-T208</f>
        <v>-5875.119999999999</v>
      </c>
      <c r="Y208" s="1"/>
      <c r="Z208" s="5">
        <f t="shared" ref="Z208:Z210" si="125">IF(T208=0,0,X208/T208)</f>
        <v>-0.33214385860175655</v>
      </c>
    </row>
    <row r="209" spans="1:26" s="24" customFormat="1" hidden="1" outlineLevel="2" x14ac:dyDescent="0.3">
      <c r="A209" s="28"/>
      <c r="B209" s="11" t="str">
        <f>CONCATENATE("          ", "6303", " - ", "DATA PHONE LINES")</f>
        <v xml:space="preserve">          6303 - DATA PHONE LINES</v>
      </c>
      <c r="C209" s="11"/>
      <c r="D209" s="6"/>
      <c r="E209" s="2"/>
      <c r="F209" s="7">
        <f t="shared" si="118"/>
        <v>0</v>
      </c>
      <c r="G209" s="2"/>
      <c r="H209" s="6"/>
      <c r="I209" s="2"/>
      <c r="J209" s="7">
        <f t="shared" si="119"/>
        <v>0</v>
      </c>
      <c r="K209" s="2"/>
      <c r="L209" s="6">
        <f t="shared" si="120"/>
        <v>0</v>
      </c>
      <c r="M209" s="2"/>
      <c r="N209" s="7">
        <f t="shared" si="121"/>
        <v>0</v>
      </c>
      <c r="O209" s="11"/>
      <c r="P209" s="6">
        <v>295</v>
      </c>
      <c r="Q209" s="2"/>
      <c r="R209" s="7">
        <f t="shared" si="122"/>
        <v>7.8928965720799688E-5</v>
      </c>
      <c r="S209" s="2"/>
      <c r="T209" s="6">
        <v>2065</v>
      </c>
      <c r="U209" s="2"/>
      <c r="V209" s="7">
        <f t="shared" si="123"/>
        <v>7.6447472832206337E-4</v>
      </c>
      <c r="W209" s="2"/>
      <c r="X209" s="6">
        <f t="shared" si="124"/>
        <v>-1770</v>
      </c>
      <c r="Y209" s="2"/>
      <c r="Z209" s="7">
        <f t="shared" si="125"/>
        <v>-0.8571428571428571</v>
      </c>
    </row>
    <row r="210" spans="1:26" s="24" customFormat="1" hidden="1" outlineLevel="2" x14ac:dyDescent="0.3">
      <c r="A210" s="28"/>
      <c r="B210" s="11" t="str">
        <f>CONCATENATE("          ", "6309", " - ", "TELEPHONE")</f>
        <v xml:space="preserve">          6309 - TELEPHONE</v>
      </c>
      <c r="C210" s="11"/>
      <c r="D210" s="6">
        <v>1769.01</v>
      </c>
      <c r="E210" s="2"/>
      <c r="F210" s="7">
        <f t="shared" si="118"/>
        <v>3.4638855067189401E-3</v>
      </c>
      <c r="G210" s="2"/>
      <c r="H210" s="6">
        <v>2247.09</v>
      </c>
      <c r="I210" s="2"/>
      <c r="J210" s="7">
        <f t="shared" si="119"/>
        <v>9.6180852824192496E-3</v>
      </c>
      <c r="K210" s="2"/>
      <c r="L210" s="6">
        <f t="shared" si="120"/>
        <v>-478.08000000000015</v>
      </c>
      <c r="M210" s="2"/>
      <c r="N210" s="7">
        <f t="shared" si="121"/>
        <v>-0.21275516334459241</v>
      </c>
      <c r="O210" s="11"/>
      <c r="P210" s="6">
        <v>11518.36</v>
      </c>
      <c r="Q210" s="2"/>
      <c r="R210" s="7">
        <f t="shared" si="122"/>
        <v>3.0818042088129843E-3</v>
      </c>
      <c r="S210" s="2"/>
      <c r="T210" s="6">
        <v>15623.48</v>
      </c>
      <c r="U210" s="2"/>
      <c r="V210" s="7">
        <f t="shared" si="123"/>
        <v>5.7839010307240623E-3</v>
      </c>
      <c r="W210" s="2"/>
      <c r="X210" s="6">
        <f t="shared" si="124"/>
        <v>-4105.119999999999</v>
      </c>
      <c r="Y210" s="2"/>
      <c r="Z210" s="7">
        <f t="shared" si="125"/>
        <v>-0.26275324063524896</v>
      </c>
    </row>
    <row r="211" spans="1:26" s="29" customFormat="1" outlineLevel="1" collapsed="1" x14ac:dyDescent="0.3">
      <c r="A211" s="27"/>
      <c r="B211" s="14" t="str">
        <f>CONCATENATE("     ","Training                                          ")</f>
        <v xml:space="preserve">     Training                                          </v>
      </c>
      <c r="C211" s="14"/>
      <c r="D211" s="1">
        <f>SUM(OSRRefD22_23x_0)</f>
        <v>0</v>
      </c>
      <c r="E211" s="1"/>
      <c r="F211" s="5">
        <f t="shared" ref="F211:F216" si="126">IF(D$12=0,0,D211/D$12)</f>
        <v>0</v>
      </c>
      <c r="G211" s="1"/>
      <c r="H211" s="1">
        <f>SUM(OSRRefH22_23x_0)</f>
        <v>0</v>
      </c>
      <c r="I211" s="1"/>
      <c r="J211" s="5">
        <f t="shared" ref="J211:J216" si="127">IF(H$12=0,0,H211/H$12)</f>
        <v>0</v>
      </c>
      <c r="K211" s="1"/>
      <c r="L211" s="1">
        <f t="shared" ref="L211:L216" si="128">+D211-H211</f>
        <v>0</v>
      </c>
      <c r="M211" s="1"/>
      <c r="N211" s="5">
        <f t="shared" ref="N211:N216" si="129">IF(H211=0,0,L211/H211)</f>
        <v>0</v>
      </c>
      <c r="O211" s="14"/>
      <c r="P211" s="1">
        <f>SUM(OSRRefP22_23x_0)</f>
        <v>595</v>
      </c>
      <c r="Q211" s="1"/>
      <c r="R211" s="5">
        <f t="shared" ref="R211:R216" si="130">IF(P$12=0,0,P211/P$12)</f>
        <v>1.5919571052161292E-4</v>
      </c>
      <c r="S211" s="1"/>
      <c r="T211" s="1">
        <f>SUM(OSRRefT22_23x_0)</f>
        <v>145.63</v>
      </c>
      <c r="U211" s="1"/>
      <c r="V211" s="5">
        <f t="shared" ref="V211:V216" si="131">IF(T$12=0,0,T211/T$12)</f>
        <v>5.3913053116485267E-5</v>
      </c>
      <c r="W211" s="1"/>
      <c r="X211" s="1">
        <f t="shared" ref="X211:X216" si="132">+P211-T211</f>
        <v>449.37</v>
      </c>
      <c r="Y211" s="1"/>
      <c r="Z211" s="5">
        <f t="shared" ref="Z211:Z216" si="133">IF(T211=0,0,X211/T211)</f>
        <v>3.085696628441942</v>
      </c>
    </row>
    <row r="212" spans="1:26" s="24" customFormat="1" hidden="1" outlineLevel="2" x14ac:dyDescent="0.3">
      <c r="A212" s="28"/>
      <c r="B212" s="11" t="str">
        <f>CONCATENATE("          ", "6376", " - ", "TRAINING")</f>
        <v xml:space="preserve">          6376 - TRAINING</v>
      </c>
      <c r="C212" s="11"/>
      <c r="D212" s="6"/>
      <c r="E212" s="2"/>
      <c r="F212" s="7">
        <f t="shared" si="126"/>
        <v>0</v>
      </c>
      <c r="G212" s="2"/>
      <c r="H212" s="6"/>
      <c r="I212" s="2"/>
      <c r="J212" s="7">
        <f t="shared" si="127"/>
        <v>0</v>
      </c>
      <c r="K212" s="2"/>
      <c r="L212" s="6">
        <f t="shared" si="128"/>
        <v>0</v>
      </c>
      <c r="M212" s="2"/>
      <c r="N212" s="7">
        <f t="shared" si="129"/>
        <v>0</v>
      </c>
      <c r="O212" s="11"/>
      <c r="P212" s="6">
        <v>595</v>
      </c>
      <c r="Q212" s="2"/>
      <c r="R212" s="7">
        <f t="shared" si="130"/>
        <v>1.5919571052161292E-4</v>
      </c>
      <c r="S212" s="2"/>
      <c r="T212" s="6">
        <v>145.63</v>
      </c>
      <c r="U212" s="2"/>
      <c r="V212" s="7">
        <f t="shared" si="131"/>
        <v>5.3913053116485267E-5</v>
      </c>
      <c r="W212" s="2"/>
      <c r="X212" s="6">
        <f t="shared" si="132"/>
        <v>449.37</v>
      </c>
      <c r="Y212" s="2"/>
      <c r="Z212" s="7">
        <f t="shared" si="133"/>
        <v>3.085696628441942</v>
      </c>
    </row>
    <row r="213" spans="1:26" s="29" customFormat="1" outlineLevel="1" collapsed="1" x14ac:dyDescent="0.3">
      <c r="A213" s="27"/>
      <c r="B213" s="14" t="str">
        <f>CONCATENATE("     ","Travel                                            ")</f>
        <v xml:space="preserve">     Travel                                            </v>
      </c>
      <c r="C213" s="14"/>
      <c r="D213" s="1">
        <f>SUM(OSRRefD22_24x_0)</f>
        <v>24.4</v>
      </c>
      <c r="E213" s="1"/>
      <c r="F213" s="5">
        <f t="shared" si="126"/>
        <v>4.7777461045410786E-5</v>
      </c>
      <c r="G213" s="1"/>
      <c r="H213" s="1">
        <f>SUM(OSRRefH22_24x_0)</f>
        <v>0</v>
      </c>
      <c r="I213" s="1"/>
      <c r="J213" s="5">
        <f t="shared" si="127"/>
        <v>0</v>
      </c>
      <c r="K213" s="1"/>
      <c r="L213" s="1">
        <f t="shared" si="128"/>
        <v>24.4</v>
      </c>
      <c r="M213" s="1"/>
      <c r="N213" s="5">
        <f t="shared" si="129"/>
        <v>0</v>
      </c>
      <c r="O213" s="14"/>
      <c r="P213" s="1">
        <f>SUM(OSRRefP22_24x_0)</f>
        <v>882.0100000000001</v>
      </c>
      <c r="Q213" s="1"/>
      <c r="R213" s="5">
        <f t="shared" si="130"/>
        <v>2.3598690527255097E-4</v>
      </c>
      <c r="S213" s="1"/>
      <c r="T213" s="1">
        <f>SUM(OSRRefT22_24x_0)</f>
        <v>680.93</v>
      </c>
      <c r="U213" s="1"/>
      <c r="V213" s="5">
        <f t="shared" si="131"/>
        <v>2.5208415339290197E-4</v>
      </c>
      <c r="W213" s="1"/>
      <c r="X213" s="1">
        <f t="shared" si="132"/>
        <v>201.08000000000015</v>
      </c>
      <c r="Y213" s="1"/>
      <c r="Z213" s="5">
        <f t="shared" si="133"/>
        <v>0.29530201342281903</v>
      </c>
    </row>
    <row r="214" spans="1:26" s="24" customFormat="1" hidden="1" outlineLevel="2" x14ac:dyDescent="0.3">
      <c r="A214" s="28"/>
      <c r="B214" s="11" t="str">
        <f>CONCATENATE("          ", "6292", " - ", "TRAVEL/CONFERENCE")</f>
        <v xml:space="preserve">          6292 - TRAVEL/CONFERENCE</v>
      </c>
      <c r="C214" s="11"/>
      <c r="D214" s="6"/>
      <c r="E214" s="2"/>
      <c r="F214" s="7">
        <f t="shared" si="126"/>
        <v>0</v>
      </c>
      <c r="G214" s="2"/>
      <c r="H214" s="6"/>
      <c r="I214" s="2"/>
      <c r="J214" s="7">
        <f t="shared" si="127"/>
        <v>0</v>
      </c>
      <c r="K214" s="2"/>
      <c r="L214" s="6">
        <f t="shared" si="128"/>
        <v>0</v>
      </c>
      <c r="M214" s="2"/>
      <c r="N214" s="7">
        <f t="shared" si="129"/>
        <v>0</v>
      </c>
      <c r="O214" s="11"/>
      <c r="P214" s="6">
        <v>495</v>
      </c>
      <c r="Q214" s="2"/>
      <c r="R214" s="7">
        <f t="shared" si="130"/>
        <v>1.3244012892134184E-4</v>
      </c>
      <c r="S214" s="2"/>
      <c r="T214" s="6">
        <v>299.16000000000003</v>
      </c>
      <c r="U214" s="2"/>
      <c r="V214" s="7">
        <f t="shared" si="131"/>
        <v>1.1075073110161185E-4</v>
      </c>
      <c r="W214" s="2"/>
      <c r="X214" s="6">
        <f t="shared" si="132"/>
        <v>195.83999999999997</v>
      </c>
      <c r="Y214" s="2"/>
      <c r="Z214" s="7">
        <f t="shared" si="133"/>
        <v>0.65463297232250284</v>
      </c>
    </row>
    <row r="215" spans="1:26" s="24" customFormat="1" hidden="1" outlineLevel="2" x14ac:dyDescent="0.3">
      <c r="A215" s="28"/>
      <c r="B215" s="11" t="str">
        <f>CONCATENATE("          ", "6294", " - ", "TRAVEL OPERATIONAL")</f>
        <v xml:space="preserve">          6294 - TRAVEL OPERATIONAL</v>
      </c>
      <c r="C215" s="11"/>
      <c r="D215" s="6">
        <v>24.4</v>
      </c>
      <c r="E215" s="2"/>
      <c r="F215" s="7">
        <f t="shared" si="126"/>
        <v>4.7777461045410786E-5</v>
      </c>
      <c r="G215" s="2"/>
      <c r="H215" s="6"/>
      <c r="I215" s="2"/>
      <c r="J215" s="7">
        <f t="shared" si="127"/>
        <v>0</v>
      </c>
      <c r="K215" s="2"/>
      <c r="L215" s="6">
        <f t="shared" si="128"/>
        <v>24.4</v>
      </c>
      <c r="M215" s="2"/>
      <c r="N215" s="7">
        <f t="shared" si="129"/>
        <v>0</v>
      </c>
      <c r="O215" s="11"/>
      <c r="P215" s="6">
        <v>239.93</v>
      </c>
      <c r="Q215" s="2"/>
      <c r="R215" s="7">
        <f t="shared" si="130"/>
        <v>6.4194666933530404E-5</v>
      </c>
      <c r="S215" s="2"/>
      <c r="T215" s="6">
        <v>321.88</v>
      </c>
      <c r="U215" s="2"/>
      <c r="V215" s="7">
        <f t="shared" si="131"/>
        <v>1.1916180414155241E-4</v>
      </c>
      <c r="W215" s="2"/>
      <c r="X215" s="6">
        <f t="shared" si="132"/>
        <v>-81.949999999999989</v>
      </c>
      <c r="Y215" s="2"/>
      <c r="Z215" s="7">
        <f t="shared" si="133"/>
        <v>-0.25459798682738904</v>
      </c>
    </row>
    <row r="216" spans="1:26" s="24" customFormat="1" hidden="1" outlineLevel="2" x14ac:dyDescent="0.3">
      <c r="A216" s="28"/>
      <c r="B216" s="11" t="str">
        <f>CONCATENATE("          ", "6298", " - ", "VEHICLE MILEAGE")</f>
        <v xml:space="preserve">          6298 - VEHICLE MILEAGE</v>
      </c>
      <c r="C216" s="11"/>
      <c r="D216" s="6"/>
      <c r="E216" s="2"/>
      <c r="F216" s="7">
        <f t="shared" si="126"/>
        <v>0</v>
      </c>
      <c r="G216" s="2"/>
      <c r="H216" s="6"/>
      <c r="I216" s="2"/>
      <c r="J216" s="7">
        <f t="shared" si="127"/>
        <v>0</v>
      </c>
      <c r="K216" s="2"/>
      <c r="L216" s="6">
        <f t="shared" si="128"/>
        <v>0</v>
      </c>
      <c r="M216" s="2"/>
      <c r="N216" s="7">
        <f t="shared" si="129"/>
        <v>0</v>
      </c>
      <c r="O216" s="11"/>
      <c r="P216" s="6">
        <v>147.08000000000001</v>
      </c>
      <c r="Q216" s="2"/>
      <c r="R216" s="7">
        <f t="shared" si="130"/>
        <v>3.9352109417678706E-5</v>
      </c>
      <c r="S216" s="2"/>
      <c r="T216" s="6">
        <v>59.89</v>
      </c>
      <c r="U216" s="2"/>
      <c r="V216" s="7">
        <f t="shared" si="131"/>
        <v>2.2171618149737711E-5</v>
      </c>
      <c r="W216" s="2"/>
      <c r="X216" s="6">
        <f t="shared" si="132"/>
        <v>87.190000000000012</v>
      </c>
      <c r="Y216" s="2"/>
      <c r="Z216" s="7">
        <f t="shared" si="133"/>
        <v>1.455835698781099</v>
      </c>
    </row>
    <row r="217" spans="1:26" s="29" customFormat="1" outlineLevel="1" collapsed="1" x14ac:dyDescent="0.3">
      <c r="A217" s="27"/>
      <c r="B217" s="14" t="str">
        <f>CONCATENATE("     ","Utilities                                         ")</f>
        <v xml:space="preserve">     Utilities                                         </v>
      </c>
      <c r="C217" s="14"/>
      <c r="D217" s="1">
        <f>SUM(OSRRefD22_25x_0)</f>
        <v>162.91999999999999</v>
      </c>
      <c r="E217" s="1"/>
      <c r="F217" s="5">
        <f t="shared" ref="F217:F218" si="134">IF(D$12=0,0,D217/D$12)</f>
        <v>3.1901245711140675E-4</v>
      </c>
      <c r="G217" s="1"/>
      <c r="H217" s="1">
        <f>SUM(OSRRefH22_25x_0)</f>
        <v>7311.61</v>
      </c>
      <c r="I217" s="1"/>
      <c r="J217" s="5">
        <f t="shared" ref="J217:J218" si="135">IF(H$12=0,0,H217/H$12)</f>
        <v>3.1295448127039591E-2</v>
      </c>
      <c r="K217" s="1"/>
      <c r="L217" s="1">
        <f t="shared" ref="L217:L218" si="136">+D217-H217</f>
        <v>-7148.69</v>
      </c>
      <c r="M217" s="1"/>
      <c r="N217" s="5">
        <f t="shared" ref="N217:N218" si="137">IF(H217=0,0,L217/H217)</f>
        <v>-0.97771762990640909</v>
      </c>
      <c r="O217" s="14"/>
      <c r="P217" s="1">
        <f>SUM(OSRRefP22_25x_0)</f>
        <v>30846.51</v>
      </c>
      <c r="Q217" s="1"/>
      <c r="R217" s="5">
        <f t="shared" ref="R217:R218" si="138">IF(P$12=0,0,P217/P$12)</f>
        <v>8.2531631538857782E-3</v>
      </c>
      <c r="S217" s="1"/>
      <c r="T217" s="1">
        <f>SUM(OSRRefT22_25x_0)</f>
        <v>40319.42</v>
      </c>
      <c r="U217" s="1"/>
      <c r="V217" s="5">
        <f t="shared" ref="V217:V218" si="139">IF(T$12=0,0,T217/T$12)</f>
        <v>1.4926478281163761E-2</v>
      </c>
      <c r="W217" s="1"/>
      <c r="X217" s="1">
        <f t="shared" ref="X217:X218" si="140">+P217-T217</f>
        <v>-9472.91</v>
      </c>
      <c r="Y217" s="1"/>
      <c r="Z217" s="5">
        <f t="shared" ref="Z217:Z218" si="141">IF(T217=0,0,X217/T217)</f>
        <v>-0.23494658405304442</v>
      </c>
    </row>
    <row r="218" spans="1:26" s="24" customFormat="1" hidden="1" outlineLevel="2" x14ac:dyDescent="0.3">
      <c r="A218" s="28"/>
      <c r="B218" s="11" t="str">
        <f>CONCATENATE("          ", "6274", " - ", "UTILITIES")</f>
        <v xml:space="preserve">          6274 - UTILITIES</v>
      </c>
      <c r="C218" s="11"/>
      <c r="D218" s="6">
        <v>162.91999999999999</v>
      </c>
      <c r="E218" s="2"/>
      <c r="F218" s="7">
        <f t="shared" si="134"/>
        <v>3.1901245711140675E-4</v>
      </c>
      <c r="G218" s="2"/>
      <c r="H218" s="6">
        <v>7311.61</v>
      </c>
      <c r="I218" s="2"/>
      <c r="J218" s="7">
        <f t="shared" si="135"/>
        <v>3.1295448127039591E-2</v>
      </c>
      <c r="K218" s="2"/>
      <c r="L218" s="6">
        <f t="shared" si="136"/>
        <v>-7148.69</v>
      </c>
      <c r="M218" s="2"/>
      <c r="N218" s="7">
        <f t="shared" si="137"/>
        <v>-0.97771762990640909</v>
      </c>
      <c r="O218" s="11"/>
      <c r="P218" s="6">
        <v>30846.51</v>
      </c>
      <c r="Q218" s="2"/>
      <c r="R218" s="7">
        <f t="shared" si="138"/>
        <v>8.2531631538857782E-3</v>
      </c>
      <c r="S218" s="2"/>
      <c r="T218" s="6">
        <v>40319.42</v>
      </c>
      <c r="U218" s="2"/>
      <c r="V218" s="7">
        <f t="shared" si="139"/>
        <v>1.4926478281163761E-2</v>
      </c>
      <c r="W218" s="2"/>
      <c r="X218" s="6">
        <f t="shared" si="140"/>
        <v>-9472.91</v>
      </c>
      <c r="Y218" s="2"/>
      <c r="Z218" s="7">
        <f t="shared" si="141"/>
        <v>-0.23494658405304442</v>
      </c>
    </row>
    <row r="219" spans="1:26" s="53" customFormat="1" x14ac:dyDescent="0.3">
      <c r="A219" s="37"/>
      <c r="B219" s="37"/>
      <c r="C219" s="37"/>
      <c r="D219" s="1"/>
      <c r="E219" s="1"/>
      <c r="F219" s="5"/>
      <c r="G219" s="1"/>
      <c r="H219" s="1"/>
      <c r="I219" s="1"/>
      <c r="J219" s="5"/>
      <c r="K219" s="1"/>
      <c r="L219" s="1"/>
      <c r="M219" s="1"/>
      <c r="N219" s="5"/>
      <c r="O219" s="37"/>
      <c r="P219" s="1"/>
      <c r="Q219" s="1"/>
      <c r="R219" s="5"/>
      <c r="S219" s="1"/>
      <c r="T219" s="1"/>
      <c r="U219" s="1"/>
      <c r="V219" s="5"/>
      <c r="W219" s="1"/>
      <c r="X219" s="1"/>
      <c r="Y219" s="1"/>
      <c r="Z219" s="5"/>
    </row>
    <row r="220" spans="1:26" s="23" customFormat="1" collapsed="1" x14ac:dyDescent="0.3">
      <c r="A220" s="10"/>
      <c r="B220" s="25" t="s">
        <v>292</v>
      </c>
      <c r="C220" s="10"/>
      <c r="D220" s="4">
        <f>SUM(OSRRefD25x_0)</f>
        <v>13670.93</v>
      </c>
      <c r="E220" s="4"/>
      <c r="F220" s="12">
        <f t="shared" ref="F220:F224" si="142">IF(D$12=0,0,D220/D$12)</f>
        <v>2.6768947767604006E-2</v>
      </c>
      <c r="G220" s="4"/>
      <c r="H220" s="4">
        <f>SUM(OSRRefH25x_0)</f>
        <v>20009.02</v>
      </c>
      <c r="I220" s="4"/>
      <c r="J220" s="12">
        <f t="shared" ref="J220:J224" si="143">IF(H$12=0,0,H220/H$12)</f>
        <v>8.5643414717537961E-2</v>
      </c>
      <c r="K220" s="4"/>
      <c r="L220" s="4">
        <f t="shared" ref="L220:L224" si="144">+D220-H220</f>
        <v>-6338.09</v>
      </c>
      <c r="M220" s="4"/>
      <c r="N220" s="12">
        <f t="shared" ref="N220:N224" si="145">IF(H220=0,0,L220/H220)</f>
        <v>-0.31676164050013444</v>
      </c>
      <c r="O220" s="10"/>
      <c r="P220" s="4">
        <f>SUM(OSRRefP25x_0)</f>
        <v>469908.72</v>
      </c>
      <c r="Q220" s="4"/>
      <c r="R220" s="12">
        <f t="shared" ref="R220:R224" si="146">IF(P$12=0,0,P220/P$12)</f>
        <v>0.12572681102638933</v>
      </c>
      <c r="S220" s="4"/>
      <c r="T220" s="4">
        <f>SUM(OSRRefT25x_0)</f>
        <v>544389.27</v>
      </c>
      <c r="U220" s="4"/>
      <c r="V220" s="12">
        <f t="shared" ref="V220:V224" si="147">IF(T$12=0,0,T220/T$12)</f>
        <v>0.201535999653606</v>
      </c>
      <c r="W220" s="4"/>
      <c r="X220" s="4">
        <f t="shared" ref="X220:X224" si="148">+P220-T220</f>
        <v>-74480.550000000047</v>
      </c>
      <c r="Y220" s="4"/>
      <c r="Z220" s="12">
        <f t="shared" ref="Z220:Z224" si="149">IF(T220=0,0,X220/T220)</f>
        <v>-0.13681487513521354</v>
      </c>
    </row>
    <row r="221" spans="1:26" s="24" customFormat="1" hidden="1" outlineLevel="1" x14ac:dyDescent="0.3">
      <c r="A221" s="44"/>
      <c r="B221" s="11" t="str">
        <f>CONCATENATE("          ", "9150", " - ", "MISC. INCOME")</f>
        <v xml:space="preserve">          9150 - MISC. INCOME</v>
      </c>
      <c r="C221" s="11"/>
      <c r="D221" s="2">
        <f>--12739.24</f>
        <v>12739.24</v>
      </c>
      <c r="E221" s="2"/>
      <c r="F221" s="19">
        <f t="shared" si="142"/>
        <v>2.494461241180897E-2</v>
      </c>
      <c r="G221" s="2"/>
      <c r="H221" s="2">
        <f>--19529.32</f>
        <v>19529.32</v>
      </c>
      <c r="I221" s="2"/>
      <c r="J221" s="19">
        <f t="shared" si="143"/>
        <v>8.3590183422851724E-2</v>
      </c>
      <c r="K221" s="2"/>
      <c r="L221" s="2">
        <f t="shared" si="144"/>
        <v>-6790.08</v>
      </c>
      <c r="M221" s="2"/>
      <c r="N221" s="19">
        <f t="shared" si="145"/>
        <v>-0.3476864529845381</v>
      </c>
      <c r="O221" s="11"/>
      <c r="P221" s="2">
        <f>--225570.06</f>
        <v>225570.06</v>
      </c>
      <c r="Q221" s="2"/>
      <c r="R221" s="19">
        <f t="shared" si="146"/>
        <v>6.0352581469080437E-2</v>
      </c>
      <c r="S221" s="2"/>
      <c r="T221" s="2">
        <f>--218612.11</f>
        <v>218612.11</v>
      </c>
      <c r="U221" s="2"/>
      <c r="V221" s="19">
        <f t="shared" si="147"/>
        <v>8.0931444745841657E-2</v>
      </c>
      <c r="W221" s="2"/>
      <c r="X221" s="2">
        <f t="shared" si="148"/>
        <v>6957.9500000000116</v>
      </c>
      <c r="Y221" s="2"/>
      <c r="Z221" s="19">
        <f t="shared" si="149"/>
        <v>3.1827834240289857E-2</v>
      </c>
    </row>
    <row r="222" spans="1:26" s="24" customFormat="1" hidden="1" outlineLevel="1" x14ac:dyDescent="0.3">
      <c r="A222" s="44"/>
      <c r="B222" s="11" t="str">
        <f>CONCATENATE("          ", "9151", " - ", "MISC. INCOME")</f>
        <v xml:space="preserve">          9151 - MISC. INCOME</v>
      </c>
      <c r="C222" s="11"/>
      <c r="D222" s="2">
        <f>0</f>
        <v>0</v>
      </c>
      <c r="E222" s="2"/>
      <c r="F222" s="19">
        <f t="shared" si="142"/>
        <v>0</v>
      </c>
      <c r="G222" s="2"/>
      <c r="H222" s="2">
        <f>0</f>
        <v>0</v>
      </c>
      <c r="I222" s="2"/>
      <c r="J222" s="19">
        <f t="shared" si="143"/>
        <v>0</v>
      </c>
      <c r="K222" s="2"/>
      <c r="L222" s="2">
        <f t="shared" si="144"/>
        <v>0</v>
      </c>
      <c r="M222" s="2"/>
      <c r="N222" s="19">
        <f t="shared" si="145"/>
        <v>0</v>
      </c>
      <c r="O222" s="11"/>
      <c r="P222" s="2">
        <f>--168463.36</f>
        <v>168463.35999999999</v>
      </c>
      <c r="Q222" s="2"/>
      <c r="R222" s="19">
        <f t="shared" si="146"/>
        <v>4.5073351751358424E-2</v>
      </c>
      <c r="S222" s="2"/>
      <c r="T222" s="2">
        <f>--147285.39</f>
        <v>147285.39000000001</v>
      </c>
      <c r="U222" s="2"/>
      <c r="V222" s="19">
        <f t="shared" si="147"/>
        <v>5.4525887896396681E-2</v>
      </c>
      <c r="W222" s="2"/>
      <c r="X222" s="2">
        <f t="shared" si="148"/>
        <v>21177.969999999972</v>
      </c>
      <c r="Y222" s="2"/>
      <c r="Z222" s="19">
        <f t="shared" si="149"/>
        <v>0.14378866770152809</v>
      </c>
    </row>
    <row r="223" spans="1:26" s="24" customFormat="1" hidden="1" outlineLevel="1" x14ac:dyDescent="0.3">
      <c r="A223" s="44"/>
      <c r="B223" s="11" t="str">
        <f>CONCATENATE("          ", "9152", " - ", "MISC. INCOME")</f>
        <v xml:space="preserve">          9152 - MISC. INCOME</v>
      </c>
      <c r="C223" s="11"/>
      <c r="D223" s="2">
        <f>--931.69</f>
        <v>931.69</v>
      </c>
      <c r="E223" s="2"/>
      <c r="F223" s="19">
        <f t="shared" si="142"/>
        <v>1.824335355795032E-3</v>
      </c>
      <c r="G223" s="2"/>
      <c r="H223" s="2">
        <f>--479.7</f>
        <v>479.7</v>
      </c>
      <c r="I223" s="2"/>
      <c r="J223" s="19">
        <f t="shared" si="143"/>
        <v>2.0532312946862446E-3</v>
      </c>
      <c r="K223" s="2"/>
      <c r="L223" s="2">
        <f t="shared" si="144"/>
        <v>451.99000000000007</v>
      </c>
      <c r="M223" s="2"/>
      <c r="N223" s="19">
        <f t="shared" si="145"/>
        <v>0.94223473003960823</v>
      </c>
      <c r="O223" s="11"/>
      <c r="P223" s="2">
        <f>--3127.1</f>
        <v>3127.1</v>
      </c>
      <c r="Q223" s="2"/>
      <c r="R223" s="19">
        <f t="shared" si="146"/>
        <v>8.3667379222207691E-4</v>
      </c>
      <c r="S223" s="2"/>
      <c r="T223" s="2">
        <f>--3085.93</f>
        <v>3085.93</v>
      </c>
      <c r="U223" s="2"/>
      <c r="V223" s="19">
        <f t="shared" si="147"/>
        <v>1.1424288127704139E-3</v>
      </c>
      <c r="W223" s="2"/>
      <c r="X223" s="2">
        <f t="shared" si="148"/>
        <v>41.170000000000073</v>
      </c>
      <c r="Y223" s="2"/>
      <c r="Z223" s="19">
        <f t="shared" si="149"/>
        <v>1.3341196981136991E-2</v>
      </c>
    </row>
    <row r="224" spans="1:26" s="24" customFormat="1" hidden="1" outlineLevel="1" x14ac:dyDescent="0.3">
      <c r="A224" s="44"/>
      <c r="B224" s="11" t="str">
        <f>CONCATENATE("          ", "9163", " - ", "MISC. INCOME")</f>
        <v xml:space="preserve">          9163 - MISC. INCOME</v>
      </c>
      <c r="C224" s="11"/>
      <c r="D224" s="2">
        <f>0</f>
        <v>0</v>
      </c>
      <c r="E224" s="2"/>
      <c r="F224" s="19">
        <f t="shared" si="142"/>
        <v>0</v>
      </c>
      <c r="G224" s="2"/>
      <c r="H224" s="2">
        <f>0</f>
        <v>0</v>
      </c>
      <c r="I224" s="2"/>
      <c r="J224" s="19">
        <f t="shared" si="143"/>
        <v>0</v>
      </c>
      <c r="K224" s="2"/>
      <c r="L224" s="2">
        <f t="shared" si="144"/>
        <v>0</v>
      </c>
      <c r="M224" s="2"/>
      <c r="N224" s="19">
        <f t="shared" si="145"/>
        <v>0</v>
      </c>
      <c r="O224" s="11"/>
      <c r="P224" s="2">
        <f>--72748.2</f>
        <v>72748.2</v>
      </c>
      <c r="Q224" s="2"/>
      <c r="R224" s="19">
        <f t="shared" si="146"/>
        <v>1.9464204013728406E-2</v>
      </c>
      <c r="S224" s="2"/>
      <c r="T224" s="2">
        <f>--175405.84</f>
        <v>175405.84</v>
      </c>
      <c r="U224" s="2"/>
      <c r="V224" s="19">
        <f t="shared" si="147"/>
        <v>6.4936238198597243E-2</v>
      </c>
      <c r="W224" s="2"/>
      <c r="X224" s="2">
        <f t="shared" si="148"/>
        <v>-102657.64</v>
      </c>
      <c r="Y224" s="2"/>
      <c r="Z224" s="19">
        <f t="shared" si="149"/>
        <v>-0.58525782265858428</v>
      </c>
    </row>
    <row r="225" spans="1:26" x14ac:dyDescent="0.3">
      <c r="A225" s="9"/>
      <c r="B225" s="10"/>
      <c r="C225" s="10"/>
      <c r="D225" s="3"/>
      <c r="E225" s="3"/>
      <c r="F225" s="8"/>
      <c r="G225" s="3"/>
      <c r="H225" s="3"/>
      <c r="I225" s="3"/>
      <c r="J225" s="8"/>
      <c r="K225" s="3"/>
      <c r="L225" s="3"/>
      <c r="M225" s="3"/>
      <c r="N225" s="8"/>
      <c r="O225" s="10"/>
      <c r="P225" s="3"/>
      <c r="Q225" s="3"/>
      <c r="R225" s="8"/>
      <c r="S225" s="3"/>
      <c r="T225" s="3"/>
      <c r="U225" s="3"/>
      <c r="V225" s="8"/>
      <c r="W225" s="3"/>
      <c r="X225" s="3"/>
      <c r="Y225" s="3"/>
      <c r="Z225" s="8"/>
    </row>
    <row r="226" spans="1:26" s="23" customFormat="1" x14ac:dyDescent="0.3">
      <c r="A226" s="10"/>
      <c r="B226" s="26" t="s">
        <v>276</v>
      </c>
      <c r="C226" s="26"/>
      <c r="D226" s="20">
        <f>+D126-D128+D220</f>
        <v>-39543.519999999953</v>
      </c>
      <c r="E226" s="13"/>
      <c r="F226" s="21">
        <f>IF(D$12=0,0,D226/D$12)</f>
        <v>-7.7429876491738533E-2</v>
      </c>
      <c r="G226" s="13"/>
      <c r="H226" s="20">
        <f>+H126-H128+H220</f>
        <v>-148555.46000000014</v>
      </c>
      <c r="I226" s="13"/>
      <c r="J226" s="21">
        <f>IF(H$12=0,0,H226/H$12)</f>
        <v>-0.63585307373047928</v>
      </c>
      <c r="K226" s="15"/>
      <c r="L226" s="20">
        <f>+D226-H226</f>
        <v>109011.94000000018</v>
      </c>
      <c r="M226" s="15"/>
      <c r="N226" s="21">
        <f>IF(H226=0,0,L226/H226)</f>
        <v>-0.73381308233302278</v>
      </c>
      <c r="O226" s="25"/>
      <c r="P226" s="20">
        <f>+P126-P128+P220</f>
        <v>-36462.749999999767</v>
      </c>
      <c r="Q226" s="13"/>
      <c r="R226" s="21">
        <f>IF(P$12=0,0,P226/P$12)</f>
        <v>-9.7558208299527802E-3</v>
      </c>
      <c r="S226" s="13"/>
      <c r="T226" s="20">
        <f>+T126-T128+T220</f>
        <v>-277601.80999999982</v>
      </c>
      <c r="U226" s="13"/>
      <c r="V226" s="21">
        <f>IF(T$12=0,0,T226/T$12)</f>
        <v>-0.10276976672225807</v>
      </c>
      <c r="W226" s="15"/>
      <c r="X226" s="20">
        <f>+P226-T226</f>
        <v>241139.06000000006</v>
      </c>
      <c r="Y226" s="15"/>
      <c r="Z226" s="21">
        <f>IF(T226=0,0,X226/T226)</f>
        <v>-0.86865089244194849</v>
      </c>
    </row>
    <row r="227" spans="1:26" x14ac:dyDescent="0.3">
      <c r="A227" s="9"/>
      <c r="B227" s="10"/>
      <c r="C227" s="9"/>
      <c r="D227" s="3"/>
      <c r="E227" s="3"/>
      <c r="F227" s="8"/>
      <c r="G227" s="3"/>
      <c r="H227" s="3"/>
      <c r="I227" s="3"/>
      <c r="J227" s="8"/>
      <c r="K227" s="3"/>
      <c r="L227" s="3"/>
      <c r="M227" s="3"/>
      <c r="N227" s="8"/>
      <c r="P227" s="3"/>
      <c r="Q227" s="3"/>
      <c r="R227" s="8"/>
      <c r="S227" s="3"/>
      <c r="T227" s="3"/>
      <c r="U227" s="3"/>
      <c r="V227" s="8"/>
      <c r="W227" s="3"/>
      <c r="X227" s="3"/>
      <c r="Y227" s="3"/>
      <c r="Z227" s="8"/>
    </row>
    <row r="228" spans="1:26" s="23" customFormat="1" x14ac:dyDescent="0.3">
      <c r="A228" s="51"/>
      <c r="B228" s="10" t="s">
        <v>127</v>
      </c>
      <c r="C228" s="10"/>
      <c r="D228" s="4">
        <v>65536.3</v>
      </c>
      <c r="E228" s="4"/>
      <c r="F228" s="12">
        <f>IF(D$12=0,0,D228/D$12)</f>
        <v>0.12832614837337522</v>
      </c>
      <c r="G228" s="4"/>
      <c r="H228" s="4">
        <v>107682.57</v>
      </c>
      <c r="I228" s="4"/>
      <c r="J228" s="12">
        <f>IF(H$12=0,0,H228/H$12)</f>
        <v>0.46090728083435933</v>
      </c>
      <c r="K228" s="4"/>
      <c r="L228" s="4">
        <f>+D228-H228</f>
        <v>-42146.270000000004</v>
      </c>
      <c r="M228" s="4"/>
      <c r="N228" s="12">
        <f>IF(H228=0,0,L228/H228)</f>
        <v>-0.39139361179808396</v>
      </c>
      <c r="O228" s="10"/>
      <c r="P228" s="4">
        <v>449890.44</v>
      </c>
      <c r="Q228" s="4"/>
      <c r="R228" s="12">
        <f>IF(P$12=0,0,P228/P$12)</f>
        <v>0.12037080378601861</v>
      </c>
      <c r="S228" s="4"/>
      <c r="T228" s="4">
        <v>499779.4</v>
      </c>
      <c r="U228" s="4"/>
      <c r="V228" s="12">
        <f>IF(T$12=0,0,T228/T$12)</f>
        <v>0.18502117241451033</v>
      </c>
      <c r="W228" s="4"/>
      <c r="X228" s="4">
        <f>+P228-T228</f>
        <v>-49888.960000000021</v>
      </c>
      <c r="Y228" s="4"/>
      <c r="Z228" s="12">
        <f>IF(T228=0,0,X228/T228)</f>
        <v>-9.9821961449391511E-2</v>
      </c>
    </row>
    <row r="229" spans="1:26" x14ac:dyDescent="0.3">
      <c r="A229" s="9"/>
      <c r="B229" s="10"/>
      <c r="C229" s="10"/>
      <c r="D229" s="3"/>
      <c r="E229" s="3"/>
      <c r="F229" s="8"/>
      <c r="G229" s="3"/>
      <c r="H229" s="3"/>
      <c r="I229" s="3"/>
      <c r="J229" s="8"/>
      <c r="K229" s="3"/>
      <c r="L229" s="3"/>
      <c r="M229" s="3"/>
      <c r="N229" s="8"/>
      <c r="O229" s="10"/>
      <c r="P229" s="3"/>
      <c r="Q229" s="3"/>
      <c r="R229" s="8"/>
      <c r="S229" s="3"/>
      <c r="T229" s="3"/>
      <c r="U229" s="3"/>
      <c r="V229" s="8"/>
      <c r="W229" s="3"/>
      <c r="X229" s="3"/>
      <c r="Y229" s="3"/>
      <c r="Z229" s="8"/>
    </row>
    <row r="230" spans="1:26" s="23" customFormat="1" ht="15" thickBot="1" x14ac:dyDescent="0.35">
      <c r="A230" s="10"/>
      <c r="B230" s="26" t="s">
        <v>125</v>
      </c>
      <c r="C230" s="26"/>
      <c r="D230" s="32">
        <f>+D226-D228</f>
        <v>-105079.81999999995</v>
      </c>
      <c r="E230" s="13"/>
      <c r="F230" s="35">
        <f>IF(D$12=0,0,D230/D$12)</f>
        <v>-0.20575602486511374</v>
      </c>
      <c r="G230" s="13"/>
      <c r="H230" s="32">
        <f>+H226-H228</f>
        <v>-256238.03000000014</v>
      </c>
      <c r="I230" s="13"/>
      <c r="J230" s="35">
        <f>IF(H$12=0,0,H230/H$12)</f>
        <v>-1.0967603545648386</v>
      </c>
      <c r="K230" s="15"/>
      <c r="L230" s="32">
        <f>D230-H230</f>
        <v>151158.2100000002</v>
      </c>
      <c r="M230" s="15"/>
      <c r="N230" s="35">
        <f>IF(H230=0,0,L230/H230)</f>
        <v>-0.58991325370398806</v>
      </c>
      <c r="O230" s="25"/>
      <c r="P230" s="32">
        <f>+P226-P228</f>
        <v>-486353.18999999977</v>
      </c>
      <c r="Q230" s="13"/>
      <c r="R230" s="35">
        <f>IF(P$12=0,0,P230/P$12)</f>
        <v>-0.13012662461597138</v>
      </c>
      <c r="S230" s="13"/>
      <c r="T230" s="32">
        <f>+T226-T228</f>
        <v>-777381.20999999985</v>
      </c>
      <c r="U230" s="13"/>
      <c r="V230" s="35">
        <f>IF(T$12=0,0,T230/T$12)</f>
        <v>-0.2877909391367684</v>
      </c>
      <c r="W230" s="15"/>
      <c r="X230" s="32">
        <f>P230-T230</f>
        <v>291028.02000000008</v>
      </c>
      <c r="Y230" s="15"/>
      <c r="Z230" s="35">
        <f>IF(T230=0,0,X230/T230)</f>
        <v>-0.37436976383825915</v>
      </c>
    </row>
    <row r="231" spans="1:26" ht="15" thickTop="1" x14ac:dyDescent="0.3">
      <c r="A231" s="9"/>
      <c r="B231" s="9"/>
      <c r="C231" s="9"/>
      <c r="D231" s="3"/>
      <c r="E231" s="3"/>
      <c r="F231" s="8"/>
      <c r="G231" s="3"/>
      <c r="H231" s="3"/>
      <c r="I231" s="3"/>
      <c r="J231" s="8"/>
      <c r="K231" s="3"/>
      <c r="L231" s="3"/>
      <c r="M231" s="3"/>
      <c r="N231" s="8"/>
      <c r="P231" s="3"/>
      <c r="Q231" s="3"/>
      <c r="R231" s="8"/>
      <c r="S231" s="3"/>
      <c r="T231" s="3"/>
      <c r="U231" s="3"/>
      <c r="V231" s="8"/>
      <c r="W231" s="3"/>
      <c r="X231" s="3"/>
      <c r="Y231" s="3"/>
      <c r="Z231" s="8"/>
    </row>
    <row r="232" spans="1:26" x14ac:dyDescent="0.3">
      <c r="A232" s="9"/>
      <c r="B232" s="9"/>
      <c r="C232" s="9"/>
      <c r="D232" s="3"/>
      <c r="E232" s="3"/>
      <c r="F232" s="8"/>
      <c r="G232" s="3"/>
      <c r="H232" s="3"/>
      <c r="I232" s="3"/>
      <c r="J232" s="8"/>
      <c r="K232" s="3"/>
      <c r="L232" s="3"/>
      <c r="M232" s="3"/>
      <c r="N232" s="8"/>
      <c r="P232" s="3"/>
      <c r="Q232" s="3"/>
      <c r="R232" s="8"/>
      <c r="S232" s="3"/>
      <c r="T232" s="3"/>
      <c r="U232" s="3"/>
      <c r="V232" s="8"/>
      <c r="W232" s="3"/>
      <c r="X232" s="3"/>
      <c r="Y232" s="3"/>
      <c r="Z232" s="8"/>
    </row>
    <row r="233" spans="1:26" s="23" customFormat="1" ht="15" thickBot="1" x14ac:dyDescent="0.35">
      <c r="A233" s="10"/>
      <c r="B233" s="26" t="s">
        <v>293</v>
      </c>
      <c r="C233" s="26"/>
      <c r="D233" s="31">
        <f>SUM(D230:D232)</f>
        <v>-105079.81999999995</v>
      </c>
      <c r="E233" s="13"/>
      <c r="F233" s="33">
        <f>IF(D$12=0,0,D233/D$12)</f>
        <v>-0.20575602486511374</v>
      </c>
      <c r="G233" s="13"/>
      <c r="H233" s="31">
        <f>SUM(H230:H232)</f>
        <v>-256238.03000000014</v>
      </c>
      <c r="I233" s="13"/>
      <c r="J233" s="33">
        <f>IF(H$12=0,0,H233/H$12)</f>
        <v>-1.0967603545648386</v>
      </c>
      <c r="K233" s="15"/>
      <c r="L233" s="31">
        <f>+D233-H233</f>
        <v>151158.2100000002</v>
      </c>
      <c r="M233" s="15"/>
      <c r="N233" s="33">
        <f>IF(H233=0,0,L233/H233)</f>
        <v>-0.58991325370398806</v>
      </c>
      <c r="O233" s="25"/>
      <c r="P233" s="31">
        <f>SUM(P230:P232)</f>
        <v>-486353.18999999977</v>
      </c>
      <c r="Q233" s="13"/>
      <c r="R233" s="33">
        <f>IF(P$12=0,0,P233/P$12)</f>
        <v>-0.13012662461597138</v>
      </c>
      <c r="S233" s="13"/>
      <c r="T233" s="31">
        <f>SUM(T230:T232)</f>
        <v>-777381.20999999985</v>
      </c>
      <c r="U233" s="13"/>
      <c r="V233" s="33">
        <f>IF(T$12=0,0,T233/T$12)</f>
        <v>-0.2877909391367684</v>
      </c>
      <c r="W233" s="15"/>
      <c r="X233" s="31">
        <f>+P233-T233</f>
        <v>291028.02000000008</v>
      </c>
      <c r="Y233" s="15"/>
      <c r="Z233" s="33">
        <f>IF(T233=0,0,X233/T233)</f>
        <v>-0.37436976383825915</v>
      </c>
    </row>
    <row r="234" spans="1:26" ht="15" thickTop="1" x14ac:dyDescent="0.3">
      <c r="A234" s="9"/>
      <c r="C234" s="9"/>
      <c r="D234" s="17"/>
      <c r="E234" s="17"/>
      <c r="G234" s="17"/>
      <c r="H234" s="17"/>
      <c r="I234" s="17"/>
      <c r="J234" s="43"/>
      <c r="K234" s="17"/>
      <c r="L234" s="17"/>
      <c r="M234" s="17"/>
      <c r="P234" s="17"/>
      <c r="Q234" s="17"/>
      <c r="R234" s="43"/>
      <c r="S234" s="17"/>
      <c r="T234" s="17"/>
      <c r="U234" s="17"/>
      <c r="V234" s="43"/>
      <c r="W234" s="17"/>
      <c r="X234" s="17"/>
    </row>
    <row r="235" spans="1:26" x14ac:dyDescent="0.3">
      <c r="A235" s="9"/>
      <c r="B235" s="60">
        <v>44575.854610567127</v>
      </c>
      <c r="D235" s="17"/>
      <c r="E235" s="17"/>
      <c r="G235" s="17"/>
      <c r="H235" s="17"/>
      <c r="I235" s="17"/>
      <c r="J235" s="43"/>
      <c r="K235" s="17"/>
      <c r="L235" s="17"/>
      <c r="M235" s="17"/>
      <c r="P235" s="17"/>
      <c r="Q235" s="17"/>
      <c r="R235" s="43"/>
      <c r="S235" s="17"/>
      <c r="T235" s="17"/>
      <c r="U235" s="17"/>
      <c r="V235" s="43"/>
      <c r="W235" s="17"/>
      <c r="X235" s="17"/>
    </row>
    <row r="236" spans="1:26" x14ac:dyDescent="0.3">
      <c r="A236" s="9"/>
      <c r="B236" s="57" t="s">
        <v>56</v>
      </c>
      <c r="D236" s="17"/>
      <c r="E236" s="17"/>
      <c r="G236" s="17"/>
      <c r="H236" s="17"/>
      <c r="I236" s="17"/>
      <c r="J236" s="43"/>
      <c r="K236" s="17"/>
      <c r="L236" s="17"/>
      <c r="M236" s="17"/>
      <c r="P236" s="17"/>
      <c r="Q236" s="17"/>
      <c r="R236" s="43"/>
      <c r="S236" s="17"/>
      <c r="T236" s="17"/>
      <c r="U236" s="17"/>
      <c r="V236" s="43"/>
      <c r="W236" s="17"/>
      <c r="X236" s="17"/>
    </row>
    <row r="237" spans="1:26" x14ac:dyDescent="0.3">
      <c r="A237" s="9"/>
      <c r="B237" s="59"/>
      <c r="D237" s="17"/>
      <c r="E237" s="17"/>
      <c r="G237" s="17"/>
      <c r="H237" s="17"/>
      <c r="I237" s="17"/>
      <c r="J237" s="43"/>
      <c r="K237" s="17"/>
      <c r="L237" s="17"/>
      <c r="M237" s="17"/>
      <c r="P237" s="17"/>
      <c r="Q237" s="17"/>
      <c r="R237" s="43"/>
      <c r="S237" s="17"/>
      <c r="T237" s="17"/>
      <c r="U237" s="17"/>
      <c r="V237" s="43"/>
      <c r="W237" s="17"/>
      <c r="X237" s="17"/>
    </row>
    <row r="238" spans="1:26" x14ac:dyDescent="0.3">
      <c r="D238" s="17"/>
      <c r="E238" s="17"/>
      <c r="G238" s="17"/>
      <c r="H238" s="17"/>
      <c r="I238" s="17"/>
      <c r="J238" s="43"/>
      <c r="K238" s="17"/>
      <c r="L238" s="17"/>
      <c r="M238" s="17"/>
      <c r="P238" s="17"/>
      <c r="Q238" s="17"/>
      <c r="R238" s="43"/>
      <c r="S238" s="17"/>
      <c r="T238" s="17"/>
      <c r="U238" s="17"/>
      <c r="V238" s="43"/>
      <c r="W238" s="17"/>
      <c r="X238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</sheetPr>
  <dimension ref="A2:Z23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255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498222.84000000008</v>
      </c>
      <c r="E12" s="4"/>
      <c r="F12" s="12"/>
      <c r="G12" s="4"/>
      <c r="H12" s="4">
        <f>SUM(OSRRefH13x_0)</f>
        <v>233631.73999999996</v>
      </c>
      <c r="I12" s="4"/>
      <c r="J12" s="12"/>
      <c r="K12" s="4"/>
      <c r="L12" s="4">
        <f t="shared" ref="L12:L77" si="0">+D12-H12</f>
        <v>264591.10000000009</v>
      </c>
      <c r="M12" s="4"/>
      <c r="N12" s="12">
        <f t="shared" ref="N12:N77" si="1">IF(H12=0,0,L12/H12)</f>
        <v>1.1325135018041648</v>
      </c>
      <c r="O12" s="10"/>
      <c r="P12" s="4">
        <f>SUM(OSRRefP13x_0)</f>
        <v>3661130.39</v>
      </c>
      <c r="Q12" s="4"/>
      <c r="R12" s="12"/>
      <c r="S12" s="4"/>
      <c r="T12" s="4">
        <f>SUM(OSRRefT13x_0)</f>
        <v>2698614.6599999997</v>
      </c>
      <c r="U12" s="4"/>
      <c r="V12" s="12"/>
      <c r="W12" s="4"/>
      <c r="X12" s="4">
        <f t="shared" ref="X12:X77" si="2">+P12-T12</f>
        <v>962515.73000000045</v>
      </c>
      <c r="Y12" s="4"/>
      <c r="Z12" s="12">
        <f t="shared" ref="Z12:Z77" si="3">IF(T12=0,0,X12/T12)</f>
        <v>0.35667031098096852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--480652.92</f>
        <v>480652.92</v>
      </c>
      <c r="E13" s="2"/>
      <c r="F13" s="19"/>
      <c r="G13" s="2"/>
      <c r="H13" s="2">
        <f>-31830.44</f>
        <v>-31830.44</v>
      </c>
      <c r="I13" s="2"/>
      <c r="J13" s="19"/>
      <c r="K13" s="2"/>
      <c r="L13" s="2">
        <f t="shared" si="0"/>
        <v>512483.36</v>
      </c>
      <c r="M13" s="2"/>
      <c r="N13" s="19">
        <f t="shared" si="1"/>
        <v>-16.100417085029299</v>
      </c>
      <c r="O13" s="11"/>
      <c r="P13" s="2">
        <f>--3112755.71</f>
        <v>3112755.71</v>
      </c>
      <c r="Q13" s="2"/>
      <c r="R13" s="19"/>
      <c r="S13" s="2"/>
      <c r="T13" s="2">
        <f>-88829.09</f>
        <v>-88829.09</v>
      </c>
      <c r="U13" s="2"/>
      <c r="V13" s="19"/>
      <c r="W13" s="2"/>
      <c r="X13" s="2">
        <f t="shared" si="2"/>
        <v>3201584.8</v>
      </c>
      <c r="Y13" s="2"/>
      <c r="Z13" s="19">
        <f t="shared" si="3"/>
        <v>-36.042075856006178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3" si="4">0</f>
        <v>0</v>
      </c>
      <c r="E14" s="2"/>
      <c r="F14" s="19"/>
      <c r="G14" s="2"/>
      <c r="H14" s="2">
        <f>--11522</f>
        <v>11522</v>
      </c>
      <c r="I14" s="2"/>
      <c r="J14" s="19"/>
      <c r="K14" s="2"/>
      <c r="L14" s="2">
        <f t="shared" si="0"/>
        <v>-11522</v>
      </c>
      <c r="M14" s="2"/>
      <c r="N14" s="19">
        <f t="shared" si="1"/>
        <v>-1</v>
      </c>
      <c r="O14" s="11"/>
      <c r="P14" s="2">
        <f t="shared" ref="P14:P33" si="5">0</f>
        <v>0</v>
      </c>
      <c r="Q14" s="2"/>
      <c r="R14" s="19"/>
      <c r="S14" s="2"/>
      <c r="T14" s="2">
        <f>--730666.02</f>
        <v>730666.02</v>
      </c>
      <c r="U14" s="2"/>
      <c r="V14" s="19"/>
      <c r="W14" s="2"/>
      <c r="X14" s="2">
        <f t="shared" si="2"/>
        <v>-730666.02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--2822.44</f>
        <v>2822.44</v>
      </c>
      <c r="I15" s="2"/>
      <c r="J15" s="19"/>
      <c r="K15" s="2"/>
      <c r="L15" s="2">
        <f t="shared" si="0"/>
        <v>-2822.44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--323454.06</f>
        <v>323454.06</v>
      </c>
      <c r="U15" s="2"/>
      <c r="V15" s="19"/>
      <c r="W15" s="2"/>
      <c r="X15" s="2">
        <f t="shared" si="2"/>
        <v>-323454.06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--10665.63</f>
        <v>10665.63</v>
      </c>
      <c r="U16" s="2"/>
      <c r="V16" s="19"/>
      <c r="W16" s="2"/>
      <c r="X16" s="2">
        <f t="shared" si="2"/>
        <v>-10665.63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5"/>
        <v>0</v>
      </c>
      <c r="Q17" s="2"/>
      <c r="R17" s="19"/>
      <c r="S17" s="2"/>
      <c r="T17" s="2">
        <f>--2459.56</f>
        <v>2459.56</v>
      </c>
      <c r="U17" s="2"/>
      <c r="V17" s="19"/>
      <c r="W17" s="2"/>
      <c r="X17" s="2">
        <f t="shared" si="2"/>
        <v>-2459.56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--78.85</f>
        <v>78.849999999999994</v>
      </c>
      <c r="I18" s="2"/>
      <c r="J18" s="19"/>
      <c r="K18" s="2"/>
      <c r="L18" s="2">
        <f t="shared" si="0"/>
        <v>-78.849999999999994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--583.97</f>
        <v>583.97</v>
      </c>
      <c r="U18" s="2"/>
      <c r="V18" s="19"/>
      <c r="W18" s="2"/>
      <c r="X18" s="2">
        <f t="shared" si="2"/>
        <v>-583.97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--35.82</f>
        <v>35.82</v>
      </c>
      <c r="I19" s="2"/>
      <c r="J19" s="19"/>
      <c r="K19" s="2"/>
      <c r="L19" s="2">
        <f t="shared" si="0"/>
        <v>-35.82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--376.06</f>
        <v>376.06</v>
      </c>
      <c r="U19" s="2"/>
      <c r="V19" s="19"/>
      <c r="W19" s="2"/>
      <c r="X19" s="2">
        <f t="shared" si="2"/>
        <v>-376.06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--6.95</f>
        <v>6.95</v>
      </c>
      <c r="I20" s="2"/>
      <c r="J20" s="19"/>
      <c r="K20" s="2"/>
      <c r="L20" s="2">
        <f t="shared" si="0"/>
        <v>-6.95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--190.84</f>
        <v>190.84</v>
      </c>
      <c r="U20" s="2"/>
      <c r="V20" s="19"/>
      <c r="W20" s="2"/>
      <c r="X20" s="2">
        <f t="shared" si="2"/>
        <v>-190.84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--75.18</f>
        <v>75.180000000000007</v>
      </c>
      <c r="I21" s="2"/>
      <c r="J21" s="19"/>
      <c r="K21" s="2"/>
      <c r="L21" s="2">
        <f t="shared" si="0"/>
        <v>-75.180000000000007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--372.38</f>
        <v>372.38</v>
      </c>
      <c r="U21" s="2"/>
      <c r="V21" s="19"/>
      <c r="W21" s="2"/>
      <c r="X21" s="2">
        <f t="shared" si="2"/>
        <v>-372.38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--3253.96</f>
        <v>3253.96</v>
      </c>
      <c r="I22" s="2"/>
      <c r="J22" s="19"/>
      <c r="K22" s="2"/>
      <c r="L22" s="2">
        <f t="shared" si="0"/>
        <v>-3253.96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--39974.43</f>
        <v>39974.43</v>
      </c>
      <c r="U22" s="2"/>
      <c r="V22" s="19"/>
      <c r="W22" s="2"/>
      <c r="X22" s="2">
        <f t="shared" si="2"/>
        <v>-39974.43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--1179.23</f>
        <v>1179.23</v>
      </c>
      <c r="I23" s="2"/>
      <c r="J23" s="19"/>
      <c r="K23" s="2"/>
      <c r="L23" s="2">
        <f t="shared" si="0"/>
        <v>-1179.23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--17178.81</f>
        <v>17178.810000000001</v>
      </c>
      <c r="U23" s="2"/>
      <c r="V23" s="19"/>
      <c r="W23" s="2"/>
      <c r="X23" s="2">
        <f t="shared" si="2"/>
        <v>-17178.810000000001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--247.04</f>
        <v>247.04</v>
      </c>
      <c r="I24" s="2"/>
      <c r="J24" s="19"/>
      <c r="K24" s="2"/>
      <c r="L24" s="2">
        <f t="shared" si="0"/>
        <v>-247.04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--2109.65</f>
        <v>2109.65</v>
      </c>
      <c r="U24" s="2"/>
      <c r="V24" s="19"/>
      <c r="W24" s="2"/>
      <c r="X24" s="2">
        <f t="shared" si="2"/>
        <v>-2109.65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"4034", " - ", "TAXABLE SALES-SODA")</f>
        <v xml:space="preserve">          4034 - TAXABLE SALES-SODA</v>
      </c>
      <c r="C25" s="11"/>
      <c r="D25" s="2">
        <f t="shared" si="4"/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5"/>
        <v>0</v>
      </c>
      <c r="Q25" s="2"/>
      <c r="R25" s="19"/>
      <c r="S25" s="2"/>
      <c r="T25" s="2">
        <f>--6.78</f>
        <v>6.78</v>
      </c>
      <c r="U25" s="2"/>
      <c r="V25" s="19"/>
      <c r="W25" s="2"/>
      <c r="X25" s="2">
        <f t="shared" si="2"/>
        <v>-6.78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"4040", " - ", "TAXABLE SALES-LOGO CLOTHING")</f>
        <v xml:space="preserve">          4040 - TAXABLE SALES-LOGO CLOTHING</v>
      </c>
      <c r="C26" s="11"/>
      <c r="D26" s="2">
        <f t="shared" si="4"/>
        <v>0</v>
      </c>
      <c r="E26" s="2"/>
      <c r="F26" s="19"/>
      <c r="G26" s="2"/>
      <c r="H26" s="2">
        <f>--84378.29</f>
        <v>84378.29</v>
      </c>
      <c r="I26" s="2"/>
      <c r="J26" s="19"/>
      <c r="K26" s="2"/>
      <c r="L26" s="2">
        <f t="shared" si="0"/>
        <v>-84378.29</v>
      </c>
      <c r="M26" s="2"/>
      <c r="N26" s="19">
        <f t="shared" si="1"/>
        <v>-1</v>
      </c>
      <c r="O26" s="11"/>
      <c r="P26" s="2">
        <f t="shared" si="5"/>
        <v>0</v>
      </c>
      <c r="Q26" s="2"/>
      <c r="R26" s="19"/>
      <c r="S26" s="2"/>
      <c r="T26" s="2">
        <f>--508110.99</f>
        <v>508110.99</v>
      </c>
      <c r="U26" s="2"/>
      <c r="V26" s="19"/>
      <c r="W26" s="2"/>
      <c r="X26" s="2">
        <f t="shared" si="2"/>
        <v>-508110.99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"4041", " - ", "TAXABLE SALES-LOGO GIFTS")</f>
        <v xml:space="preserve">          4041 - TAXABLE SALES-LOGO GIFTS</v>
      </c>
      <c r="C27" s="11"/>
      <c r="D27" s="2">
        <f t="shared" si="4"/>
        <v>0</v>
      </c>
      <c r="E27" s="2"/>
      <c r="F27" s="19"/>
      <c r="G27" s="2"/>
      <c r="H27" s="2">
        <f>--32217.83</f>
        <v>32217.83</v>
      </c>
      <c r="I27" s="2"/>
      <c r="J27" s="19"/>
      <c r="K27" s="2"/>
      <c r="L27" s="2">
        <f t="shared" si="0"/>
        <v>-32217.83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--197618.32</f>
        <v>197618.32</v>
      </c>
      <c r="U27" s="2"/>
      <c r="V27" s="19"/>
      <c r="W27" s="2"/>
      <c r="X27" s="2">
        <f t="shared" si="2"/>
        <v>-197618.32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"4042", " - ", "TAXABLE SALES-EVERYDAY GIFTS")</f>
        <v xml:space="preserve">          4042 - TAXABLE SALES-EVERYDAY GIFTS</v>
      </c>
      <c r="C28" s="11"/>
      <c r="D28" s="2">
        <f t="shared" si="4"/>
        <v>0</v>
      </c>
      <c r="E28" s="2"/>
      <c r="F28" s="19"/>
      <c r="G28" s="2"/>
      <c r="H28" s="2">
        <f>--8018.58</f>
        <v>8018.58</v>
      </c>
      <c r="I28" s="2"/>
      <c r="J28" s="19"/>
      <c r="K28" s="2"/>
      <c r="L28" s="2">
        <f t="shared" si="0"/>
        <v>-8018.58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--64897.7</f>
        <v>64897.7</v>
      </c>
      <c r="U28" s="2"/>
      <c r="V28" s="19"/>
      <c r="W28" s="2"/>
      <c r="X28" s="2">
        <f t="shared" si="2"/>
        <v>-64897.7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"4043", " - ", "TAXABLE SALES-CARDS")</f>
        <v xml:space="preserve">          4043 - TAXABLE SALES-CARDS</v>
      </c>
      <c r="C29" s="11"/>
      <c r="D29" s="2">
        <f t="shared" si="4"/>
        <v>0</v>
      </c>
      <c r="E29" s="2"/>
      <c r="F29" s="19"/>
      <c r="G29" s="2"/>
      <c r="H29" s="2">
        <f>--35930.93</f>
        <v>35930.93</v>
      </c>
      <c r="I29" s="2"/>
      <c r="J29" s="19"/>
      <c r="K29" s="2"/>
      <c r="L29" s="2">
        <f t="shared" si="0"/>
        <v>-35930.93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--93109.15</f>
        <v>93109.15</v>
      </c>
      <c r="U29" s="2"/>
      <c r="V29" s="19"/>
      <c r="W29" s="2"/>
      <c r="X29" s="2">
        <f t="shared" si="2"/>
        <v>-93109.15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"4044", " - ", "TAXABLE SALES-ACCESSORIES")</f>
        <v xml:space="preserve">          4044 - TAXABLE SALES-ACCESSORIES</v>
      </c>
      <c r="C30" s="11"/>
      <c r="D30" s="2">
        <f t="shared" si="4"/>
        <v>0</v>
      </c>
      <c r="E30" s="2"/>
      <c r="F30" s="19"/>
      <c r="G30" s="2"/>
      <c r="H30" s="2">
        <f>--11267.16</f>
        <v>11267.16</v>
      </c>
      <c r="I30" s="2"/>
      <c r="J30" s="19"/>
      <c r="K30" s="2"/>
      <c r="L30" s="2">
        <f t="shared" si="0"/>
        <v>-11267.16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--26273.67</f>
        <v>26273.67</v>
      </c>
      <c r="U30" s="2"/>
      <c r="V30" s="19"/>
      <c r="W30" s="2"/>
      <c r="X30" s="2">
        <f t="shared" si="2"/>
        <v>-26273.67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"4045", " - ", "TAXABLE SALES-SPECIAL ORDERS")</f>
        <v xml:space="preserve">          4045 - TAXABLE SALES-SPECIAL ORDERS</v>
      </c>
      <c r="C31" s="11"/>
      <c r="D31" s="2">
        <f t="shared" si="4"/>
        <v>0</v>
      </c>
      <c r="E31" s="2"/>
      <c r="F31" s="19"/>
      <c r="G31" s="2"/>
      <c r="H31" s="2">
        <f>--13848.98</f>
        <v>13848.98</v>
      </c>
      <c r="I31" s="2"/>
      <c r="J31" s="19"/>
      <c r="K31" s="2"/>
      <c r="L31" s="2">
        <f t="shared" si="0"/>
        <v>-13848.98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--122061.15</f>
        <v>122061.15</v>
      </c>
      <c r="U31" s="2"/>
      <c r="V31" s="19"/>
      <c r="W31" s="2"/>
      <c r="X31" s="2">
        <f t="shared" si="2"/>
        <v>-122061.15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"4081", " - ", "TAXABLE SALES-ELECTRONICS")</f>
        <v xml:space="preserve">          4081 - TAXABLE SALES-ELECTRONICS</v>
      </c>
      <c r="C32" s="11"/>
      <c r="D32" s="2">
        <f t="shared" si="4"/>
        <v>0</v>
      </c>
      <c r="E32" s="2"/>
      <c r="F32" s="19"/>
      <c r="G32" s="2"/>
      <c r="H32" s="2">
        <f t="shared" ref="H32:H33" si="7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5"/>
        <v>0</v>
      </c>
      <c r="Q32" s="2"/>
      <c r="R32" s="19"/>
      <c r="S32" s="2"/>
      <c r="T32" s="2">
        <f>--71.95</f>
        <v>71.95</v>
      </c>
      <c r="U32" s="2"/>
      <c r="V32" s="19"/>
      <c r="W32" s="2"/>
      <c r="X32" s="2">
        <f t="shared" si="2"/>
        <v>-71.95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"4083", " - ", "TAXABLE SALES-COMPUTER EQUIPME")</f>
        <v xml:space="preserve">          4083 - TAXABLE SALES-COMPUTER EQUIPME</v>
      </c>
      <c r="C33" s="11"/>
      <c r="D33" s="2">
        <f t="shared" si="4"/>
        <v>0</v>
      </c>
      <c r="E33" s="2"/>
      <c r="F33" s="19"/>
      <c r="G33" s="2"/>
      <c r="H33" s="2">
        <f t="shared" si="7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 t="shared" si="5"/>
        <v>0</v>
      </c>
      <c r="Q33" s="2"/>
      <c r="R33" s="19"/>
      <c r="S33" s="2"/>
      <c r="T33" s="2">
        <f>--9.99</f>
        <v>9.99</v>
      </c>
      <c r="U33" s="2"/>
      <c r="V33" s="19"/>
      <c r="W33" s="2"/>
      <c r="X33" s="2">
        <f t="shared" si="2"/>
        <v>-9.99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"4100", " - ", "NON-TAXABLE SALES")</f>
        <v xml:space="preserve">          4100 - NON-TAXABLE SALES</v>
      </c>
      <c r="C34" s="11"/>
      <c r="D34" s="2">
        <f>--83046.11</f>
        <v>83046.11</v>
      </c>
      <c r="E34" s="2"/>
      <c r="F34" s="19"/>
      <c r="G34" s="2"/>
      <c r="H34" s="2">
        <f>-225.75</f>
        <v>-225.75</v>
      </c>
      <c r="I34" s="2"/>
      <c r="J34" s="19"/>
      <c r="K34" s="2"/>
      <c r="L34" s="2">
        <f t="shared" si="0"/>
        <v>83271.86</v>
      </c>
      <c r="M34" s="2"/>
      <c r="N34" s="19">
        <f t="shared" si="1"/>
        <v>-368.86759689922479</v>
      </c>
      <c r="O34" s="11"/>
      <c r="P34" s="2">
        <f>--726978.94</f>
        <v>726978.94</v>
      </c>
      <c r="Q34" s="2"/>
      <c r="R34" s="19"/>
      <c r="S34" s="2"/>
      <c r="T34" s="2">
        <f>--165587.67</f>
        <v>165587.67000000001</v>
      </c>
      <c r="U34" s="2"/>
      <c r="V34" s="19"/>
      <c r="W34" s="2"/>
      <c r="X34" s="2">
        <f t="shared" si="2"/>
        <v>561391.2699999999</v>
      </c>
      <c r="Y34" s="2"/>
      <c r="Z34" s="19">
        <f t="shared" si="3"/>
        <v>3.3902963306386269</v>
      </c>
    </row>
    <row r="35" spans="1:26" s="24" customFormat="1" hidden="1" outlineLevel="1" x14ac:dyDescent="0.3">
      <c r="A35" s="44"/>
      <c r="B35" s="11" t="str">
        <f>CONCATENATE("          ", "4101", " - ", "NON-TAXABLE SALES-NEW TEXT")</f>
        <v xml:space="preserve">          4101 - NON-TAXABLE SALES-NEW TEXT</v>
      </c>
      <c r="C35" s="11"/>
      <c r="D35" s="2">
        <f t="shared" ref="D35:D56" si="8">0</f>
        <v>0</v>
      </c>
      <c r="E35" s="2"/>
      <c r="F35" s="19"/>
      <c r="G35" s="2"/>
      <c r="H35" s="2">
        <f>--3205.21</f>
        <v>3205.21</v>
      </c>
      <c r="I35" s="2"/>
      <c r="J35" s="19"/>
      <c r="K35" s="2"/>
      <c r="L35" s="2">
        <f t="shared" si="0"/>
        <v>-3205.21</v>
      </c>
      <c r="M35" s="2"/>
      <c r="N35" s="19">
        <f t="shared" si="1"/>
        <v>-1</v>
      </c>
      <c r="O35" s="11"/>
      <c r="P35" s="2">
        <f t="shared" ref="P35:P56" si="9">0</f>
        <v>0</v>
      </c>
      <c r="Q35" s="2"/>
      <c r="R35" s="19"/>
      <c r="S35" s="2"/>
      <c r="T35" s="2">
        <f>--82140.93</f>
        <v>82140.929999999993</v>
      </c>
      <c r="U35" s="2"/>
      <c r="V35" s="19"/>
      <c r="W35" s="2"/>
      <c r="X35" s="2">
        <f t="shared" si="2"/>
        <v>-82140.929999999993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"4102", " - ", "NON-TAXABLE SALES-USED TEXT")</f>
        <v xml:space="preserve">          4102 - NON-TAXABLE SALES-USED TEXT</v>
      </c>
      <c r="C36" s="11"/>
      <c r="D36" s="2">
        <f t="shared" si="8"/>
        <v>0</v>
      </c>
      <c r="E36" s="2"/>
      <c r="F36" s="19"/>
      <c r="G36" s="2"/>
      <c r="H36" s="2">
        <f>--598.12</f>
        <v>598.12</v>
      </c>
      <c r="I36" s="2"/>
      <c r="J36" s="19"/>
      <c r="K36" s="2"/>
      <c r="L36" s="2">
        <f t="shared" si="0"/>
        <v>-598.12</v>
      </c>
      <c r="M36" s="2"/>
      <c r="N36" s="19">
        <f t="shared" si="1"/>
        <v>-1</v>
      </c>
      <c r="O36" s="11"/>
      <c r="P36" s="2">
        <f t="shared" si="9"/>
        <v>0</v>
      </c>
      <c r="Q36" s="2"/>
      <c r="R36" s="19"/>
      <c r="S36" s="2"/>
      <c r="T36" s="2">
        <f>--33631.31</f>
        <v>33631.31</v>
      </c>
      <c r="U36" s="2"/>
      <c r="V36" s="19"/>
      <c r="W36" s="2"/>
      <c r="X36" s="2">
        <f t="shared" si="2"/>
        <v>-33631.31</v>
      </c>
      <c r="Y36" s="2"/>
      <c r="Z36" s="19">
        <f t="shared" si="3"/>
        <v>-1</v>
      </c>
    </row>
    <row r="37" spans="1:26" s="24" customFormat="1" hidden="1" outlineLevel="1" x14ac:dyDescent="0.3">
      <c r="A37" s="44"/>
      <c r="B37" s="11" t="str">
        <f>CONCATENATE("          ", "4103", " - ", "NON-TAXABLE SALES-RENTAL TEXT")</f>
        <v xml:space="preserve">          4103 - NON-TAXABLE SALES-RENTAL TEXT</v>
      </c>
      <c r="C37" s="11"/>
      <c r="D37" s="2">
        <f t="shared" si="8"/>
        <v>0</v>
      </c>
      <c r="E37" s="2"/>
      <c r="F37" s="19"/>
      <c r="G37" s="2"/>
      <c r="H37" s="2">
        <f>0</f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 t="shared" si="9"/>
        <v>0</v>
      </c>
      <c r="Q37" s="2"/>
      <c r="R37" s="19"/>
      <c r="S37" s="2"/>
      <c r="T37" s="2">
        <f>--284.97</f>
        <v>284.97000000000003</v>
      </c>
      <c r="U37" s="2"/>
      <c r="V37" s="19"/>
      <c r="W37" s="2"/>
      <c r="X37" s="2">
        <f t="shared" si="2"/>
        <v>-284.97000000000003</v>
      </c>
      <c r="Y37" s="2"/>
      <c r="Z37" s="19">
        <f t="shared" si="3"/>
        <v>-1</v>
      </c>
    </row>
    <row r="38" spans="1:26" s="24" customFormat="1" hidden="1" outlineLevel="1" x14ac:dyDescent="0.3">
      <c r="A38" s="44"/>
      <c r="B38" s="11" t="str">
        <f>CONCATENATE("          ", "4104", " - ", "NON-TAXABLE SALES-DIGITAL TEXT")</f>
        <v xml:space="preserve">          4104 - NON-TAXABLE SALES-DIGITAL TEXT</v>
      </c>
      <c r="C38" s="11"/>
      <c r="D38" s="2">
        <f t="shared" si="8"/>
        <v>0</v>
      </c>
      <c r="E38" s="2"/>
      <c r="F38" s="19"/>
      <c r="G38" s="2"/>
      <c r="H38" s="2">
        <f>--1301.3</f>
        <v>1301.3</v>
      </c>
      <c r="I38" s="2"/>
      <c r="J38" s="19"/>
      <c r="K38" s="2"/>
      <c r="L38" s="2">
        <f t="shared" si="0"/>
        <v>-1301.3</v>
      </c>
      <c r="M38" s="2"/>
      <c r="N38" s="19">
        <f t="shared" si="1"/>
        <v>-1</v>
      </c>
      <c r="O38" s="11"/>
      <c r="P38" s="2">
        <f t="shared" si="9"/>
        <v>0</v>
      </c>
      <c r="Q38" s="2"/>
      <c r="R38" s="19"/>
      <c r="S38" s="2"/>
      <c r="T38" s="2">
        <f>--296191.01</f>
        <v>296191.01</v>
      </c>
      <c r="U38" s="2"/>
      <c r="V38" s="19"/>
      <c r="W38" s="2"/>
      <c r="X38" s="2">
        <f t="shared" si="2"/>
        <v>-296191.01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"4113", " - ", "NON-TAXABLE SALES-TRADE BOOKS")</f>
        <v xml:space="preserve">          4113 - NON-TAXABLE SALES-TRADE BOOKS</v>
      </c>
      <c r="C39" s="11"/>
      <c r="D39" s="2">
        <f t="shared" si="8"/>
        <v>0</v>
      </c>
      <c r="E39" s="2"/>
      <c r="F39" s="19"/>
      <c r="G39" s="2"/>
      <c r="H39" s="2">
        <f>--41.55</f>
        <v>41.55</v>
      </c>
      <c r="I39" s="2"/>
      <c r="J39" s="19"/>
      <c r="K39" s="2"/>
      <c r="L39" s="2">
        <f t="shared" si="0"/>
        <v>-41.55</v>
      </c>
      <c r="M39" s="2"/>
      <c r="N39" s="19">
        <f t="shared" si="1"/>
        <v>-1</v>
      </c>
      <c r="O39" s="11"/>
      <c r="P39" s="2">
        <f t="shared" si="9"/>
        <v>0</v>
      </c>
      <c r="Q39" s="2"/>
      <c r="R39" s="19"/>
      <c r="S39" s="2"/>
      <c r="T39" s="2">
        <f>--2327.5</f>
        <v>2327.5</v>
      </c>
      <c r="U39" s="2"/>
      <c r="V39" s="19"/>
      <c r="W39" s="2"/>
      <c r="X39" s="2">
        <f t="shared" si="2"/>
        <v>-2327.5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"4118", " - ", "NON-TAXABLE SALES-STUDY GUIDES")</f>
        <v xml:space="preserve">          4118 - NON-TAXABLE SALES-STUDY GUIDES</v>
      </c>
      <c r="C40" s="11"/>
      <c r="D40" s="2">
        <f t="shared" si="8"/>
        <v>0</v>
      </c>
      <c r="E40" s="2"/>
      <c r="F40" s="19"/>
      <c r="G40" s="2"/>
      <c r="H40" s="2">
        <f t="shared" ref="H40:H41" si="10"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 t="shared" si="9"/>
        <v>0</v>
      </c>
      <c r="Q40" s="2"/>
      <c r="R40" s="19"/>
      <c r="S40" s="2"/>
      <c r="T40" s="2">
        <f>--233.43</f>
        <v>233.43</v>
      </c>
      <c r="U40" s="2"/>
      <c r="V40" s="19"/>
      <c r="W40" s="2"/>
      <c r="X40" s="2">
        <f t="shared" si="2"/>
        <v>-233.43</v>
      </c>
      <c r="Y40" s="2"/>
      <c r="Z40" s="19">
        <f t="shared" si="3"/>
        <v>-1</v>
      </c>
    </row>
    <row r="41" spans="1:26" s="24" customFormat="1" hidden="1" outlineLevel="1" x14ac:dyDescent="0.3">
      <c r="A41" s="44"/>
      <c r="B41" s="11" t="str">
        <f>CONCATENATE("          ", "4126", " - ", "NON-TAXABLE SALES-WRITING INST")</f>
        <v xml:space="preserve">          4126 - NON-TAXABLE SALES-WRITING INST</v>
      </c>
      <c r="C41" s="11"/>
      <c r="D41" s="2">
        <f t="shared" si="8"/>
        <v>0</v>
      </c>
      <c r="E41" s="2"/>
      <c r="F41" s="19"/>
      <c r="G41" s="2"/>
      <c r="H41" s="2">
        <f t="shared" si="10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 t="shared" si="9"/>
        <v>0</v>
      </c>
      <c r="Q41" s="2"/>
      <c r="R41" s="19"/>
      <c r="S41" s="2"/>
      <c r="T41" s="2">
        <f>--52.68</f>
        <v>52.68</v>
      </c>
      <c r="U41" s="2"/>
      <c r="V41" s="19"/>
      <c r="W41" s="2"/>
      <c r="X41" s="2">
        <f t="shared" si="2"/>
        <v>-52.68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"4127", " - ", "NON-TAXABLE SALES-SCHOOL SUPPL")</f>
        <v xml:space="preserve">          4127 - NON-TAXABLE SALES-SCHOOL SUPPL</v>
      </c>
      <c r="C42" s="11"/>
      <c r="D42" s="2">
        <f t="shared" si="8"/>
        <v>0</v>
      </c>
      <c r="E42" s="2"/>
      <c r="F42" s="19"/>
      <c r="G42" s="2"/>
      <c r="H42" s="2">
        <f>--259.53</f>
        <v>259.52999999999997</v>
      </c>
      <c r="I42" s="2"/>
      <c r="J42" s="19"/>
      <c r="K42" s="2"/>
      <c r="L42" s="2">
        <f t="shared" si="0"/>
        <v>-259.52999999999997</v>
      </c>
      <c r="M42" s="2"/>
      <c r="N42" s="19">
        <f t="shared" si="1"/>
        <v>-1</v>
      </c>
      <c r="O42" s="11"/>
      <c r="P42" s="2">
        <f t="shared" si="9"/>
        <v>0</v>
      </c>
      <c r="Q42" s="2"/>
      <c r="R42" s="19"/>
      <c r="S42" s="2"/>
      <c r="T42" s="2">
        <f>--3206.11</f>
        <v>3206.11</v>
      </c>
      <c r="U42" s="2"/>
      <c r="V42" s="19"/>
      <c r="W42" s="2"/>
      <c r="X42" s="2">
        <f t="shared" si="2"/>
        <v>-3206.11</v>
      </c>
      <c r="Y42" s="2"/>
      <c r="Z42" s="19">
        <f t="shared" si="3"/>
        <v>-1</v>
      </c>
    </row>
    <row r="43" spans="1:26" s="24" customFormat="1" hidden="1" outlineLevel="1" x14ac:dyDescent="0.3">
      <c r="A43" s="44"/>
      <c r="B43" s="11" t="str">
        <f>CONCATENATE("          ", "4128", " - ", "NON-TAXABLE SALES-ART/TECH")</f>
        <v xml:space="preserve">          4128 - NON-TAXABLE SALES-ART/TECH</v>
      </c>
      <c r="C43" s="11"/>
      <c r="D43" s="2">
        <f t="shared" si="8"/>
        <v>0</v>
      </c>
      <c r="E43" s="2"/>
      <c r="F43" s="19"/>
      <c r="G43" s="2"/>
      <c r="H43" s="2">
        <f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 t="shared" si="9"/>
        <v>0</v>
      </c>
      <c r="Q43" s="2"/>
      <c r="R43" s="19"/>
      <c r="S43" s="2"/>
      <c r="T43" s="2">
        <f>--24.78</f>
        <v>24.78</v>
      </c>
      <c r="U43" s="2"/>
      <c r="V43" s="19"/>
      <c r="W43" s="2"/>
      <c r="X43" s="2">
        <f t="shared" si="2"/>
        <v>-24.78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"4131", " - ", "NON-TAXABLE SALES-FOOD")</f>
        <v xml:space="preserve">          4131 - NON-TAXABLE SALES-FOOD</v>
      </c>
      <c r="C44" s="11"/>
      <c r="D44" s="2">
        <f t="shared" si="8"/>
        <v>0</v>
      </c>
      <c r="E44" s="2"/>
      <c r="F44" s="19"/>
      <c r="G44" s="2"/>
      <c r="H44" s="2">
        <f>--1032.82</f>
        <v>1032.82</v>
      </c>
      <c r="I44" s="2"/>
      <c r="J44" s="19"/>
      <c r="K44" s="2"/>
      <c r="L44" s="2">
        <f t="shared" si="0"/>
        <v>-1032.82</v>
      </c>
      <c r="M44" s="2"/>
      <c r="N44" s="19">
        <f t="shared" si="1"/>
        <v>-1</v>
      </c>
      <c r="O44" s="11"/>
      <c r="P44" s="2">
        <f t="shared" si="9"/>
        <v>0</v>
      </c>
      <c r="Q44" s="2"/>
      <c r="R44" s="19"/>
      <c r="S44" s="2"/>
      <c r="T44" s="2">
        <f>--7542.15</f>
        <v>7542.15</v>
      </c>
      <c r="U44" s="2"/>
      <c r="V44" s="19"/>
      <c r="W44" s="2"/>
      <c r="X44" s="2">
        <f t="shared" si="2"/>
        <v>-7542.15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"4132", " - ", "NON-TAXABLE SALES-JUICE")</f>
        <v xml:space="preserve">          4132 - NON-TAXABLE SALES-JUICE</v>
      </c>
      <c r="C45" s="11"/>
      <c r="D45" s="2">
        <f t="shared" si="8"/>
        <v>0</v>
      </c>
      <c r="E45" s="2"/>
      <c r="F45" s="19"/>
      <c r="G45" s="2"/>
      <c r="H45" s="2">
        <f t="shared" ref="H45:H48" si="11">0</f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 t="shared" si="9"/>
        <v>0</v>
      </c>
      <c r="Q45" s="2"/>
      <c r="R45" s="19"/>
      <c r="S45" s="2"/>
      <c r="T45" s="2">
        <f>--22.49</f>
        <v>22.49</v>
      </c>
      <c r="U45" s="2"/>
      <c r="V45" s="19"/>
      <c r="W45" s="2"/>
      <c r="X45" s="2">
        <f t="shared" si="2"/>
        <v>-22.49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"4133", " - ", "NON-TAXABLE SALES-CANDY")</f>
        <v xml:space="preserve">          4133 - NON-TAXABLE SALES-CANDY</v>
      </c>
      <c r="C46" s="11"/>
      <c r="D46" s="2">
        <f t="shared" si="8"/>
        <v>0</v>
      </c>
      <c r="E46" s="2"/>
      <c r="F46" s="19"/>
      <c r="G46" s="2"/>
      <c r="H46" s="2">
        <f t="shared" si="11"/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 t="shared" si="9"/>
        <v>0</v>
      </c>
      <c r="Q46" s="2"/>
      <c r="R46" s="19"/>
      <c r="S46" s="2"/>
      <c r="T46" s="2">
        <f>--80.71</f>
        <v>80.709999999999994</v>
      </c>
      <c r="U46" s="2"/>
      <c r="V46" s="19"/>
      <c r="W46" s="2"/>
      <c r="X46" s="2">
        <f t="shared" si="2"/>
        <v>-80.709999999999994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"4134", " - ", "NON-TAXABLE SALES-SODA")</f>
        <v xml:space="preserve">          4134 - NON-TAXABLE SALES-SODA</v>
      </c>
      <c r="C47" s="11"/>
      <c r="D47" s="2">
        <f t="shared" si="8"/>
        <v>0</v>
      </c>
      <c r="E47" s="2"/>
      <c r="F47" s="19"/>
      <c r="G47" s="2"/>
      <c r="H47" s="2">
        <f t="shared" si="11"/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 t="shared" si="9"/>
        <v>0</v>
      </c>
      <c r="Q47" s="2"/>
      <c r="R47" s="19"/>
      <c r="S47" s="2"/>
      <c r="T47" s="2">
        <f>--45.53</f>
        <v>45.53</v>
      </c>
      <c r="U47" s="2"/>
      <c r="V47" s="19"/>
      <c r="W47" s="2"/>
      <c r="X47" s="2">
        <f t="shared" si="2"/>
        <v>-45.53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"4137", " - ", "NON-TAXABLE SALES-WATER")</f>
        <v xml:space="preserve">          4137 - NON-TAXABLE SALES-WATER</v>
      </c>
      <c r="C48" s="11"/>
      <c r="D48" s="2">
        <f t="shared" si="8"/>
        <v>0</v>
      </c>
      <c r="E48" s="2"/>
      <c r="F48" s="19"/>
      <c r="G48" s="2"/>
      <c r="H48" s="2">
        <f t="shared" si="11"/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 t="shared" si="9"/>
        <v>0</v>
      </c>
      <c r="Q48" s="2"/>
      <c r="R48" s="19"/>
      <c r="S48" s="2"/>
      <c r="T48" s="2">
        <f>--68.25</f>
        <v>68.25</v>
      </c>
      <c r="U48" s="2"/>
      <c r="V48" s="19"/>
      <c r="W48" s="2"/>
      <c r="X48" s="2">
        <f t="shared" si="2"/>
        <v>-68.25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"4140", " - ", "NON-TAXABLE SALES-LOGO CLOTHIN")</f>
        <v xml:space="preserve">          4140 - NON-TAXABLE SALES-LOGO CLOTHIN</v>
      </c>
      <c r="C49" s="11"/>
      <c r="D49" s="2">
        <f t="shared" si="8"/>
        <v>0</v>
      </c>
      <c r="E49" s="2"/>
      <c r="F49" s="19"/>
      <c r="G49" s="2"/>
      <c r="H49" s="2">
        <f>--53650.7</f>
        <v>53650.7</v>
      </c>
      <c r="I49" s="2"/>
      <c r="J49" s="19"/>
      <c r="K49" s="2"/>
      <c r="L49" s="2">
        <f t="shared" si="0"/>
        <v>-53650.7</v>
      </c>
      <c r="M49" s="2"/>
      <c r="N49" s="19">
        <f t="shared" si="1"/>
        <v>-1</v>
      </c>
      <c r="O49" s="11"/>
      <c r="P49" s="2">
        <f t="shared" si="9"/>
        <v>0</v>
      </c>
      <c r="Q49" s="2"/>
      <c r="R49" s="19"/>
      <c r="S49" s="2"/>
      <c r="T49" s="2">
        <f>--103970.97</f>
        <v>103970.97</v>
      </c>
      <c r="U49" s="2"/>
      <c r="V49" s="19"/>
      <c r="W49" s="2"/>
      <c r="X49" s="2">
        <f t="shared" si="2"/>
        <v>-103970.97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"4141", " - ", "NON-TAXABLE SALES-LOGO GIFTS")</f>
        <v xml:space="preserve">          4141 - NON-TAXABLE SALES-LOGO GIFTS</v>
      </c>
      <c r="C50" s="11"/>
      <c r="D50" s="2">
        <f t="shared" si="8"/>
        <v>0</v>
      </c>
      <c r="E50" s="2"/>
      <c r="F50" s="19"/>
      <c r="G50" s="2"/>
      <c r="H50" s="2">
        <f>--1780.23</f>
        <v>1780.23</v>
      </c>
      <c r="I50" s="2"/>
      <c r="J50" s="19"/>
      <c r="K50" s="2"/>
      <c r="L50" s="2">
        <f t="shared" si="0"/>
        <v>-1780.23</v>
      </c>
      <c r="M50" s="2"/>
      <c r="N50" s="19">
        <f t="shared" si="1"/>
        <v>-1</v>
      </c>
      <c r="O50" s="11"/>
      <c r="P50" s="2">
        <f t="shared" si="9"/>
        <v>0</v>
      </c>
      <c r="Q50" s="2"/>
      <c r="R50" s="19"/>
      <c r="S50" s="2"/>
      <c r="T50" s="2">
        <f>--5969.25</f>
        <v>5969.25</v>
      </c>
      <c r="U50" s="2"/>
      <c r="V50" s="19"/>
      <c r="W50" s="2"/>
      <c r="X50" s="2">
        <f t="shared" si="2"/>
        <v>-5969.25</v>
      </c>
      <c r="Y50" s="2"/>
      <c r="Z50" s="19">
        <f t="shared" si="3"/>
        <v>-1</v>
      </c>
    </row>
    <row r="51" spans="1:26" s="24" customFormat="1" hidden="1" outlineLevel="1" x14ac:dyDescent="0.3">
      <c r="A51" s="44"/>
      <c r="B51" s="11" t="str">
        <f>CONCATENATE("          ", "4142", " - ", "NON-TAXABLE SALES-EVERYDAY GIF")</f>
        <v xml:space="preserve">          4142 - NON-TAXABLE SALES-EVERYDAY GIF</v>
      </c>
      <c r="C51" s="11"/>
      <c r="D51" s="2">
        <f t="shared" si="8"/>
        <v>0</v>
      </c>
      <c r="E51" s="2"/>
      <c r="F51" s="19"/>
      <c r="G51" s="2"/>
      <c r="H51" s="2">
        <f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 t="shared" si="9"/>
        <v>0</v>
      </c>
      <c r="Q51" s="2"/>
      <c r="R51" s="19"/>
      <c r="S51" s="2"/>
      <c r="T51" s="2">
        <f>--2208.19</f>
        <v>2208.19</v>
      </c>
      <c r="U51" s="2"/>
      <c r="V51" s="19"/>
      <c r="W51" s="2"/>
      <c r="X51" s="2">
        <f t="shared" si="2"/>
        <v>-2208.19</v>
      </c>
      <c r="Y51" s="2"/>
      <c r="Z51" s="19">
        <f t="shared" si="3"/>
        <v>-1</v>
      </c>
    </row>
    <row r="52" spans="1:26" s="24" customFormat="1" hidden="1" outlineLevel="1" x14ac:dyDescent="0.3">
      <c r="A52" s="44"/>
      <c r="B52" s="11" t="str">
        <f>CONCATENATE("          ", "4143", " - ", "NON-TAXABLE SALES-CARDS")</f>
        <v xml:space="preserve">          4143 - NON-TAXABLE SALES-CARDS</v>
      </c>
      <c r="C52" s="11"/>
      <c r="D52" s="2">
        <f t="shared" si="8"/>
        <v>0</v>
      </c>
      <c r="E52" s="2"/>
      <c r="F52" s="19"/>
      <c r="G52" s="2"/>
      <c r="H52" s="2">
        <f>--1697.07</f>
        <v>1697.07</v>
      </c>
      <c r="I52" s="2"/>
      <c r="J52" s="19"/>
      <c r="K52" s="2"/>
      <c r="L52" s="2">
        <f t="shared" si="0"/>
        <v>-1697.07</v>
      </c>
      <c r="M52" s="2"/>
      <c r="N52" s="19">
        <f t="shared" si="1"/>
        <v>-1</v>
      </c>
      <c r="O52" s="11"/>
      <c r="P52" s="2">
        <f t="shared" si="9"/>
        <v>0</v>
      </c>
      <c r="Q52" s="2"/>
      <c r="R52" s="19"/>
      <c r="S52" s="2"/>
      <c r="T52" s="2">
        <f>--1737.03</f>
        <v>1737.03</v>
      </c>
      <c r="U52" s="2"/>
      <c r="V52" s="19"/>
      <c r="W52" s="2"/>
      <c r="X52" s="2">
        <f t="shared" si="2"/>
        <v>-1737.03</v>
      </c>
      <c r="Y52" s="2"/>
      <c r="Z52" s="19">
        <f t="shared" si="3"/>
        <v>-1</v>
      </c>
    </row>
    <row r="53" spans="1:26" s="24" customFormat="1" hidden="1" outlineLevel="1" x14ac:dyDescent="0.3">
      <c r="A53" s="44"/>
      <c r="B53" s="11" t="str">
        <f>CONCATENATE("          ", "4144", " - ", "NON-TAXABLE SALES-ACCESSORIES")</f>
        <v xml:space="preserve">          4144 - NON-TAXABLE SALES-ACCESSORIES</v>
      </c>
      <c r="C53" s="11"/>
      <c r="D53" s="2">
        <f t="shared" si="8"/>
        <v>0</v>
      </c>
      <c r="E53" s="2"/>
      <c r="F53" s="19"/>
      <c r="G53" s="2"/>
      <c r="H53" s="2">
        <f>--99.8</f>
        <v>99.8</v>
      </c>
      <c r="I53" s="2"/>
      <c r="J53" s="19"/>
      <c r="K53" s="2"/>
      <c r="L53" s="2">
        <f t="shared" si="0"/>
        <v>-99.8</v>
      </c>
      <c r="M53" s="2"/>
      <c r="N53" s="19">
        <f t="shared" si="1"/>
        <v>-1</v>
      </c>
      <c r="O53" s="11"/>
      <c r="P53" s="2">
        <f t="shared" si="9"/>
        <v>0</v>
      </c>
      <c r="Q53" s="2"/>
      <c r="R53" s="19"/>
      <c r="S53" s="2"/>
      <c r="T53" s="2">
        <f>--489.5</f>
        <v>489.5</v>
      </c>
      <c r="U53" s="2"/>
      <c r="V53" s="19"/>
      <c r="W53" s="2"/>
      <c r="X53" s="2">
        <f t="shared" si="2"/>
        <v>-489.5</v>
      </c>
      <c r="Y53" s="2"/>
      <c r="Z53" s="19">
        <f t="shared" si="3"/>
        <v>-1</v>
      </c>
    </row>
    <row r="54" spans="1:26" s="24" customFormat="1" hidden="1" outlineLevel="1" x14ac:dyDescent="0.3">
      <c r="A54" s="44"/>
      <c r="B54" s="11" t="str">
        <f>CONCATENATE("          ", "4145", " - ", "NON-TAXABLE SALES-SPECIAL ORDE")</f>
        <v xml:space="preserve">          4145 - NON-TAXABLE SALES-SPECIAL ORDE</v>
      </c>
      <c r="C54" s="11"/>
      <c r="D54" s="2">
        <f t="shared" si="8"/>
        <v>0</v>
      </c>
      <c r="E54" s="2"/>
      <c r="F54" s="19"/>
      <c r="G54" s="2"/>
      <c r="H54" s="2">
        <f>--16747.77</f>
        <v>16747.77</v>
      </c>
      <c r="I54" s="2"/>
      <c r="J54" s="19"/>
      <c r="K54" s="2"/>
      <c r="L54" s="2">
        <f t="shared" si="0"/>
        <v>-16747.77</v>
      </c>
      <c r="M54" s="2"/>
      <c r="N54" s="19">
        <f t="shared" si="1"/>
        <v>-1</v>
      </c>
      <c r="O54" s="11"/>
      <c r="P54" s="2">
        <f t="shared" si="9"/>
        <v>0</v>
      </c>
      <c r="Q54" s="2"/>
      <c r="R54" s="19"/>
      <c r="S54" s="2"/>
      <c r="T54" s="2">
        <f>--55393.77</f>
        <v>55393.77</v>
      </c>
      <c r="U54" s="2"/>
      <c r="V54" s="19"/>
      <c r="W54" s="2"/>
      <c r="X54" s="2">
        <f t="shared" si="2"/>
        <v>-55393.77</v>
      </c>
      <c r="Y54" s="2"/>
      <c r="Z54" s="19">
        <f t="shared" si="3"/>
        <v>-1</v>
      </c>
    </row>
    <row r="55" spans="1:26" s="24" customFormat="1" hidden="1" outlineLevel="1" x14ac:dyDescent="0.3">
      <c r="A55" s="44"/>
      <c r="B55" s="11" t="str">
        <f>CONCATENATE("          ", "4146", " - ", "NON-TAXABLE SALES-COIN OP MACH")</f>
        <v xml:space="preserve">          4146 - NON-TAXABLE SALES-COIN OP MACH</v>
      </c>
      <c r="C55" s="11"/>
      <c r="D55" s="2">
        <f t="shared" si="8"/>
        <v>0</v>
      </c>
      <c r="E55" s="2"/>
      <c r="F55" s="19"/>
      <c r="G55" s="2"/>
      <c r="H55" s="2">
        <f>--19.9</f>
        <v>19.899999999999999</v>
      </c>
      <c r="I55" s="2"/>
      <c r="J55" s="19"/>
      <c r="K55" s="2"/>
      <c r="L55" s="2">
        <f t="shared" si="0"/>
        <v>-19.899999999999999</v>
      </c>
      <c r="M55" s="2"/>
      <c r="N55" s="19">
        <f t="shared" si="1"/>
        <v>-1</v>
      </c>
      <c r="O55" s="11"/>
      <c r="P55" s="2">
        <f t="shared" si="9"/>
        <v>0</v>
      </c>
      <c r="Q55" s="2"/>
      <c r="R55" s="19"/>
      <c r="S55" s="2"/>
      <c r="T55" s="2">
        <f>--127.9</f>
        <v>127.9</v>
      </c>
      <c r="U55" s="2"/>
      <c r="V55" s="19"/>
      <c r="W55" s="2"/>
      <c r="X55" s="2">
        <f t="shared" si="2"/>
        <v>-127.9</v>
      </c>
      <c r="Y55" s="2"/>
      <c r="Z55" s="19">
        <f t="shared" si="3"/>
        <v>-1</v>
      </c>
    </row>
    <row r="56" spans="1:26" s="24" customFormat="1" hidden="1" outlineLevel="1" x14ac:dyDescent="0.3">
      <c r="A56" s="44"/>
      <c r="B56" s="11" t="str">
        <f>CONCATENATE("          ", "4147", " - ", "NON-TAXABLE SALES-MISC")</f>
        <v xml:space="preserve">          4147 - NON-TAXABLE SALES-MISC</v>
      </c>
      <c r="C56" s="11"/>
      <c r="D56" s="2">
        <f t="shared" si="8"/>
        <v>0</v>
      </c>
      <c r="E56" s="2"/>
      <c r="F56" s="19"/>
      <c r="G56" s="2"/>
      <c r="H56" s="2">
        <f>--13</f>
        <v>13</v>
      </c>
      <c r="I56" s="2"/>
      <c r="J56" s="19"/>
      <c r="K56" s="2"/>
      <c r="L56" s="2">
        <f t="shared" si="0"/>
        <v>-13</v>
      </c>
      <c r="M56" s="2"/>
      <c r="N56" s="19">
        <f t="shared" si="1"/>
        <v>-1</v>
      </c>
      <c r="O56" s="11"/>
      <c r="P56" s="2">
        <f t="shared" si="9"/>
        <v>0</v>
      </c>
      <c r="Q56" s="2"/>
      <c r="R56" s="19"/>
      <c r="S56" s="2"/>
      <c r="T56" s="2">
        <f>--104.5</f>
        <v>104.5</v>
      </c>
      <c r="U56" s="2"/>
      <c r="V56" s="19"/>
      <c r="W56" s="2"/>
      <c r="X56" s="2">
        <f t="shared" si="2"/>
        <v>-104.5</v>
      </c>
      <c r="Y56" s="2"/>
      <c r="Z56" s="19">
        <f t="shared" si="3"/>
        <v>-1</v>
      </c>
    </row>
    <row r="57" spans="1:26" s="24" customFormat="1" hidden="1" outlineLevel="1" x14ac:dyDescent="0.3">
      <c r="A57" s="44"/>
      <c r="B57" s="11" t="str">
        <f>CONCATENATE("          ", "4200", " - ", "TAXABLE RETURNS")</f>
        <v xml:space="preserve">          4200 - TAXABLE RETURNS</v>
      </c>
      <c r="C57" s="11"/>
      <c r="D57" s="2">
        <f>-14880.61</f>
        <v>-14880.61</v>
      </c>
      <c r="E57" s="2"/>
      <c r="F57" s="19"/>
      <c r="G57" s="2"/>
      <c r="H57" s="2">
        <f>0</f>
        <v>0</v>
      </c>
      <c r="I57" s="2"/>
      <c r="J57" s="19"/>
      <c r="K57" s="2"/>
      <c r="L57" s="2">
        <f t="shared" si="0"/>
        <v>-14880.61</v>
      </c>
      <c r="M57" s="2"/>
      <c r="N57" s="19">
        <f t="shared" si="1"/>
        <v>0</v>
      </c>
      <c r="O57" s="11"/>
      <c r="P57" s="2">
        <f>-87418.81</f>
        <v>-87418.81</v>
      </c>
      <c r="Q57" s="2"/>
      <c r="R57" s="19"/>
      <c r="S57" s="2"/>
      <c r="T57" s="2">
        <f>0</f>
        <v>0</v>
      </c>
      <c r="U57" s="2"/>
      <c r="V57" s="19"/>
      <c r="W57" s="2"/>
      <c r="X57" s="2">
        <f t="shared" si="2"/>
        <v>-87418.81</v>
      </c>
      <c r="Y57" s="2"/>
      <c r="Z57" s="19">
        <f t="shared" si="3"/>
        <v>0</v>
      </c>
    </row>
    <row r="58" spans="1:26" s="24" customFormat="1" hidden="1" outlineLevel="1" x14ac:dyDescent="0.3">
      <c r="A58" s="44"/>
      <c r="B58" s="11" t="str">
        <f>CONCATENATE("          ", "4201", " - ", "SALES RETURN TAXABLE-NEW TEXT")</f>
        <v xml:space="preserve">          4201 - SALES RETURN TAXABLE-NEW TEXT</v>
      </c>
      <c r="C58" s="11"/>
      <c r="D58" s="2">
        <f t="shared" ref="D58:D69" si="12">0</f>
        <v>0</v>
      </c>
      <c r="E58" s="2"/>
      <c r="F58" s="19"/>
      <c r="G58" s="2"/>
      <c r="H58" s="2">
        <f>-681.18</f>
        <v>-681.18</v>
      </c>
      <c r="I58" s="2"/>
      <c r="J58" s="19"/>
      <c r="K58" s="2"/>
      <c r="L58" s="2">
        <f t="shared" si="0"/>
        <v>681.18</v>
      </c>
      <c r="M58" s="2"/>
      <c r="N58" s="19">
        <f t="shared" si="1"/>
        <v>-1</v>
      </c>
      <c r="O58" s="11"/>
      <c r="P58" s="2">
        <f t="shared" ref="P58:P69" si="13">0</f>
        <v>0</v>
      </c>
      <c r="Q58" s="2"/>
      <c r="R58" s="19"/>
      <c r="S58" s="2"/>
      <c r="T58" s="2">
        <f>-35775.84</f>
        <v>-35775.839999999997</v>
      </c>
      <c r="U58" s="2"/>
      <c r="V58" s="19"/>
      <c r="W58" s="2"/>
      <c r="X58" s="2">
        <f t="shared" si="2"/>
        <v>35775.839999999997</v>
      </c>
      <c r="Y58" s="2"/>
      <c r="Z58" s="19">
        <f t="shared" si="3"/>
        <v>-1</v>
      </c>
    </row>
    <row r="59" spans="1:26" s="24" customFormat="1" hidden="1" outlineLevel="1" x14ac:dyDescent="0.3">
      <c r="A59" s="44"/>
      <c r="B59" s="11" t="str">
        <f>CONCATENATE("          ", "4202", " - ", "SALES RETURN TAXABLE-USED TEXT")</f>
        <v xml:space="preserve">          4202 - SALES RETURN TAXABLE-USED TEXT</v>
      </c>
      <c r="C59" s="11"/>
      <c r="D59" s="2">
        <f t="shared" si="12"/>
        <v>0</v>
      </c>
      <c r="E59" s="2"/>
      <c r="F59" s="19"/>
      <c r="G59" s="2"/>
      <c r="H59" s="2">
        <f>-62.65</f>
        <v>-62.65</v>
      </c>
      <c r="I59" s="2"/>
      <c r="J59" s="19"/>
      <c r="K59" s="2"/>
      <c r="L59" s="2">
        <f t="shared" si="0"/>
        <v>62.65</v>
      </c>
      <c r="M59" s="2"/>
      <c r="N59" s="19">
        <f t="shared" si="1"/>
        <v>-1</v>
      </c>
      <c r="O59" s="11"/>
      <c r="P59" s="2">
        <f t="shared" si="13"/>
        <v>0</v>
      </c>
      <c r="Q59" s="2"/>
      <c r="R59" s="19"/>
      <c r="S59" s="2"/>
      <c r="T59" s="2">
        <f>-13866</f>
        <v>-13866</v>
      </c>
      <c r="U59" s="2"/>
      <c r="V59" s="19"/>
      <c r="W59" s="2"/>
      <c r="X59" s="2">
        <f t="shared" si="2"/>
        <v>13866</v>
      </c>
      <c r="Y59" s="2"/>
      <c r="Z59" s="19">
        <f t="shared" si="3"/>
        <v>-1</v>
      </c>
    </row>
    <row r="60" spans="1:26" s="24" customFormat="1" hidden="1" outlineLevel="1" x14ac:dyDescent="0.3">
      <c r="A60" s="44"/>
      <c r="B60" s="11" t="str">
        <f>CONCATENATE("          ", "4204", " - ", "SALES RETURN TAXABLE-DIGITAL T")</f>
        <v xml:space="preserve">          4204 - SALES RETURN TAXABLE-DIGITAL T</v>
      </c>
      <c r="C60" s="11"/>
      <c r="D60" s="2">
        <f t="shared" si="12"/>
        <v>0</v>
      </c>
      <c r="E60" s="2"/>
      <c r="F60" s="19"/>
      <c r="G60" s="2"/>
      <c r="H60" s="2">
        <f t="shared" ref="H60:H61" si="14">0</f>
        <v>0</v>
      </c>
      <c r="I60" s="2"/>
      <c r="J60" s="19"/>
      <c r="K60" s="2"/>
      <c r="L60" s="2">
        <f t="shared" si="0"/>
        <v>0</v>
      </c>
      <c r="M60" s="2"/>
      <c r="N60" s="19">
        <f t="shared" si="1"/>
        <v>0</v>
      </c>
      <c r="O60" s="11"/>
      <c r="P60" s="2">
        <f t="shared" si="13"/>
        <v>0</v>
      </c>
      <c r="Q60" s="2"/>
      <c r="R60" s="19"/>
      <c r="S60" s="2"/>
      <c r="T60" s="2">
        <f>-1630.85</f>
        <v>-1630.85</v>
      </c>
      <c r="U60" s="2"/>
      <c r="V60" s="19"/>
      <c r="W60" s="2"/>
      <c r="X60" s="2">
        <f t="shared" si="2"/>
        <v>1630.85</v>
      </c>
      <c r="Y60" s="2"/>
      <c r="Z60" s="19">
        <f t="shared" si="3"/>
        <v>-1</v>
      </c>
    </row>
    <row r="61" spans="1:26" s="24" customFormat="1" hidden="1" outlineLevel="1" x14ac:dyDescent="0.3">
      <c r="A61" s="44"/>
      <c r="B61" s="11" t="str">
        <f>CONCATENATE("          ", "4226", " - ", "SALES RETURN TAXABLE-WRITING I")</f>
        <v xml:space="preserve">          4226 - SALES RETURN TAXABLE-WRITING I</v>
      </c>
      <c r="C61" s="11"/>
      <c r="D61" s="2">
        <f t="shared" si="12"/>
        <v>0</v>
      </c>
      <c r="E61" s="2"/>
      <c r="F61" s="19"/>
      <c r="G61" s="2"/>
      <c r="H61" s="2">
        <f t="shared" si="14"/>
        <v>0</v>
      </c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 t="shared" si="13"/>
        <v>0</v>
      </c>
      <c r="Q61" s="2"/>
      <c r="R61" s="19"/>
      <c r="S61" s="2"/>
      <c r="T61" s="2">
        <f>-34.23</f>
        <v>-34.229999999999997</v>
      </c>
      <c r="U61" s="2"/>
      <c r="V61" s="19"/>
      <c r="W61" s="2"/>
      <c r="X61" s="2">
        <f t="shared" si="2"/>
        <v>34.229999999999997</v>
      </c>
      <c r="Y61" s="2"/>
      <c r="Z61" s="19">
        <f t="shared" si="3"/>
        <v>-1</v>
      </c>
    </row>
    <row r="62" spans="1:26" s="24" customFormat="1" hidden="1" outlineLevel="1" x14ac:dyDescent="0.3">
      <c r="A62" s="44"/>
      <c r="B62" s="11" t="str">
        <f>CONCATENATE("          ", "4227", " - ", "SALES RETURN TAXABLE-SCHOOL SU")</f>
        <v xml:space="preserve">          4227 - SALES RETURN TAXABLE-SCHOOL SU</v>
      </c>
      <c r="C62" s="11"/>
      <c r="D62" s="2">
        <f t="shared" si="12"/>
        <v>0</v>
      </c>
      <c r="E62" s="2"/>
      <c r="F62" s="19"/>
      <c r="G62" s="2"/>
      <c r="H62" s="2">
        <f>-25.82</f>
        <v>-25.82</v>
      </c>
      <c r="I62" s="2"/>
      <c r="J62" s="19"/>
      <c r="K62" s="2"/>
      <c r="L62" s="2">
        <f t="shared" si="0"/>
        <v>25.82</v>
      </c>
      <c r="M62" s="2"/>
      <c r="N62" s="19">
        <f t="shared" si="1"/>
        <v>-1</v>
      </c>
      <c r="O62" s="11"/>
      <c r="P62" s="2">
        <f t="shared" si="13"/>
        <v>0</v>
      </c>
      <c r="Q62" s="2"/>
      <c r="R62" s="19"/>
      <c r="S62" s="2"/>
      <c r="T62" s="2">
        <f>-636.46</f>
        <v>-636.46</v>
      </c>
      <c r="U62" s="2"/>
      <c r="V62" s="19"/>
      <c r="W62" s="2"/>
      <c r="X62" s="2">
        <f t="shared" si="2"/>
        <v>636.46</v>
      </c>
      <c r="Y62" s="2"/>
      <c r="Z62" s="19">
        <f t="shared" si="3"/>
        <v>-1</v>
      </c>
    </row>
    <row r="63" spans="1:26" s="24" customFormat="1" hidden="1" outlineLevel="1" x14ac:dyDescent="0.3">
      <c r="A63" s="44"/>
      <c r="B63" s="11" t="str">
        <f>CONCATENATE("          ", "4228", " - ", "SALES RETURN TAXABLE-ART/TECH")</f>
        <v xml:space="preserve">          4228 - SALES RETURN TAXABLE-ART/TECH</v>
      </c>
      <c r="C63" s="11"/>
      <c r="D63" s="2">
        <f t="shared" si="12"/>
        <v>0</v>
      </c>
      <c r="E63" s="2"/>
      <c r="F63" s="19"/>
      <c r="G63" s="2"/>
      <c r="H63" s="2">
        <f>0</f>
        <v>0</v>
      </c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 t="shared" si="13"/>
        <v>0</v>
      </c>
      <c r="Q63" s="2"/>
      <c r="R63" s="19"/>
      <c r="S63" s="2"/>
      <c r="T63" s="2">
        <f>-254.69</f>
        <v>-254.69</v>
      </c>
      <c r="U63" s="2"/>
      <c r="V63" s="19"/>
      <c r="W63" s="2"/>
      <c r="X63" s="2">
        <f t="shared" si="2"/>
        <v>254.69</v>
      </c>
      <c r="Y63" s="2"/>
      <c r="Z63" s="19">
        <f t="shared" si="3"/>
        <v>-1</v>
      </c>
    </row>
    <row r="64" spans="1:26" s="24" customFormat="1" hidden="1" outlineLevel="1" x14ac:dyDescent="0.3">
      <c r="A64" s="44"/>
      <c r="B64" s="11" t="str">
        <f>CONCATENATE("          ", "4240", " - ", "SALES RETURN TAXABLE-LOGO CLOT")</f>
        <v xml:space="preserve">          4240 - SALES RETURN TAXABLE-LOGO CLOT</v>
      </c>
      <c r="C64" s="11"/>
      <c r="D64" s="2">
        <f t="shared" si="12"/>
        <v>0</v>
      </c>
      <c r="E64" s="2"/>
      <c r="F64" s="19"/>
      <c r="G64" s="2"/>
      <c r="H64" s="2">
        <f>-4840.17</f>
        <v>-4840.17</v>
      </c>
      <c r="I64" s="2"/>
      <c r="J64" s="19"/>
      <c r="K64" s="2"/>
      <c r="L64" s="2">
        <f t="shared" si="0"/>
        <v>4840.17</v>
      </c>
      <c r="M64" s="2"/>
      <c r="N64" s="19">
        <f t="shared" si="1"/>
        <v>-1</v>
      </c>
      <c r="O64" s="11"/>
      <c r="P64" s="2">
        <f t="shared" si="13"/>
        <v>0</v>
      </c>
      <c r="Q64" s="2"/>
      <c r="R64" s="19"/>
      <c r="S64" s="2"/>
      <c r="T64" s="2">
        <f>-20418.84</f>
        <v>-20418.84</v>
      </c>
      <c r="U64" s="2"/>
      <c r="V64" s="19"/>
      <c r="W64" s="2"/>
      <c r="X64" s="2">
        <f t="shared" si="2"/>
        <v>20418.84</v>
      </c>
      <c r="Y64" s="2"/>
      <c r="Z64" s="19">
        <f t="shared" si="3"/>
        <v>-1</v>
      </c>
    </row>
    <row r="65" spans="1:26" s="24" customFormat="1" hidden="1" outlineLevel="1" x14ac:dyDescent="0.3">
      <c r="A65" s="44"/>
      <c r="B65" s="11" t="str">
        <f>CONCATENATE("          ", "4241", " - ", "SALES RETURN TAXABLE-LOGO GIFT")</f>
        <v xml:space="preserve">          4241 - SALES RETURN TAXABLE-LOGO GIFT</v>
      </c>
      <c r="C65" s="11"/>
      <c r="D65" s="2">
        <f t="shared" si="12"/>
        <v>0</v>
      </c>
      <c r="E65" s="2"/>
      <c r="F65" s="19"/>
      <c r="G65" s="2"/>
      <c r="H65" s="2">
        <f>-755.16</f>
        <v>-755.16</v>
      </c>
      <c r="I65" s="2"/>
      <c r="J65" s="19"/>
      <c r="K65" s="2"/>
      <c r="L65" s="2">
        <f t="shared" si="0"/>
        <v>755.16</v>
      </c>
      <c r="M65" s="2"/>
      <c r="N65" s="19">
        <f t="shared" si="1"/>
        <v>-1</v>
      </c>
      <c r="O65" s="11"/>
      <c r="P65" s="2">
        <f t="shared" si="13"/>
        <v>0</v>
      </c>
      <c r="Q65" s="2"/>
      <c r="R65" s="19"/>
      <c r="S65" s="2"/>
      <c r="T65" s="2">
        <f>-3560.01</f>
        <v>-3560.01</v>
      </c>
      <c r="U65" s="2"/>
      <c r="V65" s="19"/>
      <c r="W65" s="2"/>
      <c r="X65" s="2">
        <f t="shared" si="2"/>
        <v>3560.01</v>
      </c>
      <c r="Y65" s="2"/>
      <c r="Z65" s="19">
        <f t="shared" si="3"/>
        <v>-1</v>
      </c>
    </row>
    <row r="66" spans="1:26" s="24" customFormat="1" hidden="1" outlineLevel="1" x14ac:dyDescent="0.3">
      <c r="A66" s="44"/>
      <c r="B66" s="11" t="str">
        <f>CONCATENATE("          ", "4242", " - ", "SALES RETURN TAXABLE-EVERYDAY")</f>
        <v xml:space="preserve">          4242 - SALES RETURN TAXABLE-EVERYDAY</v>
      </c>
      <c r="C66" s="11"/>
      <c r="D66" s="2">
        <f t="shared" si="12"/>
        <v>0</v>
      </c>
      <c r="E66" s="2"/>
      <c r="F66" s="19"/>
      <c r="G66" s="2"/>
      <c r="H66" s="2">
        <f>-287.93</f>
        <v>-287.93</v>
      </c>
      <c r="I66" s="2"/>
      <c r="J66" s="19"/>
      <c r="K66" s="2"/>
      <c r="L66" s="2">
        <f t="shared" si="0"/>
        <v>287.93</v>
      </c>
      <c r="M66" s="2"/>
      <c r="N66" s="19">
        <f t="shared" si="1"/>
        <v>-1</v>
      </c>
      <c r="O66" s="11"/>
      <c r="P66" s="2">
        <f t="shared" si="13"/>
        <v>0</v>
      </c>
      <c r="Q66" s="2"/>
      <c r="R66" s="19"/>
      <c r="S66" s="2"/>
      <c r="T66" s="2">
        <f>-1616.92</f>
        <v>-1616.92</v>
      </c>
      <c r="U66" s="2"/>
      <c r="V66" s="19"/>
      <c r="W66" s="2"/>
      <c r="X66" s="2">
        <f t="shared" si="2"/>
        <v>1616.92</v>
      </c>
      <c r="Y66" s="2"/>
      <c r="Z66" s="19">
        <f t="shared" si="3"/>
        <v>-1</v>
      </c>
    </row>
    <row r="67" spans="1:26" s="24" customFormat="1" hidden="1" outlineLevel="1" x14ac:dyDescent="0.3">
      <c r="A67" s="44"/>
      <c r="B67" s="11" t="str">
        <f>CONCATENATE("          ", "4243", " - ", "SALES RETURN TAXABLE-CARDS")</f>
        <v xml:space="preserve">          4243 - SALES RETURN TAXABLE-CARDS</v>
      </c>
      <c r="C67" s="11"/>
      <c r="D67" s="2">
        <f t="shared" si="12"/>
        <v>0</v>
      </c>
      <c r="E67" s="2"/>
      <c r="F67" s="19"/>
      <c r="G67" s="2"/>
      <c r="H67" s="2">
        <f>-1765.08</f>
        <v>-1765.08</v>
      </c>
      <c r="I67" s="2"/>
      <c r="J67" s="19"/>
      <c r="K67" s="2"/>
      <c r="L67" s="2">
        <f t="shared" si="0"/>
        <v>1765.08</v>
      </c>
      <c r="M67" s="2"/>
      <c r="N67" s="19">
        <f t="shared" si="1"/>
        <v>-1</v>
      </c>
      <c r="O67" s="11"/>
      <c r="P67" s="2">
        <f t="shared" si="13"/>
        <v>0</v>
      </c>
      <c r="Q67" s="2"/>
      <c r="R67" s="19"/>
      <c r="S67" s="2"/>
      <c r="T67" s="2">
        <f>-3577.54</f>
        <v>-3577.54</v>
      </c>
      <c r="U67" s="2"/>
      <c r="V67" s="19"/>
      <c r="W67" s="2"/>
      <c r="X67" s="2">
        <f t="shared" si="2"/>
        <v>3577.54</v>
      </c>
      <c r="Y67" s="2"/>
      <c r="Z67" s="19">
        <f t="shared" si="3"/>
        <v>-1</v>
      </c>
    </row>
    <row r="68" spans="1:26" s="24" customFormat="1" hidden="1" outlineLevel="1" x14ac:dyDescent="0.3">
      <c r="A68" s="44"/>
      <c r="B68" s="11" t="str">
        <f>CONCATENATE("          ", "4244", " - ", "SALES RETURN TAXABLE-ACCESSORI")</f>
        <v xml:space="preserve">          4244 - SALES RETURN TAXABLE-ACCESSORI</v>
      </c>
      <c r="C68" s="11"/>
      <c r="D68" s="2">
        <f t="shared" si="12"/>
        <v>0</v>
      </c>
      <c r="E68" s="2"/>
      <c r="F68" s="19"/>
      <c r="G68" s="2"/>
      <c r="H68" s="2">
        <f>-299.93</f>
        <v>-299.93</v>
      </c>
      <c r="I68" s="2"/>
      <c r="J68" s="19"/>
      <c r="K68" s="2"/>
      <c r="L68" s="2">
        <f t="shared" si="0"/>
        <v>299.93</v>
      </c>
      <c r="M68" s="2"/>
      <c r="N68" s="19">
        <f t="shared" si="1"/>
        <v>-1</v>
      </c>
      <c r="O68" s="11"/>
      <c r="P68" s="2">
        <f t="shared" si="13"/>
        <v>0</v>
      </c>
      <c r="Q68" s="2"/>
      <c r="R68" s="19"/>
      <c r="S68" s="2"/>
      <c r="T68" s="2">
        <f>-890.87</f>
        <v>-890.87</v>
      </c>
      <c r="U68" s="2"/>
      <c r="V68" s="19"/>
      <c r="W68" s="2"/>
      <c r="X68" s="2">
        <f t="shared" si="2"/>
        <v>890.87</v>
      </c>
      <c r="Y68" s="2"/>
      <c r="Z68" s="19">
        <f t="shared" si="3"/>
        <v>-1</v>
      </c>
    </row>
    <row r="69" spans="1:26" s="24" customFormat="1" hidden="1" outlineLevel="1" x14ac:dyDescent="0.3">
      <c r="A69" s="44"/>
      <c r="B69" s="11" t="str">
        <f>CONCATENATE("          ", "4245", " - ", "SALES RETURN TAXABLE-SPECIAL O")</f>
        <v xml:space="preserve">          4245 - SALES RETURN TAXABLE-SPECIAL O</v>
      </c>
      <c r="C69" s="11"/>
      <c r="D69" s="2">
        <f t="shared" si="12"/>
        <v>0</v>
      </c>
      <c r="E69" s="2"/>
      <c r="F69" s="19"/>
      <c r="G69" s="2"/>
      <c r="H69" s="2">
        <f>-9752.79</f>
        <v>-9752.7900000000009</v>
      </c>
      <c r="I69" s="2"/>
      <c r="J69" s="19"/>
      <c r="K69" s="2"/>
      <c r="L69" s="2">
        <f t="shared" si="0"/>
        <v>9752.7900000000009</v>
      </c>
      <c r="M69" s="2"/>
      <c r="N69" s="19">
        <f t="shared" si="1"/>
        <v>-1</v>
      </c>
      <c r="O69" s="11"/>
      <c r="P69" s="2">
        <f t="shared" si="13"/>
        <v>0</v>
      </c>
      <c r="Q69" s="2"/>
      <c r="R69" s="19"/>
      <c r="S69" s="2"/>
      <c r="T69" s="2">
        <f>-11345.61</f>
        <v>-11345.61</v>
      </c>
      <c r="U69" s="2"/>
      <c r="V69" s="19"/>
      <c r="W69" s="2"/>
      <c r="X69" s="2">
        <f t="shared" si="2"/>
        <v>11345.61</v>
      </c>
      <c r="Y69" s="2"/>
      <c r="Z69" s="19">
        <f t="shared" si="3"/>
        <v>-1</v>
      </c>
    </row>
    <row r="70" spans="1:26" s="24" customFormat="1" hidden="1" outlineLevel="1" x14ac:dyDescent="0.3">
      <c r="A70" s="44"/>
      <c r="B70" s="11" t="str">
        <f>CONCATENATE("          ", "4300", " - ", "NON-TAX RETURNS")</f>
        <v xml:space="preserve">          4300 - NON-TAX RETURNS</v>
      </c>
      <c r="C70" s="11"/>
      <c r="D70" s="2">
        <f>-678.95</f>
        <v>-678.95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-678.95</v>
      </c>
      <c r="M70" s="2"/>
      <c r="N70" s="19">
        <f t="shared" si="1"/>
        <v>0</v>
      </c>
      <c r="O70" s="11"/>
      <c r="P70" s="2">
        <f>-27179.34</f>
        <v>-27179.34</v>
      </c>
      <c r="Q70" s="2"/>
      <c r="R70" s="19"/>
      <c r="S70" s="2"/>
      <c r="T70" s="2">
        <f>0</f>
        <v>0</v>
      </c>
      <c r="U70" s="2"/>
      <c r="V70" s="19"/>
      <c r="W70" s="2"/>
      <c r="X70" s="2">
        <f t="shared" si="2"/>
        <v>-27179.34</v>
      </c>
      <c r="Y70" s="2"/>
      <c r="Z70" s="19">
        <f t="shared" si="3"/>
        <v>0</v>
      </c>
    </row>
    <row r="71" spans="1:26" s="24" customFormat="1" hidden="1" outlineLevel="1" x14ac:dyDescent="0.3">
      <c r="A71" s="44"/>
      <c r="B71" s="11" t="str">
        <f>CONCATENATE("          ", "4301", " - ", "SALES RETURN NON TAXABLE-NEW T")</f>
        <v xml:space="preserve">          4301 - SALES RETURN NON TAXABLE-NEW T</v>
      </c>
      <c r="C71" s="11"/>
      <c r="D71" s="2">
        <f t="shared" ref="D71:D76" si="15">0</f>
        <v>0</v>
      </c>
      <c r="E71" s="2"/>
      <c r="F71" s="19"/>
      <c r="G71" s="2"/>
      <c r="H71" s="2">
        <f>-372.93</f>
        <v>-372.93</v>
      </c>
      <c r="I71" s="2"/>
      <c r="J71" s="19"/>
      <c r="K71" s="2"/>
      <c r="L71" s="2">
        <f t="shared" si="0"/>
        <v>372.93</v>
      </c>
      <c r="M71" s="2"/>
      <c r="N71" s="19">
        <f t="shared" si="1"/>
        <v>-1</v>
      </c>
      <c r="O71" s="11"/>
      <c r="P71" s="2">
        <f t="shared" ref="P71:P76" si="16">0</f>
        <v>0</v>
      </c>
      <c r="Q71" s="2"/>
      <c r="R71" s="19"/>
      <c r="S71" s="2"/>
      <c r="T71" s="2">
        <f>-2749.1</f>
        <v>-2749.1</v>
      </c>
      <c r="U71" s="2"/>
      <c r="V71" s="19"/>
      <c r="W71" s="2"/>
      <c r="X71" s="2">
        <f t="shared" si="2"/>
        <v>2749.1</v>
      </c>
      <c r="Y71" s="2"/>
      <c r="Z71" s="19">
        <f t="shared" si="3"/>
        <v>-1</v>
      </c>
    </row>
    <row r="72" spans="1:26" s="24" customFormat="1" hidden="1" outlineLevel="1" x14ac:dyDescent="0.3">
      <c r="A72" s="44"/>
      <c r="B72" s="11" t="str">
        <f>CONCATENATE("          ", "4302", " - ", "SALES RETURN NON TAXABLE-TEXT")</f>
        <v xml:space="preserve">          4302 - SALES RETURN NON TAXABLE-TEXT</v>
      </c>
      <c r="C72" s="11"/>
      <c r="D72" s="2">
        <f t="shared" si="15"/>
        <v>0</v>
      </c>
      <c r="E72" s="2"/>
      <c r="F72" s="19"/>
      <c r="G72" s="2"/>
      <c r="H72" s="2">
        <f>-77.35</f>
        <v>-77.349999999999994</v>
      </c>
      <c r="I72" s="2"/>
      <c r="J72" s="19"/>
      <c r="K72" s="2"/>
      <c r="L72" s="2">
        <f t="shared" si="0"/>
        <v>77.349999999999994</v>
      </c>
      <c r="M72" s="2"/>
      <c r="N72" s="19">
        <f t="shared" si="1"/>
        <v>-1</v>
      </c>
      <c r="O72" s="11"/>
      <c r="P72" s="2">
        <f t="shared" si="16"/>
        <v>0</v>
      </c>
      <c r="Q72" s="2"/>
      <c r="R72" s="19"/>
      <c r="S72" s="2"/>
      <c r="T72" s="2">
        <f>-1470.2</f>
        <v>-1470.2</v>
      </c>
      <c r="U72" s="2"/>
      <c r="V72" s="19"/>
      <c r="W72" s="2"/>
      <c r="X72" s="2">
        <f t="shared" si="2"/>
        <v>1470.2</v>
      </c>
      <c r="Y72" s="2"/>
      <c r="Z72" s="19">
        <f t="shared" si="3"/>
        <v>-1</v>
      </c>
    </row>
    <row r="73" spans="1:26" s="24" customFormat="1" hidden="1" outlineLevel="1" x14ac:dyDescent="0.3">
      <c r="A73" s="44"/>
      <c r="B73" s="11" t="str">
        <f>CONCATENATE("          ", "4304", " - ", "SALES RETURN NON TAXABLE-DIGIT")</f>
        <v xml:space="preserve">          4304 - SALES RETURN NON TAXABLE-DIGIT</v>
      </c>
      <c r="C73" s="11"/>
      <c r="D73" s="2">
        <f t="shared" si="15"/>
        <v>0</v>
      </c>
      <c r="E73" s="2"/>
      <c r="F73" s="19"/>
      <c r="G73" s="2"/>
      <c r="H73" s="2">
        <f>-144.23</f>
        <v>-144.22999999999999</v>
      </c>
      <c r="I73" s="2"/>
      <c r="J73" s="19"/>
      <c r="K73" s="2"/>
      <c r="L73" s="2">
        <f t="shared" si="0"/>
        <v>144.22999999999999</v>
      </c>
      <c r="M73" s="2"/>
      <c r="N73" s="19">
        <f t="shared" si="1"/>
        <v>-1</v>
      </c>
      <c r="O73" s="11"/>
      <c r="P73" s="2">
        <f t="shared" si="16"/>
        <v>0</v>
      </c>
      <c r="Q73" s="2"/>
      <c r="R73" s="19"/>
      <c r="S73" s="2"/>
      <c r="T73" s="2">
        <f>-14422.77</f>
        <v>-14422.77</v>
      </c>
      <c r="U73" s="2"/>
      <c r="V73" s="19"/>
      <c r="W73" s="2"/>
      <c r="X73" s="2">
        <f t="shared" si="2"/>
        <v>14422.77</v>
      </c>
      <c r="Y73" s="2"/>
      <c r="Z73" s="19">
        <f t="shared" si="3"/>
        <v>-1</v>
      </c>
    </row>
    <row r="74" spans="1:26" s="24" customFormat="1" hidden="1" outlineLevel="1" x14ac:dyDescent="0.3">
      <c r="A74" s="44"/>
      <c r="B74" s="11" t="str">
        <f>CONCATENATE("          ", "4340", " - ", "SALES RETURN NON TAXABLE-LOGO")</f>
        <v xml:space="preserve">          4340 - SALES RETURN NON TAXABLE-LOGO</v>
      </c>
      <c r="C74" s="11"/>
      <c r="D74" s="2">
        <f t="shared" si="15"/>
        <v>0</v>
      </c>
      <c r="E74" s="2"/>
      <c r="F74" s="19"/>
      <c r="G74" s="2"/>
      <c r="H74" s="2">
        <f>-543.24</f>
        <v>-543.24</v>
      </c>
      <c r="I74" s="2"/>
      <c r="J74" s="19"/>
      <c r="K74" s="2"/>
      <c r="L74" s="2">
        <f t="shared" si="0"/>
        <v>543.24</v>
      </c>
      <c r="M74" s="2"/>
      <c r="N74" s="19">
        <f t="shared" si="1"/>
        <v>-1</v>
      </c>
      <c r="O74" s="11"/>
      <c r="P74" s="2">
        <f t="shared" si="16"/>
        <v>0</v>
      </c>
      <c r="Q74" s="2"/>
      <c r="R74" s="19"/>
      <c r="S74" s="2"/>
      <c r="T74" s="2">
        <f>-1483.72</f>
        <v>-1483.72</v>
      </c>
      <c r="U74" s="2"/>
      <c r="V74" s="19"/>
      <c r="W74" s="2"/>
      <c r="X74" s="2">
        <f t="shared" si="2"/>
        <v>1483.72</v>
      </c>
      <c r="Y74" s="2"/>
      <c r="Z74" s="19">
        <f t="shared" si="3"/>
        <v>-1</v>
      </c>
    </row>
    <row r="75" spans="1:26" s="24" customFormat="1" hidden="1" outlineLevel="1" x14ac:dyDescent="0.3">
      <c r="A75" s="44"/>
      <c r="B75" s="11" t="str">
        <f>CONCATENATE("          ", "4341", " - ", "SALES RETURN NON TAXABLE-LOGO")</f>
        <v xml:space="preserve">          4341 - SALES RETURN NON TAXABLE-LOGO</v>
      </c>
      <c r="C75" s="11"/>
      <c r="D75" s="2">
        <f t="shared" si="15"/>
        <v>0</v>
      </c>
      <c r="E75" s="2"/>
      <c r="F75" s="19"/>
      <c r="G75" s="2"/>
      <c r="H75" s="2">
        <f>-33.85</f>
        <v>-33.85</v>
      </c>
      <c r="I75" s="2"/>
      <c r="J75" s="19"/>
      <c r="K75" s="2"/>
      <c r="L75" s="2">
        <f t="shared" si="0"/>
        <v>33.85</v>
      </c>
      <c r="M75" s="2"/>
      <c r="N75" s="19">
        <f t="shared" si="1"/>
        <v>-1</v>
      </c>
      <c r="O75" s="11"/>
      <c r="P75" s="2">
        <f t="shared" si="16"/>
        <v>0</v>
      </c>
      <c r="Q75" s="2"/>
      <c r="R75" s="19"/>
      <c r="S75" s="2"/>
      <c r="T75" s="2">
        <f>-335.64</f>
        <v>-335.64</v>
      </c>
      <c r="U75" s="2"/>
      <c r="V75" s="19"/>
      <c r="W75" s="2"/>
      <c r="X75" s="2">
        <f t="shared" si="2"/>
        <v>335.64</v>
      </c>
      <c r="Y75" s="2"/>
      <c r="Z75" s="19">
        <f t="shared" si="3"/>
        <v>-1</v>
      </c>
    </row>
    <row r="76" spans="1:26" s="24" customFormat="1" hidden="1" outlineLevel="1" x14ac:dyDescent="0.3">
      <c r="A76" s="44"/>
      <c r="B76" s="11" t="str">
        <f>CONCATENATE("          ", "4342", " - ", "SALES RETURN NON TAXABLE-EVERY")</f>
        <v xml:space="preserve">          4342 - SALES RETURN NON TAXABLE-EVERY</v>
      </c>
      <c r="C76" s="11"/>
      <c r="D76" s="2">
        <f t="shared" si="15"/>
        <v>0</v>
      </c>
      <c r="E76" s="2"/>
      <c r="F76" s="19"/>
      <c r="G76" s="2"/>
      <c r="H76" s="2">
        <f t="shared" ref="H76:H77" si="17">0</f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 t="shared" si="16"/>
        <v>0</v>
      </c>
      <c r="Q76" s="2"/>
      <c r="R76" s="19"/>
      <c r="S76" s="2"/>
      <c r="T76" s="2">
        <f>-118.7</f>
        <v>-118.7</v>
      </c>
      <c r="U76" s="2"/>
      <c r="V76" s="19"/>
      <c r="W76" s="2"/>
      <c r="X76" s="2">
        <f t="shared" si="2"/>
        <v>118.7</v>
      </c>
      <c r="Y76" s="2"/>
      <c r="Z76" s="19">
        <f t="shared" si="3"/>
        <v>-1</v>
      </c>
    </row>
    <row r="77" spans="1:26" s="24" customFormat="1" hidden="1" outlineLevel="1" x14ac:dyDescent="0.3">
      <c r="A77" s="44"/>
      <c r="B77" s="11" t="str">
        <f>CONCATENATE("          ", "4500", " - ", "SALES DISCOUNT")</f>
        <v xml:space="preserve">          4500 - SALES DISCOUNT</v>
      </c>
      <c r="C77" s="11"/>
      <c r="D77" s="2">
        <f>-49916.63</f>
        <v>-49916.63</v>
      </c>
      <c r="E77" s="2"/>
      <c r="F77" s="19"/>
      <c r="G77" s="2"/>
      <c r="H77" s="2">
        <f t="shared" si="17"/>
        <v>0</v>
      </c>
      <c r="I77" s="2"/>
      <c r="J77" s="19"/>
      <c r="K77" s="2"/>
      <c r="L77" s="2">
        <f t="shared" si="0"/>
        <v>-49916.63</v>
      </c>
      <c r="M77" s="2"/>
      <c r="N77" s="19">
        <f t="shared" si="1"/>
        <v>0</v>
      </c>
      <c r="O77" s="11"/>
      <c r="P77" s="2">
        <f>-64006.11</f>
        <v>-64006.11</v>
      </c>
      <c r="Q77" s="2"/>
      <c r="R77" s="19"/>
      <c r="S77" s="2"/>
      <c r="T77" s="2">
        <f>0</f>
        <v>0</v>
      </c>
      <c r="U77" s="2"/>
      <c r="V77" s="19"/>
      <c r="W77" s="2"/>
      <c r="X77" s="2">
        <f t="shared" si="2"/>
        <v>-64006.11</v>
      </c>
      <c r="Y77" s="2"/>
      <c r="Z77" s="19">
        <f t="shared" si="3"/>
        <v>0</v>
      </c>
    </row>
    <row r="78" spans="1:26" x14ac:dyDescent="0.3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collapsed="1" x14ac:dyDescent="0.3">
      <c r="A79" s="10"/>
      <c r="B79" s="25" t="s">
        <v>256</v>
      </c>
      <c r="C79" s="10"/>
      <c r="D79" s="4">
        <f>SUM(OSRRefD16x_0)</f>
        <v>258095.33999999997</v>
      </c>
      <c r="E79" s="4"/>
      <c r="F79" s="12">
        <f t="shared" ref="F79:F119" si="18">IF(D$12=0,0,D79/D$12)</f>
        <v>0.51803193125389424</v>
      </c>
      <c r="G79" s="4"/>
      <c r="H79" s="4">
        <f>SUM(OSRRefH16x_0)</f>
        <v>132849.4</v>
      </c>
      <c r="I79" s="4"/>
      <c r="J79" s="12">
        <f t="shared" ref="J79:J119" si="19">IF(H$12=0,0,H79/H$12)</f>
        <v>0.56862736201853403</v>
      </c>
      <c r="K79" s="4"/>
      <c r="L79" s="4">
        <f t="shared" ref="L79:L119" si="20">+D79-H79</f>
        <v>125245.93999999997</v>
      </c>
      <c r="M79" s="4"/>
      <c r="N79" s="12">
        <f t="shared" ref="N79:N119" si="21">IF(H79=0,0,L79/H79)</f>
        <v>0.9427663203597455</v>
      </c>
      <c r="O79" s="10"/>
      <c r="P79" s="4">
        <f>SUM(OSRRefP16x_0)</f>
        <v>2211922.33</v>
      </c>
      <c r="Q79" s="4"/>
      <c r="R79" s="12">
        <f t="shared" ref="R79:R119" si="22">IF(P$12=0,0,P79/P$12)</f>
        <v>0.60416376757343515</v>
      </c>
      <c r="S79" s="4"/>
      <c r="T79" s="4">
        <f>SUM(OSRRefT16x_0)</f>
        <v>1734623.43</v>
      </c>
      <c r="U79" s="4"/>
      <c r="V79" s="12">
        <f t="shared" ref="V79:V119" si="23">IF(T$12=0,0,T79/T$12)</f>
        <v>0.64278292700003348</v>
      </c>
      <c r="W79" s="4"/>
      <c r="X79" s="4">
        <f t="shared" ref="X79:X119" si="24">+P79-T79</f>
        <v>477298.90000000014</v>
      </c>
      <c r="Y79" s="4"/>
      <c r="Z79" s="12">
        <f t="shared" ref="Z79:Z119" si="25">IF(T79=0,0,X79/T79)</f>
        <v>0.27515995215168987</v>
      </c>
    </row>
    <row r="80" spans="1:26" s="24" customFormat="1" hidden="1" outlineLevel="1" x14ac:dyDescent="0.3">
      <c r="A80" s="44"/>
      <c r="B80" s="11" t="str">
        <f>CONCATENATE("          ", "5000", " - ", "PURCHASES @ COST")</f>
        <v xml:space="preserve">          5000 - PURCHASES @ COST</v>
      </c>
      <c r="C80" s="11"/>
      <c r="D80" s="2">
        <v>283717.63</v>
      </c>
      <c r="E80" s="2"/>
      <c r="F80" s="19">
        <f t="shared" si="18"/>
        <v>0.56945930058124183</v>
      </c>
      <c r="G80" s="2"/>
      <c r="H80" s="2"/>
      <c r="I80" s="2"/>
      <c r="J80" s="19">
        <f t="shared" si="19"/>
        <v>0</v>
      </c>
      <c r="K80" s="2"/>
      <c r="L80" s="2">
        <f t="shared" si="20"/>
        <v>283717.63</v>
      </c>
      <c r="M80" s="2"/>
      <c r="N80" s="19">
        <f t="shared" si="21"/>
        <v>0</v>
      </c>
      <c r="O80" s="11"/>
      <c r="P80" s="2">
        <v>2531924.41</v>
      </c>
      <c r="Q80" s="2"/>
      <c r="R80" s="19">
        <f t="shared" si="22"/>
        <v>0.69156903477562293</v>
      </c>
      <c r="S80" s="2"/>
      <c r="T80" s="2">
        <v>0</v>
      </c>
      <c r="U80" s="2"/>
      <c r="V80" s="19">
        <f t="shared" si="23"/>
        <v>0</v>
      </c>
      <c r="W80" s="2"/>
      <c r="X80" s="2">
        <f t="shared" si="24"/>
        <v>2531924.41</v>
      </c>
      <c r="Y80" s="2"/>
      <c r="Z80" s="19">
        <f t="shared" si="25"/>
        <v>0</v>
      </c>
    </row>
    <row r="81" spans="1:26" s="24" customFormat="1" hidden="1" outlineLevel="1" x14ac:dyDescent="0.3">
      <c r="A81" s="44"/>
      <c r="B81" s="11" t="str">
        <f>CONCATENATE("          ", "5001", " - ", "PURCHASES @ COST-NEW TEXT")</f>
        <v xml:space="preserve">          5001 - PURCHASES @ COST-NEW TEXT</v>
      </c>
      <c r="C81" s="11"/>
      <c r="D81" s="2"/>
      <c r="E81" s="2"/>
      <c r="F81" s="19">
        <f t="shared" si="18"/>
        <v>0</v>
      </c>
      <c r="G81" s="2"/>
      <c r="H81" s="2">
        <v>37317.56</v>
      </c>
      <c r="I81" s="2"/>
      <c r="J81" s="19">
        <f t="shared" si="19"/>
        <v>0.15972812598151262</v>
      </c>
      <c r="K81" s="2"/>
      <c r="L81" s="2">
        <f t="shared" si="20"/>
        <v>-37317.56</v>
      </c>
      <c r="M81" s="2"/>
      <c r="N81" s="19">
        <f t="shared" si="21"/>
        <v>-1</v>
      </c>
      <c r="O81" s="11"/>
      <c r="P81" s="2">
        <v>0</v>
      </c>
      <c r="Q81" s="2"/>
      <c r="R81" s="19">
        <f t="shared" si="22"/>
        <v>0</v>
      </c>
      <c r="S81" s="2"/>
      <c r="T81" s="2">
        <v>1277913.04</v>
      </c>
      <c r="U81" s="2"/>
      <c r="V81" s="19">
        <f t="shared" si="23"/>
        <v>0.47354409614005438</v>
      </c>
      <c r="W81" s="2"/>
      <c r="X81" s="2">
        <f t="shared" si="24"/>
        <v>-1277913.04</v>
      </c>
      <c r="Y81" s="2"/>
      <c r="Z81" s="19">
        <f t="shared" si="25"/>
        <v>-1</v>
      </c>
    </row>
    <row r="82" spans="1:26" s="24" customFormat="1" hidden="1" outlineLevel="1" x14ac:dyDescent="0.3">
      <c r="A82" s="44"/>
      <c r="B82" s="11" t="str">
        <f>CONCATENATE("          ", "5002", " - ", "PURCHASES @ COST-USED TEXT")</f>
        <v xml:space="preserve">          5002 - PURCHASES @ COST-USED TEXT</v>
      </c>
      <c r="C82" s="11"/>
      <c r="D82" s="2"/>
      <c r="E82" s="2"/>
      <c r="F82" s="19">
        <f t="shared" si="18"/>
        <v>0</v>
      </c>
      <c r="G82" s="2"/>
      <c r="H82" s="2">
        <v>70238.87</v>
      </c>
      <c r="I82" s="2"/>
      <c r="J82" s="19">
        <f t="shared" si="19"/>
        <v>0.30063924533541547</v>
      </c>
      <c r="K82" s="2"/>
      <c r="L82" s="2">
        <f t="shared" si="20"/>
        <v>-70238.87</v>
      </c>
      <c r="M82" s="2"/>
      <c r="N82" s="19">
        <f t="shared" si="21"/>
        <v>-1</v>
      </c>
      <c r="O82" s="11"/>
      <c r="P82" s="2">
        <v>0</v>
      </c>
      <c r="Q82" s="2"/>
      <c r="R82" s="19">
        <f t="shared" si="22"/>
        <v>0</v>
      </c>
      <c r="S82" s="2"/>
      <c r="T82" s="2">
        <v>164472.92000000001</v>
      </c>
      <c r="U82" s="2"/>
      <c r="V82" s="19">
        <f t="shared" si="23"/>
        <v>6.0947167610806659E-2</v>
      </c>
      <c r="W82" s="2"/>
      <c r="X82" s="2">
        <f t="shared" si="24"/>
        <v>-164472.92000000001</v>
      </c>
      <c r="Y82" s="2"/>
      <c r="Z82" s="19">
        <f t="shared" si="25"/>
        <v>-1</v>
      </c>
    </row>
    <row r="83" spans="1:26" s="24" customFormat="1" hidden="1" outlineLevel="1" x14ac:dyDescent="0.3">
      <c r="A83" s="44"/>
      <c r="B83" s="11" t="str">
        <f>CONCATENATE("          ", "5003", " - ", "PURCHASES @ COST-RENTAL TEXT")</f>
        <v xml:space="preserve">          5003 - PURCHASES @ COST-RENTAL TEXT</v>
      </c>
      <c r="C83" s="11"/>
      <c r="D83" s="2"/>
      <c r="E83" s="2"/>
      <c r="F83" s="19">
        <f t="shared" si="18"/>
        <v>0</v>
      </c>
      <c r="G83" s="2"/>
      <c r="H83" s="2"/>
      <c r="I83" s="2"/>
      <c r="J83" s="19">
        <f t="shared" si="19"/>
        <v>0</v>
      </c>
      <c r="K83" s="2"/>
      <c r="L83" s="2">
        <f t="shared" si="20"/>
        <v>0</v>
      </c>
      <c r="M83" s="2"/>
      <c r="N83" s="19">
        <f t="shared" si="21"/>
        <v>0</v>
      </c>
      <c r="O83" s="11"/>
      <c r="P83" s="2"/>
      <c r="Q83" s="2"/>
      <c r="R83" s="19">
        <f t="shared" si="22"/>
        <v>0</v>
      </c>
      <c r="S83" s="2"/>
      <c r="T83" s="2">
        <v>32.520000000000003</v>
      </c>
      <c r="U83" s="2"/>
      <c r="V83" s="19">
        <f t="shared" si="23"/>
        <v>1.2050627487512428E-5</v>
      </c>
      <c r="W83" s="2"/>
      <c r="X83" s="2">
        <f t="shared" si="24"/>
        <v>-32.520000000000003</v>
      </c>
      <c r="Y83" s="2"/>
      <c r="Z83" s="19">
        <f t="shared" si="25"/>
        <v>-1</v>
      </c>
    </row>
    <row r="84" spans="1:26" s="24" customFormat="1" hidden="1" outlineLevel="1" x14ac:dyDescent="0.3">
      <c r="A84" s="44"/>
      <c r="B84" s="11" t="str">
        <f>CONCATENATE("          ", "5004", " - ", "PURCHASES @ COST-DIGITAL TEXT")</f>
        <v xml:space="preserve">          5004 - PURCHASES @ COST-DIGITAL TEXT</v>
      </c>
      <c r="C84" s="11"/>
      <c r="D84" s="2"/>
      <c r="E84" s="2"/>
      <c r="F84" s="19">
        <f t="shared" si="18"/>
        <v>0</v>
      </c>
      <c r="G84" s="2"/>
      <c r="H84" s="2">
        <v>900</v>
      </c>
      <c r="I84" s="2"/>
      <c r="J84" s="19">
        <f t="shared" si="19"/>
        <v>3.852216312732166E-3</v>
      </c>
      <c r="K84" s="2"/>
      <c r="L84" s="2">
        <f t="shared" si="20"/>
        <v>-900</v>
      </c>
      <c r="M84" s="2"/>
      <c r="N84" s="19">
        <f t="shared" si="21"/>
        <v>-1</v>
      </c>
      <c r="O84" s="11"/>
      <c r="P84" s="2">
        <v>0</v>
      </c>
      <c r="Q84" s="2"/>
      <c r="R84" s="19">
        <f t="shared" si="22"/>
        <v>0</v>
      </c>
      <c r="S84" s="2"/>
      <c r="T84" s="2">
        <v>197838.11</v>
      </c>
      <c r="U84" s="2"/>
      <c r="V84" s="19">
        <f t="shared" si="23"/>
        <v>7.3310989128029122E-2</v>
      </c>
      <c r="W84" s="2"/>
      <c r="X84" s="2">
        <f t="shared" si="24"/>
        <v>-197838.11</v>
      </c>
      <c r="Y84" s="2"/>
      <c r="Z84" s="19">
        <f t="shared" si="25"/>
        <v>-1</v>
      </c>
    </row>
    <row r="85" spans="1:26" s="24" customFormat="1" hidden="1" outlineLevel="1" x14ac:dyDescent="0.3">
      <c r="A85" s="44"/>
      <c r="B85" s="11" t="str">
        <f>CONCATENATE("          ", "5011", " - ", "PURCHASES @ COST-NO VALUE TEXT")</f>
        <v xml:space="preserve">          5011 - PURCHASES @ COST-NO VALUE TEXT</v>
      </c>
      <c r="C85" s="11"/>
      <c r="D85" s="2"/>
      <c r="E85" s="2"/>
      <c r="F85" s="19">
        <f t="shared" si="18"/>
        <v>0</v>
      </c>
      <c r="G85" s="2"/>
      <c r="H85" s="2"/>
      <c r="I85" s="2"/>
      <c r="J85" s="19">
        <f t="shared" si="19"/>
        <v>0</v>
      </c>
      <c r="K85" s="2"/>
      <c r="L85" s="2">
        <f t="shared" si="20"/>
        <v>0</v>
      </c>
      <c r="M85" s="2"/>
      <c r="N85" s="19">
        <f t="shared" si="21"/>
        <v>0</v>
      </c>
      <c r="O85" s="11"/>
      <c r="P85" s="2"/>
      <c r="Q85" s="2"/>
      <c r="R85" s="19">
        <f t="shared" si="22"/>
        <v>0</v>
      </c>
      <c r="S85" s="2"/>
      <c r="T85" s="2">
        <v>67.17</v>
      </c>
      <c r="U85" s="2"/>
      <c r="V85" s="19">
        <f t="shared" si="23"/>
        <v>2.4890548841826869E-5</v>
      </c>
      <c r="W85" s="2"/>
      <c r="X85" s="2">
        <f t="shared" si="24"/>
        <v>-67.17</v>
      </c>
      <c r="Y85" s="2"/>
      <c r="Z85" s="19">
        <f t="shared" si="25"/>
        <v>-1</v>
      </c>
    </row>
    <row r="86" spans="1:26" s="24" customFormat="1" hidden="1" outlineLevel="1" x14ac:dyDescent="0.3">
      <c r="A86" s="44"/>
      <c r="B86" s="11" t="str">
        <f>CONCATENATE("          ", "5013", " - ", "PURCHASES @ COST-TRADE BOOKS")</f>
        <v xml:space="preserve">          5013 - PURCHASES @ COST-TRADE BOOKS</v>
      </c>
      <c r="C86" s="11"/>
      <c r="D86" s="2"/>
      <c r="E86" s="2"/>
      <c r="F86" s="19">
        <f t="shared" si="18"/>
        <v>0</v>
      </c>
      <c r="G86" s="2"/>
      <c r="H86" s="2">
        <v>31.11</v>
      </c>
      <c r="I86" s="2"/>
      <c r="J86" s="19">
        <f t="shared" si="19"/>
        <v>1.3315827721010855E-4</v>
      </c>
      <c r="K86" s="2"/>
      <c r="L86" s="2">
        <f t="shared" si="20"/>
        <v>-31.11</v>
      </c>
      <c r="M86" s="2"/>
      <c r="N86" s="19">
        <f t="shared" si="21"/>
        <v>-1</v>
      </c>
      <c r="O86" s="11"/>
      <c r="P86" s="2"/>
      <c r="Q86" s="2"/>
      <c r="R86" s="19">
        <f t="shared" si="22"/>
        <v>0</v>
      </c>
      <c r="S86" s="2"/>
      <c r="T86" s="2">
        <v>2125.85</v>
      </c>
      <c r="U86" s="2"/>
      <c r="V86" s="19">
        <f t="shared" si="23"/>
        <v>7.8775604072350229E-4</v>
      </c>
      <c r="W86" s="2"/>
      <c r="X86" s="2">
        <f t="shared" si="24"/>
        <v>-2125.85</v>
      </c>
      <c r="Y86" s="2"/>
      <c r="Z86" s="19">
        <f t="shared" si="25"/>
        <v>-1</v>
      </c>
    </row>
    <row r="87" spans="1:26" s="24" customFormat="1" hidden="1" outlineLevel="1" x14ac:dyDescent="0.3">
      <c r="A87" s="44"/>
      <c r="B87" s="11" t="str">
        <f>CONCATENATE("          ", "5014", " - ", "PURCHASES @ COST-REMAINDERS")</f>
        <v xml:space="preserve">          5014 - PURCHASES @ COST-REMAINDERS</v>
      </c>
      <c r="C87" s="11"/>
      <c r="D87" s="2"/>
      <c r="E87" s="2"/>
      <c r="F87" s="19">
        <f t="shared" si="18"/>
        <v>0</v>
      </c>
      <c r="G87" s="2"/>
      <c r="H87" s="2"/>
      <c r="I87" s="2"/>
      <c r="J87" s="19">
        <f t="shared" si="19"/>
        <v>0</v>
      </c>
      <c r="K87" s="2"/>
      <c r="L87" s="2">
        <f t="shared" si="20"/>
        <v>0</v>
      </c>
      <c r="M87" s="2"/>
      <c r="N87" s="19">
        <f t="shared" si="21"/>
        <v>0</v>
      </c>
      <c r="O87" s="11"/>
      <c r="P87" s="2"/>
      <c r="Q87" s="2"/>
      <c r="R87" s="19">
        <f t="shared" si="22"/>
        <v>0</v>
      </c>
      <c r="S87" s="2"/>
      <c r="T87" s="2">
        <v>90.41</v>
      </c>
      <c r="U87" s="2"/>
      <c r="V87" s="19">
        <f t="shared" si="23"/>
        <v>3.3502374881488271E-5</v>
      </c>
      <c r="W87" s="2"/>
      <c r="X87" s="2">
        <f t="shared" si="24"/>
        <v>-90.41</v>
      </c>
      <c r="Y87" s="2"/>
      <c r="Z87" s="19">
        <f t="shared" si="25"/>
        <v>-1</v>
      </c>
    </row>
    <row r="88" spans="1:26" s="24" customFormat="1" hidden="1" outlineLevel="1" x14ac:dyDescent="0.3">
      <c r="A88" s="44"/>
      <c r="B88" s="11" t="str">
        <f>CONCATENATE("          ", "5018", " - ", "PURCHASES @ COST-STUDY GUIDES")</f>
        <v xml:space="preserve">          5018 - PURCHASES @ COST-STUDY GUIDES</v>
      </c>
      <c r="C88" s="11"/>
      <c r="D88" s="2"/>
      <c r="E88" s="2"/>
      <c r="F88" s="19">
        <f t="shared" si="18"/>
        <v>0</v>
      </c>
      <c r="G88" s="2"/>
      <c r="H88" s="2"/>
      <c r="I88" s="2"/>
      <c r="J88" s="19">
        <f t="shared" si="19"/>
        <v>0</v>
      </c>
      <c r="K88" s="2"/>
      <c r="L88" s="2">
        <f t="shared" si="20"/>
        <v>0</v>
      </c>
      <c r="M88" s="2"/>
      <c r="N88" s="19">
        <f t="shared" si="21"/>
        <v>0</v>
      </c>
      <c r="O88" s="11"/>
      <c r="P88" s="2"/>
      <c r="Q88" s="2"/>
      <c r="R88" s="19">
        <f t="shared" si="22"/>
        <v>0</v>
      </c>
      <c r="S88" s="2"/>
      <c r="T88" s="2">
        <v>106.34</v>
      </c>
      <c r="U88" s="2"/>
      <c r="V88" s="19">
        <f t="shared" si="23"/>
        <v>3.9405403659965303E-5</v>
      </c>
      <c r="W88" s="2"/>
      <c r="X88" s="2">
        <f t="shared" si="24"/>
        <v>-106.34</v>
      </c>
      <c r="Y88" s="2"/>
      <c r="Z88" s="19">
        <f t="shared" si="25"/>
        <v>-1</v>
      </c>
    </row>
    <row r="89" spans="1:26" s="24" customFormat="1" hidden="1" outlineLevel="1" x14ac:dyDescent="0.3">
      <c r="A89" s="44"/>
      <c r="B89" s="11" t="str">
        <f>CONCATENATE("          ", "5025", " - ", "PURCHASES @ COST-TEST FORMS")</f>
        <v xml:space="preserve">          5025 - PURCHASES @ COST-TEST FORMS</v>
      </c>
      <c r="C89" s="11"/>
      <c r="D89" s="2"/>
      <c r="E89" s="2"/>
      <c r="F89" s="19">
        <f t="shared" si="18"/>
        <v>0</v>
      </c>
      <c r="G89" s="2"/>
      <c r="H89" s="2"/>
      <c r="I89" s="2"/>
      <c r="J89" s="19">
        <f t="shared" si="19"/>
        <v>0</v>
      </c>
      <c r="K89" s="2"/>
      <c r="L89" s="2">
        <f t="shared" si="20"/>
        <v>0</v>
      </c>
      <c r="M89" s="2"/>
      <c r="N89" s="19">
        <f t="shared" si="21"/>
        <v>0</v>
      </c>
      <c r="O89" s="11"/>
      <c r="P89" s="2"/>
      <c r="Q89" s="2"/>
      <c r="R89" s="19">
        <f t="shared" si="22"/>
        <v>0</v>
      </c>
      <c r="S89" s="2"/>
      <c r="T89" s="2">
        <v>599.29</v>
      </c>
      <c r="U89" s="2"/>
      <c r="V89" s="19">
        <f t="shared" si="23"/>
        <v>2.2207320255200868E-4</v>
      </c>
      <c r="W89" s="2"/>
      <c r="X89" s="2">
        <f t="shared" si="24"/>
        <v>-599.29</v>
      </c>
      <c r="Y89" s="2"/>
      <c r="Z89" s="19">
        <f t="shared" si="25"/>
        <v>-1</v>
      </c>
    </row>
    <row r="90" spans="1:26" s="24" customFormat="1" hidden="1" outlineLevel="1" x14ac:dyDescent="0.3">
      <c r="A90" s="44"/>
      <c r="B90" s="11" t="str">
        <f>CONCATENATE("          ", "5026", " - ", "PURCHASES @ COST-WRITING INSTR")</f>
        <v xml:space="preserve">          5026 - PURCHASES @ COST-WRITING INSTR</v>
      </c>
      <c r="C90" s="11"/>
      <c r="D90" s="2"/>
      <c r="E90" s="2"/>
      <c r="F90" s="19">
        <f t="shared" si="18"/>
        <v>0</v>
      </c>
      <c r="G90" s="2"/>
      <c r="H90" s="2">
        <v>-5.1100000000000003</v>
      </c>
      <c r="I90" s="2"/>
      <c r="J90" s="19">
        <f t="shared" si="19"/>
        <v>-2.1872028175623747E-5</v>
      </c>
      <c r="K90" s="2"/>
      <c r="L90" s="2">
        <f t="shared" si="20"/>
        <v>5.1100000000000003</v>
      </c>
      <c r="M90" s="2"/>
      <c r="N90" s="19">
        <f t="shared" si="21"/>
        <v>-1</v>
      </c>
      <c r="O90" s="11"/>
      <c r="P90" s="2">
        <v>0</v>
      </c>
      <c r="Q90" s="2"/>
      <c r="R90" s="19">
        <f t="shared" si="22"/>
        <v>0</v>
      </c>
      <c r="S90" s="2"/>
      <c r="T90" s="2">
        <v>374.91</v>
      </c>
      <c r="U90" s="2"/>
      <c r="V90" s="19">
        <f t="shared" si="23"/>
        <v>1.3892683737217973E-4</v>
      </c>
      <c r="W90" s="2"/>
      <c r="X90" s="2">
        <f t="shared" si="24"/>
        <v>-374.91</v>
      </c>
      <c r="Y90" s="2"/>
      <c r="Z90" s="19">
        <f t="shared" si="25"/>
        <v>-1</v>
      </c>
    </row>
    <row r="91" spans="1:26" s="24" customFormat="1" hidden="1" outlineLevel="1" x14ac:dyDescent="0.3">
      <c r="A91" s="44"/>
      <c r="B91" s="11" t="str">
        <f>CONCATENATE("          ", "5027", " - ", "PURCHASES @ COST-SCHOOL SUPPLI")</f>
        <v xml:space="preserve">          5027 - PURCHASES @ COST-SCHOOL SUPPLI</v>
      </c>
      <c r="C91" s="11"/>
      <c r="D91" s="2"/>
      <c r="E91" s="2"/>
      <c r="F91" s="19">
        <f t="shared" si="18"/>
        <v>0</v>
      </c>
      <c r="G91" s="2"/>
      <c r="H91" s="2"/>
      <c r="I91" s="2"/>
      <c r="J91" s="19">
        <f t="shared" si="19"/>
        <v>0</v>
      </c>
      <c r="K91" s="2"/>
      <c r="L91" s="2">
        <f t="shared" si="20"/>
        <v>0</v>
      </c>
      <c r="M91" s="2"/>
      <c r="N91" s="19">
        <f t="shared" si="21"/>
        <v>0</v>
      </c>
      <c r="O91" s="11"/>
      <c r="P91" s="2">
        <v>0</v>
      </c>
      <c r="Q91" s="2"/>
      <c r="R91" s="19">
        <f t="shared" si="22"/>
        <v>0</v>
      </c>
      <c r="S91" s="2"/>
      <c r="T91" s="2">
        <v>19071.349999999999</v>
      </c>
      <c r="U91" s="2"/>
      <c r="V91" s="19">
        <f t="shared" si="23"/>
        <v>7.0670890078096595E-3</v>
      </c>
      <c r="W91" s="2"/>
      <c r="X91" s="2">
        <f t="shared" si="24"/>
        <v>-19071.349999999999</v>
      </c>
      <c r="Y91" s="2"/>
      <c r="Z91" s="19">
        <f t="shared" si="25"/>
        <v>-1</v>
      </c>
    </row>
    <row r="92" spans="1:26" s="24" customFormat="1" hidden="1" outlineLevel="1" x14ac:dyDescent="0.3">
      <c r="A92" s="44"/>
      <c r="B92" s="11" t="str">
        <f>CONCATENATE("          ", "5028", " - ", "PURCHASES @ COST-ART/TECH")</f>
        <v xml:space="preserve">          5028 - PURCHASES @ COST-ART/TECH</v>
      </c>
      <c r="C92" s="11"/>
      <c r="D92" s="2"/>
      <c r="E92" s="2"/>
      <c r="F92" s="19">
        <f t="shared" si="18"/>
        <v>0</v>
      </c>
      <c r="G92" s="2"/>
      <c r="H92" s="2"/>
      <c r="I92" s="2"/>
      <c r="J92" s="19">
        <f t="shared" si="19"/>
        <v>0</v>
      </c>
      <c r="K92" s="2"/>
      <c r="L92" s="2">
        <f t="shared" si="20"/>
        <v>0</v>
      </c>
      <c r="M92" s="2"/>
      <c r="N92" s="19">
        <f t="shared" si="21"/>
        <v>0</v>
      </c>
      <c r="O92" s="11"/>
      <c r="P92" s="2">
        <v>0</v>
      </c>
      <c r="Q92" s="2"/>
      <c r="R92" s="19">
        <f t="shared" si="22"/>
        <v>0</v>
      </c>
      <c r="S92" s="2"/>
      <c r="T92" s="2">
        <v>41358.449999999997</v>
      </c>
      <c r="U92" s="2"/>
      <c r="V92" s="19">
        <f t="shared" si="23"/>
        <v>1.5325807946214893E-2</v>
      </c>
      <c r="W92" s="2"/>
      <c r="X92" s="2">
        <f t="shared" si="24"/>
        <v>-41358.449999999997</v>
      </c>
      <c r="Y92" s="2"/>
      <c r="Z92" s="19">
        <f t="shared" si="25"/>
        <v>-1</v>
      </c>
    </row>
    <row r="93" spans="1:26" s="24" customFormat="1" hidden="1" outlineLevel="1" x14ac:dyDescent="0.3">
      <c r="A93" s="44"/>
      <c r="B93" s="11" t="str">
        <f>CONCATENATE("          ", "5031", " - ", "PURCHASES @ COST-FOOD")</f>
        <v xml:space="preserve">          5031 - PURCHASES @ COST-FOOD</v>
      </c>
      <c r="C93" s="11"/>
      <c r="D93" s="2"/>
      <c r="E93" s="2"/>
      <c r="F93" s="19">
        <f t="shared" si="18"/>
        <v>0</v>
      </c>
      <c r="G93" s="2"/>
      <c r="H93" s="2">
        <v>-1260</v>
      </c>
      <c r="I93" s="2"/>
      <c r="J93" s="19">
        <f t="shared" si="19"/>
        <v>-5.3931028378250328E-3</v>
      </c>
      <c r="K93" s="2"/>
      <c r="L93" s="2">
        <f t="shared" si="20"/>
        <v>1260</v>
      </c>
      <c r="M93" s="2"/>
      <c r="N93" s="19">
        <f t="shared" si="21"/>
        <v>-1</v>
      </c>
      <c r="O93" s="11"/>
      <c r="P93" s="2">
        <v>0</v>
      </c>
      <c r="Q93" s="2"/>
      <c r="R93" s="19">
        <f t="shared" si="22"/>
        <v>0</v>
      </c>
      <c r="S93" s="2"/>
      <c r="T93" s="2">
        <v>7275.1</v>
      </c>
      <c r="U93" s="2"/>
      <c r="V93" s="19">
        <f t="shared" si="23"/>
        <v>2.6958646997048484E-3</v>
      </c>
      <c r="W93" s="2"/>
      <c r="X93" s="2">
        <f t="shared" si="24"/>
        <v>-7275.1</v>
      </c>
      <c r="Y93" s="2"/>
      <c r="Z93" s="19">
        <f t="shared" si="25"/>
        <v>-1</v>
      </c>
    </row>
    <row r="94" spans="1:26" s="24" customFormat="1" hidden="1" outlineLevel="1" x14ac:dyDescent="0.3">
      <c r="A94" s="44"/>
      <c r="B94" s="11" t="str">
        <f>CONCATENATE("          ", "5040", " - ", "PURCHASES @ COST-LOGO CLOTHING")</f>
        <v xml:space="preserve">          5040 - PURCHASES @ COST-LOGO CLOTHING</v>
      </c>
      <c r="C94" s="11"/>
      <c r="D94" s="2"/>
      <c r="E94" s="2"/>
      <c r="F94" s="19">
        <f t="shared" si="18"/>
        <v>0</v>
      </c>
      <c r="G94" s="2"/>
      <c r="H94" s="2">
        <v>38175.120000000003</v>
      </c>
      <c r="I94" s="2"/>
      <c r="J94" s="19">
        <f t="shared" si="19"/>
        <v>0.16339868889389775</v>
      </c>
      <c r="K94" s="2"/>
      <c r="L94" s="2">
        <f t="shared" si="20"/>
        <v>-38175.120000000003</v>
      </c>
      <c r="M94" s="2"/>
      <c r="N94" s="19">
        <f t="shared" si="21"/>
        <v>-1</v>
      </c>
      <c r="O94" s="11"/>
      <c r="P94" s="2">
        <v>0</v>
      </c>
      <c r="Q94" s="2"/>
      <c r="R94" s="19">
        <f t="shared" si="22"/>
        <v>0</v>
      </c>
      <c r="S94" s="2"/>
      <c r="T94" s="2">
        <v>132470.39999999999</v>
      </c>
      <c r="U94" s="2"/>
      <c r="V94" s="19">
        <f t="shared" si="23"/>
        <v>4.9088297771272021E-2</v>
      </c>
      <c r="W94" s="2"/>
      <c r="X94" s="2">
        <f t="shared" si="24"/>
        <v>-132470.39999999999</v>
      </c>
      <c r="Y94" s="2"/>
      <c r="Z94" s="19">
        <f t="shared" si="25"/>
        <v>-1</v>
      </c>
    </row>
    <row r="95" spans="1:26" s="24" customFormat="1" hidden="1" outlineLevel="1" x14ac:dyDescent="0.3">
      <c r="A95" s="44"/>
      <c r="B95" s="11" t="str">
        <f>CONCATENATE("          ", "5041", " - ", "PURCHASES @ COST-LOGO GIFTS")</f>
        <v xml:space="preserve">          5041 - PURCHASES @ COST-LOGO GIFTS</v>
      </c>
      <c r="C95" s="11"/>
      <c r="D95" s="2"/>
      <c r="E95" s="2"/>
      <c r="F95" s="19">
        <f t="shared" si="18"/>
        <v>0</v>
      </c>
      <c r="G95" s="2"/>
      <c r="H95" s="2">
        <v>5559.99</v>
      </c>
      <c r="I95" s="2"/>
      <c r="J95" s="19">
        <f t="shared" si="19"/>
        <v>2.379809352958635E-2</v>
      </c>
      <c r="K95" s="2"/>
      <c r="L95" s="2">
        <f t="shared" si="20"/>
        <v>-5559.99</v>
      </c>
      <c r="M95" s="2"/>
      <c r="N95" s="19">
        <f t="shared" si="21"/>
        <v>-1</v>
      </c>
      <c r="O95" s="11"/>
      <c r="P95" s="2">
        <v>0</v>
      </c>
      <c r="Q95" s="2"/>
      <c r="R95" s="19">
        <f t="shared" si="22"/>
        <v>0</v>
      </c>
      <c r="S95" s="2"/>
      <c r="T95" s="2">
        <v>32201.759999999998</v>
      </c>
      <c r="U95" s="2"/>
      <c r="V95" s="19">
        <f t="shared" si="23"/>
        <v>1.1932700313723191E-2</v>
      </c>
      <c r="W95" s="2"/>
      <c r="X95" s="2">
        <f t="shared" si="24"/>
        <v>-32201.759999999998</v>
      </c>
      <c r="Y95" s="2"/>
      <c r="Z95" s="19">
        <f t="shared" si="25"/>
        <v>-1</v>
      </c>
    </row>
    <row r="96" spans="1:26" s="24" customFormat="1" hidden="1" outlineLevel="1" x14ac:dyDescent="0.3">
      <c r="A96" s="44"/>
      <c r="B96" s="11" t="str">
        <f>CONCATENATE("          ", "5042", " - ", "PURCHASES @ COST-EVERYDAY GIFT")</f>
        <v xml:space="preserve">          5042 - PURCHASES @ COST-EVERYDAY GIFT</v>
      </c>
      <c r="C96" s="11"/>
      <c r="D96" s="2"/>
      <c r="E96" s="2"/>
      <c r="F96" s="19">
        <f t="shared" si="18"/>
        <v>0</v>
      </c>
      <c r="G96" s="2"/>
      <c r="H96" s="2">
        <v>148.6</v>
      </c>
      <c r="I96" s="2"/>
      <c r="J96" s="19">
        <f t="shared" si="19"/>
        <v>6.3604371563555546E-4</v>
      </c>
      <c r="K96" s="2"/>
      <c r="L96" s="2">
        <f t="shared" si="20"/>
        <v>-148.6</v>
      </c>
      <c r="M96" s="2"/>
      <c r="N96" s="19">
        <f t="shared" si="21"/>
        <v>-1</v>
      </c>
      <c r="O96" s="11"/>
      <c r="P96" s="2">
        <v>0</v>
      </c>
      <c r="Q96" s="2"/>
      <c r="R96" s="19">
        <f t="shared" si="22"/>
        <v>0</v>
      </c>
      <c r="S96" s="2"/>
      <c r="T96" s="2">
        <v>11061.28</v>
      </c>
      <c r="U96" s="2"/>
      <c r="V96" s="19">
        <f t="shared" si="23"/>
        <v>4.0988734567980155E-3</v>
      </c>
      <c r="W96" s="2"/>
      <c r="X96" s="2">
        <f t="shared" si="24"/>
        <v>-11061.28</v>
      </c>
      <c r="Y96" s="2"/>
      <c r="Z96" s="19">
        <f t="shared" si="25"/>
        <v>-1</v>
      </c>
    </row>
    <row r="97" spans="1:26" s="24" customFormat="1" hidden="1" outlineLevel="1" x14ac:dyDescent="0.3">
      <c r="A97" s="44"/>
      <c r="B97" s="11" t="str">
        <f>CONCATENATE("          ", "5043", " - ", "PURCHASES @ COST-CARDS")</f>
        <v xml:space="preserve">          5043 - PURCHASES @ COST-CARDS</v>
      </c>
      <c r="C97" s="11"/>
      <c r="D97" s="2"/>
      <c r="E97" s="2"/>
      <c r="F97" s="19">
        <f t="shared" si="18"/>
        <v>0</v>
      </c>
      <c r="G97" s="2"/>
      <c r="H97" s="2">
        <v>2448</v>
      </c>
      <c r="I97" s="2"/>
      <c r="J97" s="19">
        <f t="shared" si="19"/>
        <v>1.0478028370631493E-2</v>
      </c>
      <c r="K97" s="2"/>
      <c r="L97" s="2">
        <f t="shared" si="20"/>
        <v>-2448</v>
      </c>
      <c r="M97" s="2"/>
      <c r="N97" s="19">
        <f t="shared" si="21"/>
        <v>-1</v>
      </c>
      <c r="O97" s="11"/>
      <c r="P97" s="2">
        <v>0</v>
      </c>
      <c r="Q97" s="2"/>
      <c r="R97" s="19">
        <f t="shared" si="22"/>
        <v>0</v>
      </c>
      <c r="S97" s="2"/>
      <c r="T97" s="2">
        <v>46621.23</v>
      </c>
      <c r="U97" s="2"/>
      <c r="V97" s="19">
        <f t="shared" si="23"/>
        <v>1.727598633885729E-2</v>
      </c>
      <c r="W97" s="2"/>
      <c r="X97" s="2">
        <f t="shared" si="24"/>
        <v>-46621.23</v>
      </c>
      <c r="Y97" s="2"/>
      <c r="Z97" s="19">
        <f t="shared" si="25"/>
        <v>-1</v>
      </c>
    </row>
    <row r="98" spans="1:26" s="24" customFormat="1" hidden="1" outlineLevel="1" x14ac:dyDescent="0.3">
      <c r="A98" s="44"/>
      <c r="B98" s="11" t="str">
        <f>CONCATENATE("          ", "5044", " - ", "PURCHASES @ COST-ACCESSORIES")</f>
        <v xml:space="preserve">          5044 - PURCHASES @ COST-ACCESSORIES</v>
      </c>
      <c r="C98" s="11"/>
      <c r="D98" s="2"/>
      <c r="E98" s="2"/>
      <c r="F98" s="19">
        <f t="shared" si="18"/>
        <v>0</v>
      </c>
      <c r="G98" s="2"/>
      <c r="H98" s="2"/>
      <c r="I98" s="2"/>
      <c r="J98" s="19">
        <f t="shared" si="19"/>
        <v>0</v>
      </c>
      <c r="K98" s="2"/>
      <c r="L98" s="2">
        <f t="shared" si="20"/>
        <v>0</v>
      </c>
      <c r="M98" s="2"/>
      <c r="N98" s="19">
        <f t="shared" si="21"/>
        <v>0</v>
      </c>
      <c r="O98" s="11"/>
      <c r="P98" s="2">
        <v>0</v>
      </c>
      <c r="Q98" s="2"/>
      <c r="R98" s="19">
        <f t="shared" si="22"/>
        <v>0</v>
      </c>
      <c r="S98" s="2"/>
      <c r="T98" s="2">
        <v>282.33</v>
      </c>
      <c r="U98" s="2"/>
      <c r="V98" s="19">
        <f t="shared" si="23"/>
        <v>1.0462034620385558E-4</v>
      </c>
      <c r="W98" s="2"/>
      <c r="X98" s="2">
        <f t="shared" si="24"/>
        <v>-282.33</v>
      </c>
      <c r="Y98" s="2"/>
      <c r="Z98" s="19">
        <f t="shared" si="25"/>
        <v>-1</v>
      </c>
    </row>
    <row r="99" spans="1:26" s="24" customFormat="1" hidden="1" outlineLevel="1" x14ac:dyDescent="0.3">
      <c r="A99" s="44"/>
      <c r="B99" s="11" t="str">
        <f>CONCATENATE("          ", "5045", " - ", "PURCHASES @ COST-SPECIAL ORDER")</f>
        <v xml:space="preserve">          5045 - PURCHASES @ COST-SPECIAL ORDER</v>
      </c>
      <c r="C99" s="11"/>
      <c r="D99" s="2"/>
      <c r="E99" s="2"/>
      <c r="F99" s="19">
        <f t="shared" si="18"/>
        <v>0</v>
      </c>
      <c r="G99" s="2"/>
      <c r="H99" s="2">
        <v>10676.48</v>
      </c>
      <c r="I99" s="2"/>
      <c r="J99" s="19">
        <f t="shared" si="19"/>
        <v>4.5697900465065243E-2</v>
      </c>
      <c r="K99" s="2"/>
      <c r="L99" s="2">
        <f t="shared" si="20"/>
        <v>-10676.48</v>
      </c>
      <c r="M99" s="2"/>
      <c r="N99" s="19">
        <f t="shared" si="21"/>
        <v>-1</v>
      </c>
      <c r="O99" s="11"/>
      <c r="P99" s="2">
        <v>0</v>
      </c>
      <c r="Q99" s="2"/>
      <c r="R99" s="19">
        <f t="shared" si="22"/>
        <v>0</v>
      </c>
      <c r="S99" s="2"/>
      <c r="T99" s="2">
        <v>87609</v>
      </c>
      <c r="U99" s="2"/>
      <c r="V99" s="19">
        <f t="shared" si="23"/>
        <v>3.2464434918618584E-2</v>
      </c>
      <c r="W99" s="2"/>
      <c r="X99" s="2">
        <f t="shared" si="24"/>
        <v>-87609</v>
      </c>
      <c r="Y99" s="2"/>
      <c r="Z99" s="19">
        <f t="shared" si="25"/>
        <v>-1</v>
      </c>
    </row>
    <row r="100" spans="1:26" s="24" customFormat="1" hidden="1" outlineLevel="1" x14ac:dyDescent="0.3">
      <c r="A100" s="44"/>
      <c r="B100" s="11" t="str">
        <f>CONCATENATE("          ", "5092", " - ", "PURCHASES @ COST-GRAD MERCH")</f>
        <v xml:space="preserve">          5092 - PURCHASES @ COST-GRAD MERCH</v>
      </c>
      <c r="C100" s="11"/>
      <c r="D100" s="2"/>
      <c r="E100" s="2"/>
      <c r="F100" s="19">
        <f t="shared" si="18"/>
        <v>0</v>
      </c>
      <c r="G100" s="2"/>
      <c r="H100" s="2"/>
      <c r="I100" s="2"/>
      <c r="J100" s="19">
        <f t="shared" si="19"/>
        <v>0</v>
      </c>
      <c r="K100" s="2"/>
      <c r="L100" s="2">
        <f t="shared" si="20"/>
        <v>0</v>
      </c>
      <c r="M100" s="2"/>
      <c r="N100" s="19">
        <f t="shared" si="21"/>
        <v>0</v>
      </c>
      <c r="O100" s="11"/>
      <c r="P100" s="2"/>
      <c r="Q100" s="2"/>
      <c r="R100" s="19">
        <f t="shared" si="22"/>
        <v>0</v>
      </c>
      <c r="S100" s="2"/>
      <c r="T100" s="2">
        <v>0</v>
      </c>
      <c r="U100" s="2"/>
      <c r="V100" s="19">
        <f t="shared" si="23"/>
        <v>0</v>
      </c>
      <c r="W100" s="2"/>
      <c r="X100" s="2">
        <f t="shared" si="24"/>
        <v>0</v>
      </c>
      <c r="Y100" s="2"/>
      <c r="Z100" s="19">
        <f t="shared" si="25"/>
        <v>0</v>
      </c>
    </row>
    <row r="101" spans="1:26" s="24" customFormat="1" hidden="1" outlineLevel="1" x14ac:dyDescent="0.3">
      <c r="A101" s="44"/>
      <c r="B101" s="11" t="str">
        <f>CONCATENATE("          ", "5200", " - ", "PURCHASES OFFSET")</f>
        <v xml:space="preserve">          5200 - PURCHASES OFFSET</v>
      </c>
      <c r="C101" s="11"/>
      <c r="D101" s="2">
        <v>-295778.33</v>
      </c>
      <c r="E101" s="2"/>
      <c r="F101" s="19">
        <f t="shared" si="18"/>
        <v>-0.59366674157290733</v>
      </c>
      <c r="G101" s="2"/>
      <c r="H101" s="2">
        <v>-172627.15</v>
      </c>
      <c r="I101" s="2"/>
      <c r="J101" s="19">
        <f t="shared" si="19"/>
        <v>-0.73888569250051395</v>
      </c>
      <c r="K101" s="2"/>
      <c r="L101" s="2">
        <f t="shared" si="20"/>
        <v>-123151.18000000002</v>
      </c>
      <c r="M101" s="2"/>
      <c r="N101" s="19">
        <f t="shared" si="21"/>
        <v>0.71339404027697861</v>
      </c>
      <c r="O101" s="11"/>
      <c r="P101" s="2">
        <v>-2350995.54</v>
      </c>
      <c r="Q101" s="2"/>
      <c r="R101" s="19">
        <f t="shared" si="22"/>
        <v>-0.64215018028898996</v>
      </c>
      <c r="S101" s="2"/>
      <c r="T101" s="2">
        <v>-1745022.43</v>
      </c>
      <c r="U101" s="2"/>
      <c r="V101" s="19">
        <f t="shared" si="23"/>
        <v>-0.64663638564833115</v>
      </c>
      <c r="W101" s="2"/>
      <c r="X101" s="2">
        <f t="shared" si="24"/>
        <v>-605973.1100000001</v>
      </c>
      <c r="Y101" s="2"/>
      <c r="Z101" s="19">
        <f t="shared" si="25"/>
        <v>0.34725806361125117</v>
      </c>
    </row>
    <row r="102" spans="1:26" s="24" customFormat="1" hidden="1" outlineLevel="1" x14ac:dyDescent="0.3">
      <c r="A102" s="44"/>
      <c r="B102" s="11" t="str">
        <f>CONCATENATE("          ", "5300", " - ", "COG$ OFFSET")</f>
        <v xml:space="preserve">          5300 - COG$ OFFSET</v>
      </c>
      <c r="C102" s="11"/>
      <c r="D102" s="2">
        <v>260630.8</v>
      </c>
      <c r="E102" s="2"/>
      <c r="F102" s="19">
        <f t="shared" si="18"/>
        <v>0.52312093921667646</v>
      </c>
      <c r="G102" s="2"/>
      <c r="H102" s="2">
        <v>134493</v>
      </c>
      <c r="I102" s="2"/>
      <c r="J102" s="19">
        <f t="shared" si="19"/>
        <v>0.57566236505365243</v>
      </c>
      <c r="K102" s="2"/>
      <c r="L102" s="2">
        <f t="shared" si="20"/>
        <v>126137.79999999999</v>
      </c>
      <c r="M102" s="2"/>
      <c r="N102" s="19">
        <f t="shared" si="21"/>
        <v>0.93787632070070548</v>
      </c>
      <c r="O102" s="11"/>
      <c r="P102" s="2">
        <v>1960711.16</v>
      </c>
      <c r="Q102" s="2"/>
      <c r="R102" s="19">
        <f t="shared" si="22"/>
        <v>0.53554802783191779</v>
      </c>
      <c r="S102" s="2"/>
      <c r="T102" s="2">
        <v>1391133</v>
      </c>
      <c r="U102" s="2"/>
      <c r="V102" s="19">
        <f t="shared" si="23"/>
        <v>0.51549894122342022</v>
      </c>
      <c r="W102" s="2"/>
      <c r="X102" s="2">
        <f t="shared" si="24"/>
        <v>569578.15999999992</v>
      </c>
      <c r="Y102" s="2"/>
      <c r="Z102" s="19">
        <f t="shared" si="25"/>
        <v>0.40943472694559035</v>
      </c>
    </row>
    <row r="103" spans="1:26" s="24" customFormat="1" hidden="1" outlineLevel="1" x14ac:dyDescent="0.3">
      <c r="A103" s="44"/>
      <c r="B103" s="11" t="str">
        <f>CONCATENATE("          ", "5500", " - ", "FREIGHT-IN")</f>
        <v xml:space="preserve">          5500 - FREIGHT-IN</v>
      </c>
      <c r="C103" s="11"/>
      <c r="D103" s="2">
        <v>9525.24</v>
      </c>
      <c r="E103" s="2"/>
      <c r="F103" s="19">
        <f t="shared" si="18"/>
        <v>1.9118433028883216E-2</v>
      </c>
      <c r="G103" s="2"/>
      <c r="H103" s="2">
        <v>0</v>
      </c>
      <c r="I103" s="2"/>
      <c r="J103" s="19">
        <f t="shared" si="19"/>
        <v>0</v>
      </c>
      <c r="K103" s="2"/>
      <c r="L103" s="2">
        <f t="shared" si="20"/>
        <v>9525.24</v>
      </c>
      <c r="M103" s="2"/>
      <c r="N103" s="19">
        <f t="shared" si="21"/>
        <v>0</v>
      </c>
      <c r="O103" s="11"/>
      <c r="P103" s="2">
        <v>70282.3</v>
      </c>
      <c r="Q103" s="2"/>
      <c r="R103" s="19">
        <f t="shared" si="22"/>
        <v>1.9196885254884354E-2</v>
      </c>
      <c r="S103" s="2"/>
      <c r="T103" s="2">
        <v>0</v>
      </c>
      <c r="U103" s="2"/>
      <c r="V103" s="19">
        <f t="shared" si="23"/>
        <v>0</v>
      </c>
      <c r="W103" s="2"/>
      <c r="X103" s="2">
        <f t="shared" si="24"/>
        <v>70282.3</v>
      </c>
      <c r="Y103" s="2"/>
      <c r="Z103" s="19">
        <f t="shared" si="25"/>
        <v>0</v>
      </c>
    </row>
    <row r="104" spans="1:26" s="24" customFormat="1" hidden="1" outlineLevel="1" x14ac:dyDescent="0.3">
      <c r="A104" s="44"/>
      <c r="B104" s="11" t="str">
        <f>CONCATENATE("          ", "5501", " - ", "FREIGHT-IN-NEW TEXT")</f>
        <v xml:space="preserve">          5501 - FREIGHT-IN-NEW TEXT</v>
      </c>
      <c r="C104" s="11"/>
      <c r="D104" s="2"/>
      <c r="E104" s="2"/>
      <c r="F104" s="19">
        <f t="shared" si="18"/>
        <v>0</v>
      </c>
      <c r="G104" s="2"/>
      <c r="H104" s="2">
        <v>2414.77</v>
      </c>
      <c r="I104" s="2"/>
      <c r="J104" s="19">
        <f t="shared" si="19"/>
        <v>1.0335795983884725E-2</v>
      </c>
      <c r="K104" s="2"/>
      <c r="L104" s="2">
        <f t="shared" si="20"/>
        <v>-2414.77</v>
      </c>
      <c r="M104" s="2"/>
      <c r="N104" s="19">
        <f t="shared" si="21"/>
        <v>-1</v>
      </c>
      <c r="O104" s="11"/>
      <c r="P104" s="2">
        <v>0</v>
      </c>
      <c r="Q104" s="2"/>
      <c r="R104" s="19">
        <f t="shared" si="22"/>
        <v>0</v>
      </c>
      <c r="S104" s="2"/>
      <c r="T104" s="2">
        <v>37463.58</v>
      </c>
      <c r="U104" s="2"/>
      <c r="V104" s="19">
        <f t="shared" si="23"/>
        <v>1.3882522968284775E-2</v>
      </c>
      <c r="W104" s="2"/>
      <c r="X104" s="2">
        <f t="shared" si="24"/>
        <v>-37463.58</v>
      </c>
      <c r="Y104" s="2"/>
      <c r="Z104" s="19">
        <f t="shared" si="25"/>
        <v>-1</v>
      </c>
    </row>
    <row r="105" spans="1:26" s="24" customFormat="1" hidden="1" outlineLevel="1" x14ac:dyDescent="0.3">
      <c r="A105" s="44"/>
      <c r="B105" s="11" t="str">
        <f>CONCATENATE("          ", "5502", " - ", "FREIGHT-IN-USED TEXT")</f>
        <v xml:space="preserve">          5502 - FREIGHT-IN-USED TEXT</v>
      </c>
      <c r="C105" s="11"/>
      <c r="D105" s="2"/>
      <c r="E105" s="2"/>
      <c r="F105" s="19">
        <f t="shared" si="18"/>
        <v>0</v>
      </c>
      <c r="G105" s="2"/>
      <c r="H105" s="2">
        <v>2389.48</v>
      </c>
      <c r="I105" s="2"/>
      <c r="J105" s="19">
        <f t="shared" si="19"/>
        <v>1.0227548705496952E-2</v>
      </c>
      <c r="K105" s="2"/>
      <c r="L105" s="2">
        <f t="shared" si="20"/>
        <v>-2389.48</v>
      </c>
      <c r="M105" s="2"/>
      <c r="N105" s="19">
        <f t="shared" si="21"/>
        <v>-1</v>
      </c>
      <c r="O105" s="11"/>
      <c r="P105" s="2">
        <v>0</v>
      </c>
      <c r="Q105" s="2"/>
      <c r="R105" s="19">
        <f t="shared" si="22"/>
        <v>0</v>
      </c>
      <c r="S105" s="2"/>
      <c r="T105" s="2">
        <v>13522.57</v>
      </c>
      <c r="U105" s="2"/>
      <c r="V105" s="19">
        <f t="shared" si="23"/>
        <v>5.0109303119253053E-3</v>
      </c>
      <c r="W105" s="2"/>
      <c r="X105" s="2">
        <f t="shared" si="24"/>
        <v>-13522.57</v>
      </c>
      <c r="Y105" s="2"/>
      <c r="Z105" s="19">
        <f t="shared" si="25"/>
        <v>-1</v>
      </c>
    </row>
    <row r="106" spans="1:26" s="24" customFormat="1" hidden="1" outlineLevel="1" x14ac:dyDescent="0.3">
      <c r="A106" s="44"/>
      <c r="B106" s="11" t="str">
        <f>CONCATENATE("          ", "5504", " - ", "FREIGHT-IN-DIGITAL TEXT")</f>
        <v xml:space="preserve">          5504 - FREIGHT-IN-DIGITAL TEXT</v>
      </c>
      <c r="C106" s="11"/>
      <c r="D106" s="2"/>
      <c r="E106" s="2"/>
      <c r="F106" s="19">
        <f t="shared" si="18"/>
        <v>0</v>
      </c>
      <c r="G106" s="2"/>
      <c r="H106" s="2"/>
      <c r="I106" s="2"/>
      <c r="J106" s="19">
        <f t="shared" si="19"/>
        <v>0</v>
      </c>
      <c r="K106" s="2"/>
      <c r="L106" s="2">
        <f t="shared" si="20"/>
        <v>0</v>
      </c>
      <c r="M106" s="2"/>
      <c r="N106" s="19">
        <f t="shared" si="21"/>
        <v>0</v>
      </c>
      <c r="O106" s="11"/>
      <c r="P106" s="2"/>
      <c r="Q106" s="2"/>
      <c r="R106" s="19">
        <f t="shared" si="22"/>
        <v>0</v>
      </c>
      <c r="S106" s="2"/>
      <c r="T106" s="2">
        <v>21.98</v>
      </c>
      <c r="U106" s="2"/>
      <c r="V106" s="19">
        <f t="shared" si="23"/>
        <v>8.1449198085954231E-6</v>
      </c>
      <c r="W106" s="2"/>
      <c r="X106" s="2">
        <f t="shared" si="24"/>
        <v>-21.98</v>
      </c>
      <c r="Y106" s="2"/>
      <c r="Z106" s="19">
        <f t="shared" si="25"/>
        <v>-1</v>
      </c>
    </row>
    <row r="107" spans="1:26" s="24" customFormat="1" hidden="1" outlineLevel="1" x14ac:dyDescent="0.3">
      <c r="A107" s="44"/>
      <c r="B107" s="11" t="str">
        <f>CONCATENATE("          ", "5513", " - ", "FREIGHT-IN-TRADE BOOKS")</f>
        <v xml:space="preserve">          5513 - FREIGHT-IN-TRADE BOOKS</v>
      </c>
      <c r="C107" s="11"/>
      <c r="D107" s="2"/>
      <c r="E107" s="2"/>
      <c r="F107" s="19">
        <f t="shared" si="18"/>
        <v>0</v>
      </c>
      <c r="G107" s="2"/>
      <c r="H107" s="2"/>
      <c r="I107" s="2"/>
      <c r="J107" s="19">
        <f t="shared" si="19"/>
        <v>0</v>
      </c>
      <c r="K107" s="2"/>
      <c r="L107" s="2">
        <f t="shared" si="20"/>
        <v>0</v>
      </c>
      <c r="M107" s="2"/>
      <c r="N107" s="19">
        <f t="shared" si="21"/>
        <v>0</v>
      </c>
      <c r="O107" s="11"/>
      <c r="P107" s="2"/>
      <c r="Q107" s="2"/>
      <c r="R107" s="19">
        <f t="shared" si="22"/>
        <v>0</v>
      </c>
      <c r="S107" s="2"/>
      <c r="T107" s="2">
        <v>26.46</v>
      </c>
      <c r="U107" s="2"/>
      <c r="V107" s="19">
        <f t="shared" si="23"/>
        <v>9.8050308523855726E-6</v>
      </c>
      <c r="W107" s="2"/>
      <c r="X107" s="2">
        <f t="shared" si="24"/>
        <v>-26.46</v>
      </c>
      <c r="Y107" s="2"/>
      <c r="Z107" s="19">
        <f t="shared" si="25"/>
        <v>-1</v>
      </c>
    </row>
    <row r="108" spans="1:26" s="24" customFormat="1" hidden="1" outlineLevel="1" x14ac:dyDescent="0.3">
      <c r="A108" s="44"/>
      <c r="B108" s="11" t="str">
        <f>CONCATENATE("          ", "5518", " - ", "FREIGHT-IN-STUDY GUIDES")</f>
        <v xml:space="preserve">          5518 - FREIGHT-IN-STUDY GUIDES</v>
      </c>
      <c r="C108" s="11"/>
      <c r="D108" s="2"/>
      <c r="E108" s="2"/>
      <c r="F108" s="19">
        <f t="shared" si="18"/>
        <v>0</v>
      </c>
      <c r="G108" s="2"/>
      <c r="H108" s="2"/>
      <c r="I108" s="2"/>
      <c r="J108" s="19">
        <f t="shared" si="19"/>
        <v>0</v>
      </c>
      <c r="K108" s="2"/>
      <c r="L108" s="2">
        <f t="shared" si="20"/>
        <v>0</v>
      </c>
      <c r="M108" s="2"/>
      <c r="N108" s="19">
        <f t="shared" si="21"/>
        <v>0</v>
      </c>
      <c r="O108" s="11"/>
      <c r="P108" s="2">
        <v>0</v>
      </c>
      <c r="Q108" s="2"/>
      <c r="R108" s="19">
        <f t="shared" si="22"/>
        <v>0</v>
      </c>
      <c r="S108" s="2"/>
      <c r="T108" s="2"/>
      <c r="U108" s="2"/>
      <c r="V108" s="19">
        <f t="shared" si="23"/>
        <v>0</v>
      </c>
      <c r="W108" s="2"/>
      <c r="X108" s="2">
        <f t="shared" si="24"/>
        <v>0</v>
      </c>
      <c r="Y108" s="2"/>
      <c r="Z108" s="19">
        <f t="shared" si="25"/>
        <v>0</v>
      </c>
    </row>
    <row r="109" spans="1:26" s="24" customFormat="1" hidden="1" outlineLevel="1" x14ac:dyDescent="0.3">
      <c r="A109" s="44"/>
      <c r="B109" s="11" t="str">
        <f>CONCATENATE("          ", "5525", " - ", "FREIGHT-IN-TEST FORMS")</f>
        <v xml:space="preserve">          5525 - FREIGHT-IN-TEST FORMS</v>
      </c>
      <c r="C109" s="11"/>
      <c r="D109" s="2"/>
      <c r="E109" s="2"/>
      <c r="F109" s="19">
        <f t="shared" si="18"/>
        <v>0</v>
      </c>
      <c r="G109" s="2"/>
      <c r="H109" s="2"/>
      <c r="I109" s="2"/>
      <c r="J109" s="19">
        <f t="shared" si="19"/>
        <v>0</v>
      </c>
      <c r="K109" s="2"/>
      <c r="L109" s="2">
        <f t="shared" si="20"/>
        <v>0</v>
      </c>
      <c r="M109" s="2"/>
      <c r="N109" s="19">
        <f t="shared" si="21"/>
        <v>0</v>
      </c>
      <c r="O109" s="11"/>
      <c r="P109" s="2"/>
      <c r="Q109" s="2"/>
      <c r="R109" s="19">
        <f t="shared" si="22"/>
        <v>0</v>
      </c>
      <c r="S109" s="2"/>
      <c r="T109" s="2">
        <v>48.14</v>
      </c>
      <c r="U109" s="2"/>
      <c r="V109" s="19">
        <f t="shared" si="23"/>
        <v>1.7838782510727193E-5</v>
      </c>
      <c r="W109" s="2"/>
      <c r="X109" s="2">
        <f t="shared" si="24"/>
        <v>-48.14</v>
      </c>
      <c r="Y109" s="2"/>
      <c r="Z109" s="19">
        <f t="shared" si="25"/>
        <v>-1</v>
      </c>
    </row>
    <row r="110" spans="1:26" s="24" customFormat="1" hidden="1" outlineLevel="1" x14ac:dyDescent="0.3">
      <c r="A110" s="44"/>
      <c r="B110" s="11" t="str">
        <f>CONCATENATE("          ", "5526", " - ", "FREIGHT-IN-WRITING INSTRUMENTS")</f>
        <v xml:space="preserve">          5526 - FREIGHT-IN-WRITING INSTRUMENTS</v>
      </c>
      <c r="C110" s="11"/>
      <c r="D110" s="2"/>
      <c r="E110" s="2"/>
      <c r="F110" s="19">
        <f t="shared" si="18"/>
        <v>0</v>
      </c>
      <c r="G110" s="2"/>
      <c r="H110" s="2">
        <v>0</v>
      </c>
      <c r="I110" s="2"/>
      <c r="J110" s="19">
        <f t="shared" si="19"/>
        <v>0</v>
      </c>
      <c r="K110" s="2"/>
      <c r="L110" s="2">
        <f t="shared" si="20"/>
        <v>0</v>
      </c>
      <c r="M110" s="2"/>
      <c r="N110" s="19">
        <f t="shared" si="21"/>
        <v>0</v>
      </c>
      <c r="O110" s="11"/>
      <c r="P110" s="2"/>
      <c r="Q110" s="2"/>
      <c r="R110" s="19">
        <f t="shared" si="22"/>
        <v>0</v>
      </c>
      <c r="S110" s="2"/>
      <c r="T110" s="2">
        <v>0</v>
      </c>
      <c r="U110" s="2"/>
      <c r="V110" s="19">
        <f t="shared" si="23"/>
        <v>0</v>
      </c>
      <c r="W110" s="2"/>
      <c r="X110" s="2">
        <f t="shared" si="24"/>
        <v>0</v>
      </c>
      <c r="Y110" s="2"/>
      <c r="Z110" s="19">
        <f t="shared" si="25"/>
        <v>0</v>
      </c>
    </row>
    <row r="111" spans="1:26" s="24" customFormat="1" hidden="1" outlineLevel="1" x14ac:dyDescent="0.3">
      <c r="A111" s="44"/>
      <c r="B111" s="11" t="str">
        <f>CONCATENATE("          ", "5527", " - ", "FREIGHT-IN-SCHOOL SUPPLIES")</f>
        <v xml:space="preserve">          5527 - FREIGHT-IN-SCHOOL SUPPLIES</v>
      </c>
      <c r="C111" s="11"/>
      <c r="D111" s="2"/>
      <c r="E111" s="2"/>
      <c r="F111" s="19">
        <f t="shared" si="18"/>
        <v>0</v>
      </c>
      <c r="G111" s="2"/>
      <c r="H111" s="2">
        <v>121.5</v>
      </c>
      <c r="I111" s="2"/>
      <c r="J111" s="19">
        <f t="shared" si="19"/>
        <v>5.2004920221884244E-4</v>
      </c>
      <c r="K111" s="2"/>
      <c r="L111" s="2">
        <f t="shared" si="20"/>
        <v>-121.5</v>
      </c>
      <c r="M111" s="2"/>
      <c r="N111" s="19">
        <f t="shared" si="21"/>
        <v>-1</v>
      </c>
      <c r="O111" s="11"/>
      <c r="P111" s="2">
        <v>0</v>
      </c>
      <c r="Q111" s="2"/>
      <c r="R111" s="19">
        <f t="shared" si="22"/>
        <v>0</v>
      </c>
      <c r="S111" s="2"/>
      <c r="T111" s="2">
        <v>177.5</v>
      </c>
      <c r="U111" s="2"/>
      <c r="V111" s="19">
        <f t="shared" si="23"/>
        <v>6.577448890016777E-5</v>
      </c>
      <c r="W111" s="2"/>
      <c r="X111" s="2">
        <f t="shared" si="24"/>
        <v>-177.5</v>
      </c>
      <c r="Y111" s="2"/>
      <c r="Z111" s="19">
        <f t="shared" si="25"/>
        <v>-1</v>
      </c>
    </row>
    <row r="112" spans="1:26" s="24" customFormat="1" hidden="1" outlineLevel="1" x14ac:dyDescent="0.3">
      <c r="A112" s="44"/>
      <c r="B112" s="11" t="str">
        <f>CONCATENATE("          ", "5528", " - ", "FREIGHT-IN-ART/TECH")</f>
        <v xml:space="preserve">          5528 - FREIGHT-IN-ART/TECH</v>
      </c>
      <c r="C112" s="11"/>
      <c r="D112" s="2"/>
      <c r="E112" s="2"/>
      <c r="F112" s="19">
        <f t="shared" si="18"/>
        <v>0</v>
      </c>
      <c r="G112" s="2"/>
      <c r="H112" s="2">
        <v>4.29</v>
      </c>
      <c r="I112" s="2"/>
      <c r="J112" s="19">
        <f t="shared" si="19"/>
        <v>1.8362231090689991E-5</v>
      </c>
      <c r="K112" s="2"/>
      <c r="L112" s="2">
        <f t="shared" si="20"/>
        <v>-4.29</v>
      </c>
      <c r="M112" s="2"/>
      <c r="N112" s="19">
        <f t="shared" si="21"/>
        <v>-1</v>
      </c>
      <c r="O112" s="11"/>
      <c r="P112" s="2">
        <v>0</v>
      </c>
      <c r="Q112" s="2"/>
      <c r="R112" s="19">
        <f t="shared" si="22"/>
        <v>0</v>
      </c>
      <c r="S112" s="2"/>
      <c r="T112" s="2">
        <v>290.20999999999998</v>
      </c>
      <c r="U112" s="2"/>
      <c r="V112" s="19">
        <f t="shared" si="23"/>
        <v>1.0754036295052218E-4</v>
      </c>
      <c r="W112" s="2"/>
      <c r="X112" s="2">
        <f t="shared" si="24"/>
        <v>-290.20999999999998</v>
      </c>
      <c r="Y112" s="2"/>
      <c r="Z112" s="19">
        <f t="shared" si="25"/>
        <v>-1</v>
      </c>
    </row>
    <row r="113" spans="1:26" s="24" customFormat="1" hidden="1" outlineLevel="1" x14ac:dyDescent="0.3">
      <c r="A113" s="44"/>
      <c r="B113" s="11" t="str">
        <f>CONCATENATE("          ", "5540", " - ", "FREIGHT-IN-LOGO CLOTHING")</f>
        <v xml:space="preserve">          5540 - FREIGHT-IN-LOGO CLOTHING</v>
      </c>
      <c r="C113" s="11"/>
      <c r="D113" s="2"/>
      <c r="E113" s="2"/>
      <c r="F113" s="19">
        <f t="shared" si="18"/>
        <v>0</v>
      </c>
      <c r="G113" s="2"/>
      <c r="H113" s="2">
        <v>907.48</v>
      </c>
      <c r="I113" s="2"/>
      <c r="J113" s="19">
        <f t="shared" si="19"/>
        <v>3.8842325105313182E-3</v>
      </c>
      <c r="K113" s="2"/>
      <c r="L113" s="2">
        <f t="shared" si="20"/>
        <v>-907.48</v>
      </c>
      <c r="M113" s="2"/>
      <c r="N113" s="19">
        <f t="shared" si="21"/>
        <v>-1</v>
      </c>
      <c r="O113" s="11"/>
      <c r="P113" s="2">
        <v>0</v>
      </c>
      <c r="Q113" s="2"/>
      <c r="R113" s="19">
        <f t="shared" si="22"/>
        <v>0</v>
      </c>
      <c r="S113" s="2"/>
      <c r="T113" s="2">
        <v>5442.96</v>
      </c>
      <c r="U113" s="2"/>
      <c r="V113" s="19">
        <f t="shared" si="23"/>
        <v>2.0169459836848289E-3</v>
      </c>
      <c r="W113" s="2"/>
      <c r="X113" s="2">
        <f t="shared" si="24"/>
        <v>-5442.96</v>
      </c>
      <c r="Y113" s="2"/>
      <c r="Z113" s="19">
        <f t="shared" si="25"/>
        <v>-1</v>
      </c>
    </row>
    <row r="114" spans="1:26" s="24" customFormat="1" hidden="1" outlineLevel="1" x14ac:dyDescent="0.3">
      <c r="A114" s="44"/>
      <c r="B114" s="11" t="str">
        <f>CONCATENATE("          ", "5541", " - ", "FREIGHT-IN-LOGO GIFTS")</f>
        <v xml:space="preserve">          5541 - FREIGHT-IN-LOGO GIFTS</v>
      </c>
      <c r="C114" s="11"/>
      <c r="D114" s="2"/>
      <c r="E114" s="2"/>
      <c r="F114" s="19">
        <f t="shared" si="18"/>
        <v>0</v>
      </c>
      <c r="G114" s="2"/>
      <c r="H114" s="2">
        <v>84.07</v>
      </c>
      <c r="I114" s="2"/>
      <c r="J114" s="19">
        <f t="shared" si="19"/>
        <v>3.598398060126591E-4</v>
      </c>
      <c r="K114" s="2"/>
      <c r="L114" s="2">
        <f t="shared" si="20"/>
        <v>-84.07</v>
      </c>
      <c r="M114" s="2"/>
      <c r="N114" s="19">
        <f t="shared" si="21"/>
        <v>-1</v>
      </c>
      <c r="O114" s="11"/>
      <c r="P114" s="2">
        <v>0</v>
      </c>
      <c r="Q114" s="2"/>
      <c r="R114" s="19">
        <f t="shared" si="22"/>
        <v>0</v>
      </c>
      <c r="S114" s="2"/>
      <c r="T114" s="2">
        <v>1519.94</v>
      </c>
      <c r="U114" s="2"/>
      <c r="V114" s="19">
        <f t="shared" si="23"/>
        <v>5.6322972765589295E-4</v>
      </c>
      <c r="W114" s="2"/>
      <c r="X114" s="2">
        <f t="shared" si="24"/>
        <v>-1519.94</v>
      </c>
      <c r="Y114" s="2"/>
      <c r="Z114" s="19">
        <f t="shared" si="25"/>
        <v>-1</v>
      </c>
    </row>
    <row r="115" spans="1:26" s="24" customFormat="1" hidden="1" outlineLevel="1" x14ac:dyDescent="0.3">
      <c r="A115" s="44"/>
      <c r="B115" s="11" t="str">
        <f>CONCATENATE("          ", "5542", " - ", "FREIGHT-IN-EVERYDAY GIFTS")</f>
        <v xml:space="preserve">          5542 - FREIGHT-IN-EVERYDAY GIFTS</v>
      </c>
      <c r="C115" s="11"/>
      <c r="D115" s="2"/>
      <c r="E115" s="2"/>
      <c r="F115" s="19">
        <f t="shared" si="18"/>
        <v>0</v>
      </c>
      <c r="G115" s="2"/>
      <c r="H115" s="2"/>
      <c r="I115" s="2"/>
      <c r="J115" s="19">
        <f t="shared" si="19"/>
        <v>0</v>
      </c>
      <c r="K115" s="2"/>
      <c r="L115" s="2">
        <f t="shared" si="20"/>
        <v>0</v>
      </c>
      <c r="M115" s="2"/>
      <c r="N115" s="19">
        <f t="shared" si="21"/>
        <v>0</v>
      </c>
      <c r="O115" s="11"/>
      <c r="P115" s="2">
        <v>0</v>
      </c>
      <c r="Q115" s="2"/>
      <c r="R115" s="19">
        <f t="shared" si="22"/>
        <v>0</v>
      </c>
      <c r="S115" s="2"/>
      <c r="T115" s="2">
        <v>196.55</v>
      </c>
      <c r="U115" s="2"/>
      <c r="V115" s="19">
        <f t="shared" si="23"/>
        <v>7.2833666441284373E-5</v>
      </c>
      <c r="W115" s="2"/>
      <c r="X115" s="2">
        <f t="shared" si="24"/>
        <v>-196.55</v>
      </c>
      <c r="Y115" s="2"/>
      <c r="Z115" s="19">
        <f t="shared" si="25"/>
        <v>-1</v>
      </c>
    </row>
    <row r="116" spans="1:26" s="24" customFormat="1" hidden="1" outlineLevel="1" x14ac:dyDescent="0.3">
      <c r="A116" s="44"/>
      <c r="B116" s="11" t="str">
        <f>CONCATENATE("          ", "5543", " - ", "FREIGHT-IN-CARDS")</f>
        <v xml:space="preserve">          5543 - FREIGHT-IN-CARDS</v>
      </c>
      <c r="C116" s="11"/>
      <c r="D116" s="2"/>
      <c r="E116" s="2"/>
      <c r="F116" s="19">
        <f t="shared" si="18"/>
        <v>0</v>
      </c>
      <c r="G116" s="2"/>
      <c r="H116" s="2">
        <v>605.41</v>
      </c>
      <c r="I116" s="2"/>
      <c r="J116" s="19">
        <f t="shared" si="19"/>
        <v>2.5913003087679786E-3</v>
      </c>
      <c r="K116" s="2"/>
      <c r="L116" s="2">
        <f t="shared" si="20"/>
        <v>-605.41</v>
      </c>
      <c r="M116" s="2"/>
      <c r="N116" s="19">
        <f t="shared" si="21"/>
        <v>-1</v>
      </c>
      <c r="O116" s="11"/>
      <c r="P116" s="2"/>
      <c r="Q116" s="2"/>
      <c r="R116" s="19">
        <f t="shared" si="22"/>
        <v>0</v>
      </c>
      <c r="S116" s="2"/>
      <c r="T116" s="2">
        <v>7117.72</v>
      </c>
      <c r="U116" s="2"/>
      <c r="V116" s="19">
        <f t="shared" si="23"/>
        <v>2.6375458880817022E-3</v>
      </c>
      <c r="W116" s="2"/>
      <c r="X116" s="2">
        <f t="shared" si="24"/>
        <v>-7117.72</v>
      </c>
      <c r="Y116" s="2"/>
      <c r="Z116" s="19">
        <f t="shared" si="25"/>
        <v>-1</v>
      </c>
    </row>
    <row r="117" spans="1:26" s="24" customFormat="1" hidden="1" outlineLevel="1" x14ac:dyDescent="0.3">
      <c r="A117" s="44"/>
      <c r="B117" s="11" t="str">
        <f>CONCATENATE("          ", "5544", " - ", "FREIGHT-IN-ACCESSORIES")</f>
        <v xml:space="preserve">          5544 - FREIGHT-IN-ACCESSORIES</v>
      </c>
      <c r="C117" s="11"/>
      <c r="D117" s="2"/>
      <c r="E117" s="2"/>
      <c r="F117" s="19">
        <f t="shared" si="18"/>
        <v>0</v>
      </c>
      <c r="G117" s="2"/>
      <c r="H117" s="2"/>
      <c r="I117" s="2"/>
      <c r="J117" s="19">
        <f t="shared" si="19"/>
        <v>0</v>
      </c>
      <c r="K117" s="2"/>
      <c r="L117" s="2">
        <f t="shared" si="20"/>
        <v>0</v>
      </c>
      <c r="M117" s="2"/>
      <c r="N117" s="19">
        <f t="shared" si="21"/>
        <v>0</v>
      </c>
      <c r="O117" s="11"/>
      <c r="P117" s="2">
        <v>0</v>
      </c>
      <c r="Q117" s="2"/>
      <c r="R117" s="19">
        <f t="shared" si="22"/>
        <v>0</v>
      </c>
      <c r="S117" s="2"/>
      <c r="T117" s="2"/>
      <c r="U117" s="2"/>
      <c r="V117" s="19">
        <f t="shared" si="23"/>
        <v>0</v>
      </c>
      <c r="W117" s="2"/>
      <c r="X117" s="2">
        <f t="shared" si="24"/>
        <v>0</v>
      </c>
      <c r="Y117" s="2"/>
      <c r="Z117" s="19">
        <f t="shared" si="25"/>
        <v>0</v>
      </c>
    </row>
    <row r="118" spans="1:26" s="24" customFormat="1" hidden="1" outlineLevel="1" x14ac:dyDescent="0.3">
      <c r="A118" s="44"/>
      <c r="B118" s="11" t="str">
        <f>CONCATENATE("          ", "5545", " - ", "FREIGHT-IN-SPECIAL ORDERS")</f>
        <v xml:space="preserve">          5545 - FREIGHT-IN-SPECIAL ORDERS</v>
      </c>
      <c r="C118" s="11"/>
      <c r="D118" s="2"/>
      <c r="E118" s="2"/>
      <c r="F118" s="19">
        <f t="shared" si="18"/>
        <v>0</v>
      </c>
      <c r="G118" s="2"/>
      <c r="H118" s="2">
        <v>225.93</v>
      </c>
      <c r="I118" s="2"/>
      <c r="J118" s="19">
        <f t="shared" si="19"/>
        <v>9.6703470170619811E-4</v>
      </c>
      <c r="K118" s="2"/>
      <c r="L118" s="2">
        <f t="shared" si="20"/>
        <v>-225.93</v>
      </c>
      <c r="M118" s="2"/>
      <c r="N118" s="19">
        <f t="shared" si="21"/>
        <v>-1</v>
      </c>
      <c r="O118" s="11"/>
      <c r="P118" s="2">
        <v>0</v>
      </c>
      <c r="Q118" s="2"/>
      <c r="R118" s="19">
        <f t="shared" si="22"/>
        <v>0</v>
      </c>
      <c r="S118" s="2"/>
      <c r="T118" s="2">
        <v>1113.79</v>
      </c>
      <c r="U118" s="2"/>
      <c r="V118" s="19">
        <f t="shared" si="23"/>
        <v>4.1272658023728371E-4</v>
      </c>
      <c r="W118" s="2"/>
      <c r="X118" s="2">
        <f t="shared" si="24"/>
        <v>-1113.79</v>
      </c>
      <c r="Y118" s="2"/>
      <c r="Z118" s="19">
        <f t="shared" si="25"/>
        <v>-1</v>
      </c>
    </row>
    <row r="119" spans="1:26" s="24" customFormat="1" hidden="1" outlineLevel="1" x14ac:dyDescent="0.3">
      <c r="A119" s="44"/>
      <c r="B119" s="11" t="str">
        <f>CONCATENATE("          ", "5592", " - ", "FREIGHT-IN-GRAD MERCH")</f>
        <v xml:space="preserve">          5592 - FREIGHT-IN-GRAD MERCH</v>
      </c>
      <c r="C119" s="11"/>
      <c r="D119" s="2"/>
      <c r="E119" s="2"/>
      <c r="F119" s="19">
        <f t="shared" si="18"/>
        <v>0</v>
      </c>
      <c r="G119" s="2"/>
      <c r="H119" s="2"/>
      <c r="I119" s="2"/>
      <c r="J119" s="19">
        <f t="shared" si="19"/>
        <v>0</v>
      </c>
      <c r="K119" s="2"/>
      <c r="L119" s="2">
        <f t="shared" si="20"/>
        <v>0</v>
      </c>
      <c r="M119" s="2"/>
      <c r="N119" s="19">
        <f t="shared" si="21"/>
        <v>0</v>
      </c>
      <c r="O119" s="11"/>
      <c r="P119" s="2"/>
      <c r="Q119" s="2"/>
      <c r="R119" s="19">
        <f t="shared" si="22"/>
        <v>0</v>
      </c>
      <c r="S119" s="2"/>
      <c r="T119" s="2">
        <v>0</v>
      </c>
      <c r="U119" s="2"/>
      <c r="V119" s="19">
        <f t="shared" si="23"/>
        <v>0</v>
      </c>
      <c r="W119" s="2"/>
      <c r="X119" s="2">
        <f t="shared" si="24"/>
        <v>0</v>
      </c>
      <c r="Y119" s="2"/>
      <c r="Z119" s="19">
        <f t="shared" si="25"/>
        <v>0</v>
      </c>
    </row>
    <row r="120" spans="1:26" x14ac:dyDescent="0.3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3">
      <c r="A121" s="10"/>
      <c r="B121" s="26" t="s">
        <v>107</v>
      </c>
      <c r="C121" s="26"/>
      <c r="D121" s="20">
        <f>D12-D79</f>
        <v>240127.50000000012</v>
      </c>
      <c r="E121" s="13"/>
      <c r="F121" s="21">
        <f>IF(D$12=0,0,D121/D$12)</f>
        <v>0.48196806874610582</v>
      </c>
      <c r="G121" s="13"/>
      <c r="H121" s="20">
        <f>H12-H79</f>
        <v>100782.33999999997</v>
      </c>
      <c r="I121" s="13"/>
      <c r="J121" s="21">
        <f>IF(H$12=0,0,H121/H$12)</f>
        <v>0.43137263798146597</v>
      </c>
      <c r="K121" s="15"/>
      <c r="L121" s="20">
        <f>+D121-H121</f>
        <v>139345.16000000015</v>
      </c>
      <c r="M121" s="15"/>
      <c r="N121" s="21">
        <f>IF(H121=0,0,L121/H121)</f>
        <v>1.3826346957214943</v>
      </c>
      <c r="O121" s="25"/>
      <c r="P121" s="20">
        <f>P12-P79</f>
        <v>1449208.06</v>
      </c>
      <c r="Q121" s="13"/>
      <c r="R121" s="21">
        <f>IF(P$12=0,0,P121/P$12)</f>
        <v>0.39583623242656485</v>
      </c>
      <c r="S121" s="13"/>
      <c r="T121" s="20">
        <f>T12-T79</f>
        <v>963991.22999999975</v>
      </c>
      <c r="U121" s="13"/>
      <c r="V121" s="21">
        <f>IF(T$12=0,0,T121/T$12)</f>
        <v>0.35721707299996652</v>
      </c>
      <c r="W121" s="15"/>
      <c r="X121" s="20">
        <f>+P121-T121</f>
        <v>485216.83000000031</v>
      </c>
      <c r="Y121" s="15"/>
      <c r="Z121" s="21">
        <f>IF(T121=0,0,X121/T121)</f>
        <v>0.50334153973579243</v>
      </c>
    </row>
    <row r="122" spans="1:26" x14ac:dyDescent="0.3">
      <c r="A122" s="9"/>
      <c r="B122" s="10"/>
      <c r="C122" s="9"/>
      <c r="D122" s="1"/>
      <c r="E122" s="1"/>
      <c r="F122" s="5"/>
      <c r="G122" s="1"/>
      <c r="H122" s="1"/>
      <c r="I122" s="1"/>
      <c r="J122" s="5"/>
      <c r="K122" s="1"/>
      <c r="L122" s="1"/>
      <c r="M122" s="1"/>
      <c r="N122" s="5"/>
      <c r="O122" s="37"/>
      <c r="P122" s="1"/>
      <c r="Q122" s="1"/>
      <c r="R122" s="5"/>
      <c r="S122" s="1"/>
      <c r="T122" s="1"/>
      <c r="U122" s="1"/>
      <c r="V122" s="5"/>
      <c r="W122" s="1"/>
      <c r="X122" s="1"/>
      <c r="Y122" s="1"/>
      <c r="Z122" s="5"/>
    </row>
    <row r="123" spans="1:26" s="23" customFormat="1" x14ac:dyDescent="0.3">
      <c r="A123" s="10"/>
      <c r="B123" s="25" t="s">
        <v>294</v>
      </c>
      <c r="C123" s="10"/>
      <c r="D123" s="22">
        <f>SUM(OSRRefD22x_0)</f>
        <v>276339.46000000002</v>
      </c>
      <c r="E123" s="22"/>
      <c r="F123" s="34">
        <f t="shared" ref="F123:F134" si="26">IF(D$12=0,0,D123/D$12)</f>
        <v>0.55465032474223774</v>
      </c>
      <c r="G123" s="22"/>
      <c r="H123" s="22">
        <f>SUM(OSRRefH22x_0)</f>
        <v>248625.32000000004</v>
      </c>
      <c r="I123" s="22"/>
      <c r="J123" s="34">
        <f t="shared" ref="J123:J134" si="27">IF(H$12=0,0,H123/H$12)</f>
        <v>1.0641761260691722</v>
      </c>
      <c r="K123" s="4"/>
      <c r="L123" s="22">
        <f t="shared" ref="L123:L134" si="28">+D123-H123</f>
        <v>27714.139999999985</v>
      </c>
      <c r="M123" s="4"/>
      <c r="N123" s="34">
        <f t="shared" ref="N123:N134" si="29">IF(H123=0,0,L123/H123)</f>
        <v>0.1114694995666571</v>
      </c>
      <c r="O123" s="10"/>
      <c r="P123" s="22">
        <f>SUM(OSRRefP22x_0)</f>
        <v>1867676.3700000003</v>
      </c>
      <c r="Q123" s="22"/>
      <c r="R123" s="34">
        <f t="shared" ref="R123:R134" si="30">IF(P$12=0,0,P123/P$12)</f>
        <v>0.51013653463459419</v>
      </c>
      <c r="S123" s="22"/>
      <c r="T123" s="22">
        <f>SUM(OSRRefT22x_0)</f>
        <v>1607425.1699999985</v>
      </c>
      <c r="U123" s="22"/>
      <c r="V123" s="34">
        <f t="shared" ref="V123:V134" si="31">IF(T$12=0,0,T123/T$12)</f>
        <v>0.59564827606769122</v>
      </c>
      <c r="W123" s="4"/>
      <c r="X123" s="22">
        <f t="shared" ref="X123:X134" si="32">+P123-T123</f>
        <v>260251.20000000182</v>
      </c>
      <c r="Y123" s="4"/>
      <c r="Z123" s="34">
        <f t="shared" ref="Z123:Z134" si="33">IF(T123=0,0,X123/T123)</f>
        <v>0.16190563943950315</v>
      </c>
    </row>
    <row r="124" spans="1:26" s="29" customFormat="1" outlineLevel="1" collapsed="1" x14ac:dyDescent="0.3">
      <c r="A124" s="27"/>
      <c r="B124" s="14" t="str">
        <f>CONCATENATE("     ","*Benefits                                         ")</f>
        <v xml:space="preserve">     *Benefits                                         </v>
      </c>
      <c r="C124" s="14"/>
      <c r="D124" s="1">
        <f>SUM(OSRRefD22_0x_0)</f>
        <v>44141.39</v>
      </c>
      <c r="E124" s="1"/>
      <c r="F124" s="5">
        <f t="shared" si="26"/>
        <v>8.8597684522050399E-2</v>
      </c>
      <c r="G124" s="1"/>
      <c r="H124" s="1">
        <f>SUM(OSRRefH22_0x_0)</f>
        <v>43322.83</v>
      </c>
      <c r="I124" s="1"/>
      <c r="J124" s="5">
        <f t="shared" si="27"/>
        <v>0.18543212493302497</v>
      </c>
      <c r="K124" s="1"/>
      <c r="L124" s="1">
        <f t="shared" si="28"/>
        <v>818.55999999999767</v>
      </c>
      <c r="M124" s="1"/>
      <c r="N124" s="5">
        <f t="shared" si="29"/>
        <v>1.8894425871993997E-2</v>
      </c>
      <c r="O124" s="14"/>
      <c r="P124" s="1">
        <f>SUM(OSRRefP22_0x_0)</f>
        <v>301217.75</v>
      </c>
      <c r="Q124" s="1"/>
      <c r="R124" s="5">
        <f t="shared" si="30"/>
        <v>8.2274521230586373E-2</v>
      </c>
      <c r="S124" s="1"/>
      <c r="T124" s="1">
        <f>SUM(OSRRefT22_0x_0)</f>
        <v>267864.59999999998</v>
      </c>
      <c r="U124" s="1"/>
      <c r="V124" s="5">
        <f t="shared" si="31"/>
        <v>9.9260040334917629E-2</v>
      </c>
      <c r="W124" s="1"/>
      <c r="X124" s="1">
        <f t="shared" si="32"/>
        <v>33353.150000000023</v>
      </c>
      <c r="Y124" s="1"/>
      <c r="Z124" s="5">
        <f t="shared" si="33"/>
        <v>0.12451496017017563</v>
      </c>
    </row>
    <row r="125" spans="1:26" s="24" customFormat="1" hidden="1" outlineLevel="2" x14ac:dyDescent="0.3">
      <c r="A125" s="28"/>
      <c r="B125" s="11" t="str">
        <f>CONCATENATE("          ", "6111", " - ", "F.I.C.A.")</f>
        <v xml:space="preserve">          6111 - F.I.C.A.</v>
      </c>
      <c r="C125" s="11"/>
      <c r="D125" s="6">
        <v>6766.94</v>
      </c>
      <c r="E125" s="2"/>
      <c r="F125" s="7">
        <f t="shared" si="26"/>
        <v>1.358215532631944E-2</v>
      </c>
      <c r="G125" s="2"/>
      <c r="H125" s="6">
        <v>7317.04</v>
      </c>
      <c r="I125" s="2"/>
      <c r="J125" s="7">
        <f t="shared" si="27"/>
        <v>3.1318689832126413E-2</v>
      </c>
      <c r="K125" s="2"/>
      <c r="L125" s="6">
        <f t="shared" si="28"/>
        <v>-550.10000000000036</v>
      </c>
      <c r="M125" s="2"/>
      <c r="N125" s="7">
        <f t="shared" si="29"/>
        <v>-7.5180674152389534E-2</v>
      </c>
      <c r="O125" s="11"/>
      <c r="P125" s="6">
        <v>55816.72</v>
      </c>
      <c r="Q125" s="2"/>
      <c r="R125" s="7">
        <f t="shared" si="30"/>
        <v>1.5245761296144385E-2</v>
      </c>
      <c r="S125" s="2"/>
      <c r="T125" s="6">
        <v>55517.24</v>
      </c>
      <c r="U125" s="2"/>
      <c r="V125" s="7">
        <f t="shared" si="31"/>
        <v>2.057249625998845E-2</v>
      </c>
      <c r="W125" s="2"/>
      <c r="X125" s="6">
        <f t="shared" si="32"/>
        <v>299.4800000000032</v>
      </c>
      <c r="Y125" s="2"/>
      <c r="Z125" s="7">
        <f t="shared" si="33"/>
        <v>5.3943603824686392E-3</v>
      </c>
    </row>
    <row r="126" spans="1:26" s="24" customFormat="1" hidden="1" outlineLevel="2" x14ac:dyDescent="0.3">
      <c r="A126" s="28"/>
      <c r="B126" s="11" t="str">
        <f>CONCATENATE("          ", "6112", " - ", "COMPENSATION INSURANCE")</f>
        <v xml:space="preserve">          6112 - COMPENSATION INSURANCE</v>
      </c>
      <c r="C126" s="11"/>
      <c r="D126" s="6">
        <v>2184.3000000000002</v>
      </c>
      <c r="E126" s="2"/>
      <c r="F126" s="7">
        <f t="shared" si="26"/>
        <v>4.3841827885690663E-3</v>
      </c>
      <c r="G126" s="2"/>
      <c r="H126" s="6">
        <v>2948.75</v>
      </c>
      <c r="I126" s="2"/>
      <c r="J126" s="7">
        <f t="shared" si="27"/>
        <v>1.2621358724632195E-2</v>
      </c>
      <c r="K126" s="2"/>
      <c r="L126" s="6">
        <f t="shared" si="28"/>
        <v>-764.44999999999982</v>
      </c>
      <c r="M126" s="2"/>
      <c r="N126" s="7">
        <f t="shared" si="29"/>
        <v>-0.25924544298431534</v>
      </c>
      <c r="O126" s="11"/>
      <c r="P126" s="6">
        <v>14885.34</v>
      </c>
      <c r="Q126" s="2"/>
      <c r="R126" s="7">
        <f t="shared" si="30"/>
        <v>4.0657770727471959E-3</v>
      </c>
      <c r="S126" s="2"/>
      <c r="T126" s="6">
        <v>15685.41</v>
      </c>
      <c r="U126" s="2"/>
      <c r="V126" s="7">
        <f t="shared" si="31"/>
        <v>5.8123933855751013E-3</v>
      </c>
      <c r="W126" s="2"/>
      <c r="X126" s="6">
        <f t="shared" si="32"/>
        <v>-800.06999999999971</v>
      </c>
      <c r="Y126" s="2"/>
      <c r="Z126" s="7">
        <f t="shared" si="33"/>
        <v>-5.1007273638368378E-2</v>
      </c>
    </row>
    <row r="127" spans="1:26" s="24" customFormat="1" hidden="1" outlineLevel="2" x14ac:dyDescent="0.3">
      <c r="A127" s="28"/>
      <c r="B127" s="11" t="str">
        <f>CONCATENATE("          ", "6113", " - ", "GROUP INSURANCE")</f>
        <v xml:space="preserve">          6113 - GROUP INSURANCE</v>
      </c>
      <c r="C127" s="11"/>
      <c r="D127" s="6">
        <v>16550.71</v>
      </c>
      <c r="E127" s="2"/>
      <c r="F127" s="7">
        <f t="shared" si="26"/>
        <v>3.321949270731947E-2</v>
      </c>
      <c r="G127" s="2"/>
      <c r="H127" s="6">
        <v>15010.27</v>
      </c>
      <c r="I127" s="2"/>
      <c r="J127" s="7">
        <f t="shared" si="27"/>
        <v>6.4247563280571393E-2</v>
      </c>
      <c r="K127" s="2"/>
      <c r="L127" s="6">
        <f t="shared" si="28"/>
        <v>1540.4399999999987</v>
      </c>
      <c r="M127" s="2"/>
      <c r="N127" s="7">
        <f t="shared" si="29"/>
        <v>0.10262573557970633</v>
      </c>
      <c r="O127" s="11"/>
      <c r="P127" s="6">
        <v>106807.03999999999</v>
      </c>
      <c r="Q127" s="2"/>
      <c r="R127" s="7">
        <f t="shared" si="30"/>
        <v>2.9173241218540702E-2</v>
      </c>
      <c r="S127" s="2"/>
      <c r="T127" s="6">
        <v>88397.7</v>
      </c>
      <c r="U127" s="2"/>
      <c r="V127" s="7">
        <f t="shared" si="31"/>
        <v>3.2756695985635832E-2</v>
      </c>
      <c r="W127" s="2"/>
      <c r="X127" s="6">
        <f t="shared" si="32"/>
        <v>18409.339999999997</v>
      </c>
      <c r="Y127" s="2"/>
      <c r="Z127" s="7">
        <f t="shared" si="33"/>
        <v>0.20825587091066847</v>
      </c>
    </row>
    <row r="128" spans="1:26" s="24" customFormat="1" hidden="1" outlineLevel="2" x14ac:dyDescent="0.3">
      <c r="A128" s="28"/>
      <c r="B128" s="11" t="str">
        <f>CONCATENATE("          ", "6114", " - ", "STATE UNEMPLOYMENT INSURANCE")</f>
        <v xml:space="preserve">          6114 - STATE UNEMPLOYMENT INSURANCE</v>
      </c>
      <c r="C128" s="11"/>
      <c r="D128" s="6">
        <v>393.4</v>
      </c>
      <c r="E128" s="2"/>
      <c r="F128" s="7">
        <f t="shared" si="26"/>
        <v>7.8960651422564231E-4</v>
      </c>
      <c r="G128" s="2"/>
      <c r="H128" s="6"/>
      <c r="I128" s="2"/>
      <c r="J128" s="7">
        <f t="shared" si="27"/>
        <v>0</v>
      </c>
      <c r="K128" s="2"/>
      <c r="L128" s="6">
        <f t="shared" si="28"/>
        <v>393.4</v>
      </c>
      <c r="M128" s="2"/>
      <c r="N128" s="7">
        <f t="shared" si="29"/>
        <v>0</v>
      </c>
      <c r="O128" s="11"/>
      <c r="P128" s="6">
        <v>2686.19</v>
      </c>
      <c r="Q128" s="2"/>
      <c r="R128" s="7">
        <f t="shared" si="30"/>
        <v>7.3370508937268414E-4</v>
      </c>
      <c r="S128" s="2"/>
      <c r="T128" s="6">
        <v>1948.27</v>
      </c>
      <c r="U128" s="2"/>
      <c r="V128" s="7">
        <f t="shared" si="31"/>
        <v>7.2195190698326678E-4</v>
      </c>
      <c r="W128" s="2"/>
      <c r="X128" s="6">
        <f t="shared" si="32"/>
        <v>737.92000000000007</v>
      </c>
      <c r="Y128" s="2"/>
      <c r="Z128" s="7">
        <f t="shared" si="33"/>
        <v>0.37875653785152985</v>
      </c>
    </row>
    <row r="129" spans="1:26" s="24" customFormat="1" hidden="1" outlineLevel="2" x14ac:dyDescent="0.3">
      <c r="A129" s="28"/>
      <c r="B129" s="11" t="str">
        <f>CONCATENATE("          ", "6115", " - ", "P.E.R.S.")</f>
        <v xml:space="preserve">          6115 - P.E.R.S.</v>
      </c>
      <c r="C129" s="11"/>
      <c r="D129" s="6">
        <v>5703.78</v>
      </c>
      <c r="E129" s="2"/>
      <c r="F129" s="7">
        <f t="shared" si="26"/>
        <v>1.1448250746593631E-2</v>
      </c>
      <c r="G129" s="2"/>
      <c r="H129" s="6">
        <v>6456.79</v>
      </c>
      <c r="I129" s="2"/>
      <c r="J129" s="7">
        <f t="shared" si="27"/>
        <v>2.7636613073206581E-2</v>
      </c>
      <c r="K129" s="2"/>
      <c r="L129" s="6">
        <f t="shared" si="28"/>
        <v>-753.01000000000022</v>
      </c>
      <c r="M129" s="2"/>
      <c r="N129" s="7">
        <f t="shared" si="29"/>
        <v>-0.11662296590101277</v>
      </c>
      <c r="O129" s="11"/>
      <c r="P129" s="6">
        <v>42607.82</v>
      </c>
      <c r="Q129" s="2"/>
      <c r="R129" s="7">
        <f t="shared" si="30"/>
        <v>1.1637886516246147E-2</v>
      </c>
      <c r="S129" s="2"/>
      <c r="T129" s="6">
        <v>40018.050000000003</v>
      </c>
      <c r="U129" s="2"/>
      <c r="V129" s="7">
        <f t="shared" si="31"/>
        <v>1.4829108650880897E-2</v>
      </c>
      <c r="W129" s="2"/>
      <c r="X129" s="6">
        <f t="shared" si="32"/>
        <v>2589.7699999999968</v>
      </c>
      <c r="Y129" s="2"/>
      <c r="Z129" s="7">
        <f t="shared" si="33"/>
        <v>6.4715047334890044E-2</v>
      </c>
    </row>
    <row r="130" spans="1:26" s="24" customFormat="1" hidden="1" outlineLevel="2" x14ac:dyDescent="0.3">
      <c r="A130" s="28"/>
      <c r="B130" s="11" t="str">
        <f>CONCATENATE("          ", "6116", " - ", "EDUCATIONAL BENEFITS")</f>
        <v xml:space="preserve">          6116 - EDUCATIONAL BENEFITS</v>
      </c>
      <c r="C130" s="11"/>
      <c r="D130" s="6"/>
      <c r="E130" s="2"/>
      <c r="F130" s="7">
        <f t="shared" si="26"/>
        <v>0</v>
      </c>
      <c r="G130" s="2"/>
      <c r="H130" s="6"/>
      <c r="I130" s="2"/>
      <c r="J130" s="7">
        <f t="shared" si="27"/>
        <v>0</v>
      </c>
      <c r="K130" s="2"/>
      <c r="L130" s="6">
        <f t="shared" si="28"/>
        <v>0</v>
      </c>
      <c r="M130" s="2"/>
      <c r="N130" s="7">
        <f t="shared" si="29"/>
        <v>0</v>
      </c>
      <c r="O130" s="11"/>
      <c r="P130" s="6"/>
      <c r="Q130" s="2"/>
      <c r="R130" s="7">
        <f t="shared" si="30"/>
        <v>0</v>
      </c>
      <c r="S130" s="2"/>
      <c r="T130" s="6">
        <v>0</v>
      </c>
      <c r="U130" s="2"/>
      <c r="V130" s="7">
        <f t="shared" si="31"/>
        <v>0</v>
      </c>
      <c r="W130" s="2"/>
      <c r="X130" s="6">
        <f t="shared" si="32"/>
        <v>0</v>
      </c>
      <c r="Y130" s="2"/>
      <c r="Z130" s="7">
        <f t="shared" si="33"/>
        <v>0</v>
      </c>
    </row>
    <row r="131" spans="1:26" s="24" customFormat="1" hidden="1" outlineLevel="2" x14ac:dyDescent="0.3">
      <c r="A131" s="28"/>
      <c r="B131" s="11" t="str">
        <f>CONCATENATE("          ", "6117", " - ", "RETIREMENT STAFF HOURLY")</f>
        <v xml:space="preserve">          6117 - RETIREMENT STAFF HOURLY</v>
      </c>
      <c r="C131" s="11"/>
      <c r="D131" s="6">
        <v>590.27</v>
      </c>
      <c r="E131" s="2"/>
      <c r="F131" s="7">
        <f t="shared" si="26"/>
        <v>1.1847509841178695E-3</v>
      </c>
      <c r="G131" s="2"/>
      <c r="H131" s="6">
        <v>440.47</v>
      </c>
      <c r="I131" s="2"/>
      <c r="J131" s="7">
        <f t="shared" si="27"/>
        <v>1.8853174658545972E-3</v>
      </c>
      <c r="K131" s="2"/>
      <c r="L131" s="6">
        <f t="shared" si="28"/>
        <v>149.79999999999995</v>
      </c>
      <c r="M131" s="2"/>
      <c r="N131" s="7">
        <f t="shared" si="29"/>
        <v>0.34009126614752411</v>
      </c>
      <c r="O131" s="11"/>
      <c r="P131" s="6">
        <v>3694.41</v>
      </c>
      <c r="Q131" s="2"/>
      <c r="R131" s="7">
        <f t="shared" si="30"/>
        <v>1.0090899821789739E-3</v>
      </c>
      <c r="S131" s="2"/>
      <c r="T131" s="6">
        <v>1734.12</v>
      </c>
      <c r="U131" s="2"/>
      <c r="V131" s="7">
        <f t="shared" si="31"/>
        <v>6.425963757270925E-4</v>
      </c>
      <c r="W131" s="2"/>
      <c r="X131" s="6">
        <f t="shared" si="32"/>
        <v>1960.29</v>
      </c>
      <c r="Y131" s="2"/>
      <c r="Z131" s="7">
        <f t="shared" si="33"/>
        <v>1.130423500103799</v>
      </c>
    </row>
    <row r="132" spans="1:26" s="24" customFormat="1" hidden="1" outlineLevel="2" x14ac:dyDescent="0.3">
      <c r="A132" s="28"/>
      <c r="B132" s="11" t="str">
        <f>CONCATENATE("          ", "6118", " - ", "VACATION")</f>
        <v xml:space="preserve">          6118 - VACATION</v>
      </c>
      <c r="C132" s="11"/>
      <c r="D132" s="6">
        <v>5402.63</v>
      </c>
      <c r="E132" s="2"/>
      <c r="F132" s="7">
        <f t="shared" si="26"/>
        <v>1.0843802343545711E-2</v>
      </c>
      <c r="G132" s="2"/>
      <c r="H132" s="6">
        <v>5850.94</v>
      </c>
      <c r="I132" s="2"/>
      <c r="J132" s="7">
        <f t="shared" si="27"/>
        <v>2.504342945868571E-2</v>
      </c>
      <c r="K132" s="2"/>
      <c r="L132" s="6">
        <f t="shared" si="28"/>
        <v>-448.30999999999949</v>
      </c>
      <c r="M132" s="2"/>
      <c r="N132" s="7">
        <f t="shared" si="29"/>
        <v>-7.6621876142978648E-2</v>
      </c>
      <c r="O132" s="11"/>
      <c r="P132" s="6">
        <v>34293.519999999997</v>
      </c>
      <c r="Q132" s="2"/>
      <c r="R132" s="7">
        <f t="shared" si="30"/>
        <v>9.3669212365856212E-3</v>
      </c>
      <c r="S132" s="2"/>
      <c r="T132" s="6">
        <v>32286.25</v>
      </c>
      <c r="U132" s="2"/>
      <c r="V132" s="7">
        <f t="shared" si="31"/>
        <v>1.1964008970439671E-2</v>
      </c>
      <c r="W132" s="2"/>
      <c r="X132" s="6">
        <f t="shared" si="32"/>
        <v>2007.2699999999968</v>
      </c>
      <c r="Y132" s="2"/>
      <c r="Z132" s="7">
        <f t="shared" si="33"/>
        <v>6.217104804676904E-2</v>
      </c>
    </row>
    <row r="133" spans="1:26" s="24" customFormat="1" hidden="1" outlineLevel="2" x14ac:dyDescent="0.3">
      <c r="A133" s="28"/>
      <c r="B133" s="11" t="str">
        <f>CONCATENATE("          ", "6119", " - ", "SICK LEAVE")</f>
        <v xml:space="preserve">          6119 - SICK LEAVE</v>
      </c>
      <c r="C133" s="11"/>
      <c r="D133" s="6">
        <v>3805.28</v>
      </c>
      <c r="E133" s="2"/>
      <c r="F133" s="7">
        <f t="shared" si="26"/>
        <v>7.6377068542261119E-3</v>
      </c>
      <c r="G133" s="2"/>
      <c r="H133" s="6">
        <v>4031.99</v>
      </c>
      <c r="I133" s="2"/>
      <c r="J133" s="7">
        <f t="shared" si="27"/>
        <v>1.7257886278636628E-2</v>
      </c>
      <c r="K133" s="2"/>
      <c r="L133" s="6">
        <f t="shared" si="28"/>
        <v>-226.70999999999958</v>
      </c>
      <c r="M133" s="2"/>
      <c r="N133" s="7">
        <f t="shared" si="29"/>
        <v>-5.6227818025342227E-2</v>
      </c>
      <c r="O133" s="11"/>
      <c r="P133" s="6">
        <v>24780.14</v>
      </c>
      <c r="Q133" s="2"/>
      <c r="R133" s="7">
        <f t="shared" si="30"/>
        <v>6.7684396239162626E-3</v>
      </c>
      <c r="S133" s="2"/>
      <c r="T133" s="6">
        <v>23381.11</v>
      </c>
      <c r="U133" s="2"/>
      <c r="V133" s="7">
        <f t="shared" si="31"/>
        <v>8.6641158319357842E-3</v>
      </c>
      <c r="W133" s="2"/>
      <c r="X133" s="6">
        <f t="shared" si="32"/>
        <v>1399.0299999999988</v>
      </c>
      <c r="Y133" s="2"/>
      <c r="Z133" s="7">
        <f t="shared" si="33"/>
        <v>5.9835910271154737E-2</v>
      </c>
    </row>
    <row r="134" spans="1:26" s="24" customFormat="1" hidden="1" outlineLevel="2" x14ac:dyDescent="0.3">
      <c r="A134" s="28"/>
      <c r="B134" s="11" t="str">
        <f>CONCATENATE("          ", "6156", " - ", "EMPLOYEE MEALS")</f>
        <v xml:space="preserve">          6156 - EMPLOYEE MEALS</v>
      </c>
      <c r="C134" s="11"/>
      <c r="D134" s="6">
        <v>2744.08</v>
      </c>
      <c r="E134" s="2"/>
      <c r="F134" s="7">
        <f t="shared" si="26"/>
        <v>5.5077362571334535E-3</v>
      </c>
      <c r="G134" s="2"/>
      <c r="H134" s="6">
        <v>1266.58</v>
      </c>
      <c r="I134" s="2"/>
      <c r="J134" s="7">
        <f t="shared" si="27"/>
        <v>5.4212668193114521E-3</v>
      </c>
      <c r="K134" s="2"/>
      <c r="L134" s="6">
        <f t="shared" si="28"/>
        <v>1477.5</v>
      </c>
      <c r="M134" s="2"/>
      <c r="N134" s="7">
        <f t="shared" si="29"/>
        <v>1.1665271834388669</v>
      </c>
      <c r="O134" s="11"/>
      <c r="P134" s="6">
        <v>15646.57</v>
      </c>
      <c r="Q134" s="2"/>
      <c r="R134" s="7">
        <f t="shared" si="30"/>
        <v>4.2736991948544066E-3</v>
      </c>
      <c r="S134" s="2"/>
      <c r="T134" s="6">
        <v>8896.4500000000007</v>
      </c>
      <c r="U134" s="2"/>
      <c r="V134" s="7">
        <f t="shared" si="31"/>
        <v>3.2966729677515356E-3</v>
      </c>
      <c r="W134" s="2"/>
      <c r="X134" s="6">
        <f t="shared" si="32"/>
        <v>6750.119999999999</v>
      </c>
      <c r="Y134" s="2"/>
      <c r="Z134" s="7">
        <f t="shared" si="33"/>
        <v>0.75874309415553376</v>
      </c>
    </row>
    <row r="135" spans="1:26" s="29" customFormat="1" outlineLevel="1" collapsed="1" x14ac:dyDescent="0.3">
      <c r="A135" s="27"/>
      <c r="B135" s="14" t="str">
        <f>CONCATENATE("     ","*Payroll                                          ")</f>
        <v xml:space="preserve">     *Payroll                                          </v>
      </c>
      <c r="C135" s="14"/>
      <c r="D135" s="1">
        <f>SUM(OSRRefD22_1x_0)</f>
        <v>149267.02000000002</v>
      </c>
      <c r="E135" s="1"/>
      <c r="F135" s="5">
        <f t="shared" ref="F135:F142" si="34">IF(D$12=0,0,D135/D$12)</f>
        <v>0.29959891039921011</v>
      </c>
      <c r="G135" s="1"/>
      <c r="H135" s="1">
        <f>SUM(OSRRefH22_1x_0)</f>
        <v>119812.64000000001</v>
      </c>
      <c r="I135" s="1"/>
      <c r="J135" s="5">
        <f t="shared" ref="J135:J142" si="35">IF(H$12=0,0,H135/H$12)</f>
        <v>0.51282689586611829</v>
      </c>
      <c r="K135" s="1"/>
      <c r="L135" s="1">
        <f t="shared" ref="L135:L142" si="36">+D135-H135</f>
        <v>29454.380000000005</v>
      </c>
      <c r="M135" s="1"/>
      <c r="N135" s="5">
        <f t="shared" ref="N135:N142" si="37">IF(H135=0,0,L135/H135)</f>
        <v>0.24583700016959814</v>
      </c>
      <c r="O135" s="14"/>
      <c r="P135" s="1">
        <f>SUM(OSRRefP22_1x_0)</f>
        <v>954197.66</v>
      </c>
      <c r="Q135" s="1"/>
      <c r="R135" s="5">
        <f t="shared" ref="R135:R142" si="38">IF(P$12=0,0,P135/P$12)</f>
        <v>0.260629247897396</v>
      </c>
      <c r="S135" s="1"/>
      <c r="T135" s="1">
        <f>SUM(OSRRefT22_1x_0)</f>
        <v>730222.49999999977</v>
      </c>
      <c r="U135" s="1"/>
      <c r="V135" s="5">
        <f t="shared" ref="V135:V142" si="39">IF(T$12=0,0,T135/T$12)</f>
        <v>0.27059161532902953</v>
      </c>
      <c r="W135" s="1"/>
      <c r="X135" s="1">
        <f t="shared" ref="X135:X142" si="40">+P135-T135</f>
        <v>223975.16000000027</v>
      </c>
      <c r="Y135" s="1"/>
      <c r="Z135" s="5">
        <f t="shared" ref="Z135:Z142" si="41">IF(T135=0,0,X135/T135)</f>
        <v>0.30672180054709397</v>
      </c>
    </row>
    <row r="136" spans="1:26" s="24" customFormat="1" hidden="1" outlineLevel="2" x14ac:dyDescent="0.3">
      <c r="A136" s="28"/>
      <c r="B136" s="11" t="str">
        <f>CONCATENATE("          ", "6001", " - ", "ADMINISTRATIVE SALARIES")</f>
        <v xml:space="preserve">          6001 - ADMINISTRATIVE SALARIES</v>
      </c>
      <c r="C136" s="11"/>
      <c r="D136" s="6">
        <v>4658.26</v>
      </c>
      <c r="E136" s="2"/>
      <c r="F136" s="7">
        <f t="shared" si="34"/>
        <v>9.3497520105661949E-3</v>
      </c>
      <c r="G136" s="2"/>
      <c r="H136" s="6">
        <v>3745.16</v>
      </c>
      <c r="I136" s="2"/>
      <c r="J136" s="7">
        <f t="shared" si="35"/>
        <v>1.6030184939768887E-2</v>
      </c>
      <c r="K136" s="2"/>
      <c r="L136" s="6">
        <f t="shared" si="36"/>
        <v>913.10000000000036</v>
      </c>
      <c r="M136" s="2"/>
      <c r="N136" s="7">
        <f t="shared" si="37"/>
        <v>0.24380800820258691</v>
      </c>
      <c r="O136" s="11"/>
      <c r="P136" s="6">
        <v>28334.77</v>
      </c>
      <c r="Q136" s="2"/>
      <c r="R136" s="7">
        <f t="shared" si="38"/>
        <v>7.7393501409820037E-3</v>
      </c>
      <c r="S136" s="2"/>
      <c r="T136" s="6">
        <v>24883.11</v>
      </c>
      <c r="U136" s="2"/>
      <c r="V136" s="7">
        <f t="shared" si="39"/>
        <v>9.2206977042065003E-3</v>
      </c>
      <c r="W136" s="2"/>
      <c r="X136" s="6">
        <f t="shared" si="40"/>
        <v>3451.66</v>
      </c>
      <c r="Y136" s="2"/>
      <c r="Z136" s="7">
        <f t="shared" si="41"/>
        <v>0.13871497574057262</v>
      </c>
    </row>
    <row r="137" spans="1:26" s="24" customFormat="1" hidden="1" outlineLevel="2" x14ac:dyDescent="0.3">
      <c r="A137" s="28"/>
      <c r="B137" s="11" t="str">
        <f>CONCATENATE("          ", "6002", " - ", "STAFF SALARIES")</f>
        <v xml:space="preserve">          6002 - STAFF SALARIES</v>
      </c>
      <c r="C137" s="11"/>
      <c r="D137" s="6">
        <v>52623.72</v>
      </c>
      <c r="E137" s="2"/>
      <c r="F137" s="7">
        <f t="shared" si="34"/>
        <v>0.10562285743463706</v>
      </c>
      <c r="G137" s="2"/>
      <c r="H137" s="6">
        <v>60554.25</v>
      </c>
      <c r="I137" s="2"/>
      <c r="J137" s="7">
        <f t="shared" si="35"/>
        <v>0.25918674406140196</v>
      </c>
      <c r="K137" s="2"/>
      <c r="L137" s="6">
        <f t="shared" si="36"/>
        <v>-7930.5299999999988</v>
      </c>
      <c r="M137" s="2"/>
      <c r="N137" s="7">
        <f t="shared" si="37"/>
        <v>-0.13096570430646898</v>
      </c>
      <c r="O137" s="11"/>
      <c r="P137" s="6">
        <v>341639.07</v>
      </c>
      <c r="Q137" s="2"/>
      <c r="R137" s="7">
        <f t="shared" si="38"/>
        <v>9.3315187826457063E-2</v>
      </c>
      <c r="S137" s="2"/>
      <c r="T137" s="6">
        <v>335512.19</v>
      </c>
      <c r="U137" s="2"/>
      <c r="V137" s="7">
        <f t="shared" si="39"/>
        <v>0.12432756516634355</v>
      </c>
      <c r="W137" s="2"/>
      <c r="X137" s="6">
        <f t="shared" si="40"/>
        <v>6126.8800000000047</v>
      </c>
      <c r="Y137" s="2"/>
      <c r="Z137" s="7">
        <f t="shared" si="41"/>
        <v>1.8261273904831905E-2</v>
      </c>
    </row>
    <row r="138" spans="1:26" s="24" customFormat="1" hidden="1" outlineLevel="2" x14ac:dyDescent="0.3">
      <c r="A138" s="28"/>
      <c r="B138" s="11" t="str">
        <f>CONCATENATE("          ", "6004", " - ", "STAFF HOURLY")</f>
        <v xml:space="preserve">          6004 - STAFF HOURLY</v>
      </c>
      <c r="C138" s="11"/>
      <c r="D138" s="6">
        <v>21860.77</v>
      </c>
      <c r="E138" s="2"/>
      <c r="F138" s="7">
        <f t="shared" si="34"/>
        <v>4.3877494656808583E-2</v>
      </c>
      <c r="G138" s="2"/>
      <c r="H138" s="6">
        <v>15520.77</v>
      </c>
      <c r="I138" s="2"/>
      <c r="J138" s="7">
        <f t="shared" si="35"/>
        <v>6.6432625977960028E-2</v>
      </c>
      <c r="K138" s="2"/>
      <c r="L138" s="6">
        <f t="shared" si="36"/>
        <v>6340</v>
      </c>
      <c r="M138" s="2"/>
      <c r="N138" s="7">
        <f t="shared" si="37"/>
        <v>0.40848488831417512</v>
      </c>
      <c r="O138" s="11"/>
      <c r="P138" s="6">
        <v>132474.35999999999</v>
      </c>
      <c r="Q138" s="2"/>
      <c r="R138" s="7">
        <f t="shared" si="38"/>
        <v>3.61840049078394E-2</v>
      </c>
      <c r="S138" s="2"/>
      <c r="T138" s="6">
        <v>91036.91</v>
      </c>
      <c r="U138" s="2"/>
      <c r="V138" s="7">
        <f t="shared" si="39"/>
        <v>3.3734682965073648E-2</v>
      </c>
      <c r="W138" s="2"/>
      <c r="X138" s="6">
        <f t="shared" si="40"/>
        <v>41437.449999999983</v>
      </c>
      <c r="Y138" s="2"/>
      <c r="Z138" s="7">
        <f t="shared" si="41"/>
        <v>0.45517197365332346</v>
      </c>
    </row>
    <row r="139" spans="1:26" s="24" customFormat="1" hidden="1" outlineLevel="2" x14ac:dyDescent="0.3">
      <c r="A139" s="28"/>
      <c r="B139" s="11" t="str">
        <f>CONCATENATE("          ", "6005", " - ", "TEMPORARY WAGES-HOURLY")</f>
        <v xml:space="preserve">          6005 - TEMPORARY WAGES-HOURLY</v>
      </c>
      <c r="C139" s="11"/>
      <c r="D139" s="6">
        <v>6414.59</v>
      </c>
      <c r="E139" s="2"/>
      <c r="F139" s="7">
        <f t="shared" si="34"/>
        <v>1.287494166265039E-2</v>
      </c>
      <c r="G139" s="2"/>
      <c r="H139" s="6">
        <v>9577.32</v>
      </c>
      <c r="I139" s="2"/>
      <c r="J139" s="7">
        <f t="shared" si="35"/>
        <v>4.0993231484728922E-2</v>
      </c>
      <c r="K139" s="2"/>
      <c r="L139" s="6">
        <f t="shared" si="36"/>
        <v>-3162.7299999999996</v>
      </c>
      <c r="M139" s="2"/>
      <c r="N139" s="7">
        <f t="shared" si="37"/>
        <v>-0.33023121290715979</v>
      </c>
      <c r="O139" s="11"/>
      <c r="P139" s="6">
        <v>52847.44</v>
      </c>
      <c r="Q139" s="2"/>
      <c r="R139" s="7">
        <f t="shared" si="38"/>
        <v>1.4434733093458602E-2</v>
      </c>
      <c r="S139" s="2"/>
      <c r="T139" s="6">
        <v>97643.45</v>
      </c>
      <c r="U139" s="2"/>
      <c r="V139" s="7">
        <f t="shared" si="39"/>
        <v>3.6182805736332882E-2</v>
      </c>
      <c r="W139" s="2"/>
      <c r="X139" s="6">
        <f t="shared" si="40"/>
        <v>-44796.009999999995</v>
      </c>
      <c r="Y139" s="2"/>
      <c r="Z139" s="7">
        <f t="shared" si="41"/>
        <v>-0.45877127446848709</v>
      </c>
    </row>
    <row r="140" spans="1:26" s="24" customFormat="1" hidden="1" outlineLevel="2" x14ac:dyDescent="0.3">
      <c r="A140" s="28"/>
      <c r="B140" s="11" t="str">
        <f>CONCATENATE("          ", "6006", " - ", "TEMPORARY PART TIME")</f>
        <v xml:space="preserve">          6006 - TEMPORARY PART TIME</v>
      </c>
      <c r="C140" s="11"/>
      <c r="D140" s="6"/>
      <c r="E140" s="2"/>
      <c r="F140" s="7">
        <f t="shared" si="34"/>
        <v>0</v>
      </c>
      <c r="G140" s="2"/>
      <c r="H140" s="6">
        <v>1432.35</v>
      </c>
      <c r="I140" s="2"/>
      <c r="J140" s="7">
        <f t="shared" si="35"/>
        <v>6.1308022617132425E-3</v>
      </c>
      <c r="K140" s="2"/>
      <c r="L140" s="6">
        <f t="shared" si="36"/>
        <v>-1432.35</v>
      </c>
      <c r="M140" s="2"/>
      <c r="N140" s="7">
        <f t="shared" si="37"/>
        <v>-1</v>
      </c>
      <c r="O140" s="11"/>
      <c r="P140" s="6">
        <v>9877.6200000000008</v>
      </c>
      <c r="Q140" s="2"/>
      <c r="R140" s="7">
        <f t="shared" si="38"/>
        <v>2.6979700113876578E-3</v>
      </c>
      <c r="S140" s="2"/>
      <c r="T140" s="6">
        <v>9987.9599999999991</v>
      </c>
      <c r="U140" s="2"/>
      <c r="V140" s="7">
        <f t="shared" si="39"/>
        <v>3.7011434600299699E-3</v>
      </c>
      <c r="W140" s="2"/>
      <c r="X140" s="6">
        <f t="shared" si="40"/>
        <v>-110.33999999999833</v>
      </c>
      <c r="Y140" s="2"/>
      <c r="Z140" s="7">
        <f t="shared" si="41"/>
        <v>-1.1047300950344048E-2</v>
      </c>
    </row>
    <row r="141" spans="1:26" s="24" customFormat="1" hidden="1" outlineLevel="2" x14ac:dyDescent="0.3">
      <c r="A141" s="28"/>
      <c r="B141" s="11" t="str">
        <f>CONCATENATE("          ", "6007", " - ", "STUDENT HOURLY")</f>
        <v xml:space="preserve">          6007 - STUDENT HOURLY</v>
      </c>
      <c r="C141" s="11"/>
      <c r="D141" s="6">
        <v>57123.01</v>
      </c>
      <c r="E141" s="2"/>
      <c r="F141" s="7">
        <f t="shared" si="34"/>
        <v>0.11465353535377863</v>
      </c>
      <c r="G141" s="2"/>
      <c r="H141" s="6">
        <v>27899.63</v>
      </c>
      <c r="I141" s="2"/>
      <c r="J141" s="7">
        <f t="shared" si="35"/>
        <v>0.11941712200576859</v>
      </c>
      <c r="K141" s="2"/>
      <c r="L141" s="6">
        <f t="shared" si="36"/>
        <v>29223.38</v>
      </c>
      <c r="M141" s="2"/>
      <c r="N141" s="7">
        <f t="shared" si="37"/>
        <v>1.0474468657828078</v>
      </c>
      <c r="O141" s="11"/>
      <c r="P141" s="6">
        <v>331732.06</v>
      </c>
      <c r="Q141" s="2"/>
      <c r="R141" s="7">
        <f t="shared" si="38"/>
        <v>9.060919023973904E-2</v>
      </c>
      <c r="S141" s="2"/>
      <c r="T141" s="6">
        <v>166228.43</v>
      </c>
      <c r="U141" s="2"/>
      <c r="V141" s="7">
        <f t="shared" si="39"/>
        <v>6.1597690275646842E-2</v>
      </c>
      <c r="W141" s="2"/>
      <c r="X141" s="6">
        <f t="shared" si="40"/>
        <v>165503.63</v>
      </c>
      <c r="Y141" s="2"/>
      <c r="Z141" s="7">
        <f t="shared" si="41"/>
        <v>0.99563973503208814</v>
      </c>
    </row>
    <row r="142" spans="1:26" s="24" customFormat="1" hidden="1" outlineLevel="2" x14ac:dyDescent="0.3">
      <c r="A142" s="28"/>
      <c r="B142" s="11" t="str">
        <f>CONCATENATE("          ", "6008", " - ", "STUDENT HOURLY-FICA EXEMPT")</f>
        <v xml:space="preserve">          6008 - STUDENT HOURLY-FICA EXEMPT</v>
      </c>
      <c r="C142" s="11"/>
      <c r="D142" s="6">
        <v>6586.67</v>
      </c>
      <c r="E142" s="2"/>
      <c r="F142" s="7">
        <f t="shared" si="34"/>
        <v>1.3220329280769222E-2</v>
      </c>
      <c r="G142" s="2"/>
      <c r="H142" s="6">
        <v>1083.1600000000001</v>
      </c>
      <c r="I142" s="2"/>
      <c r="J142" s="7">
        <f t="shared" si="35"/>
        <v>4.636185134776637E-3</v>
      </c>
      <c r="K142" s="2"/>
      <c r="L142" s="6">
        <f t="shared" si="36"/>
        <v>5503.51</v>
      </c>
      <c r="M142" s="2"/>
      <c r="N142" s="7">
        <f t="shared" si="37"/>
        <v>5.0809760330883709</v>
      </c>
      <c r="O142" s="11"/>
      <c r="P142" s="6">
        <v>57292.34</v>
      </c>
      <c r="Q142" s="2"/>
      <c r="R142" s="7">
        <f t="shared" si="38"/>
        <v>1.5648811677532192E-2</v>
      </c>
      <c r="S142" s="2"/>
      <c r="T142" s="6">
        <v>4930.45</v>
      </c>
      <c r="U142" s="2"/>
      <c r="V142" s="7">
        <f t="shared" si="39"/>
        <v>1.8270300213962375E-3</v>
      </c>
      <c r="W142" s="2"/>
      <c r="X142" s="6">
        <f t="shared" si="40"/>
        <v>52361.89</v>
      </c>
      <c r="Y142" s="2"/>
      <c r="Z142" s="7">
        <f t="shared" si="41"/>
        <v>10.620103641655428</v>
      </c>
    </row>
    <row r="143" spans="1:26" s="29" customFormat="1" outlineLevel="1" collapsed="1" x14ac:dyDescent="0.3">
      <c r="A143" s="27"/>
      <c r="B143" s="14" t="str">
        <f>CONCATENATE("     ","Advertising/Promo                                 ")</f>
        <v xml:space="preserve">     Advertising/Promo                                 </v>
      </c>
      <c r="C143" s="14"/>
      <c r="D143" s="1">
        <f>SUM(OSRRefD22_2x_0)</f>
        <v>722.3</v>
      </c>
      <c r="E143" s="1"/>
      <c r="F143" s="5">
        <f t="shared" ref="F143:F151" si="42">IF(D$12=0,0,D143/D$12)</f>
        <v>1.4497528856766179E-3</v>
      </c>
      <c r="G143" s="1"/>
      <c r="H143" s="1">
        <f>SUM(OSRRefH22_2x_0)</f>
        <v>343.98</v>
      </c>
      <c r="I143" s="1"/>
      <c r="J143" s="5">
        <f t="shared" ref="J143:J151" si="43">IF(H$12=0,0,H143/H$12)</f>
        <v>1.472317074726234E-3</v>
      </c>
      <c r="K143" s="1"/>
      <c r="L143" s="1">
        <f t="shared" ref="L143:L151" si="44">+D143-H143</f>
        <v>378.31999999999994</v>
      </c>
      <c r="M143" s="1"/>
      <c r="N143" s="5">
        <f t="shared" ref="N143:N151" si="45">IF(H143=0,0,L143/H143)</f>
        <v>1.0998313855456709</v>
      </c>
      <c r="O143" s="14"/>
      <c r="P143" s="1">
        <f>SUM(OSRRefP22_2x_0)</f>
        <v>5554.99</v>
      </c>
      <c r="Q143" s="1"/>
      <c r="R143" s="5">
        <f t="shared" ref="R143:R151" si="46">IF(P$12=0,0,P143/P$12)</f>
        <v>1.517288216549971E-3</v>
      </c>
      <c r="S143" s="1"/>
      <c r="T143" s="1">
        <f>SUM(OSRRefT22_2x_0)</f>
        <v>14702.51</v>
      </c>
      <c r="U143" s="1"/>
      <c r="V143" s="5">
        <f t="shared" ref="V143:V151" si="47">IF(T$12=0,0,T143/T$12)</f>
        <v>5.4481694692935529E-3</v>
      </c>
      <c r="W143" s="1"/>
      <c r="X143" s="1">
        <f t="shared" ref="X143:X151" si="48">+P143-T143</f>
        <v>-9147.52</v>
      </c>
      <c r="Y143" s="1"/>
      <c r="Z143" s="5">
        <f t="shared" ref="Z143:Z151" si="49">IF(T143=0,0,X143/T143)</f>
        <v>-0.62217403695015339</v>
      </c>
    </row>
    <row r="144" spans="1:26" s="24" customFormat="1" hidden="1" outlineLevel="2" x14ac:dyDescent="0.3">
      <c r="A144" s="28"/>
      <c r="B144" s="11" t="str">
        <f>CONCATENATE("          ", "6362", " - ", "ADVERTISING EXPENSE")</f>
        <v xml:space="preserve">          6362 - ADVERTISING EXPENSE</v>
      </c>
      <c r="C144" s="11"/>
      <c r="D144" s="6">
        <v>722.3</v>
      </c>
      <c r="E144" s="2"/>
      <c r="F144" s="7">
        <f t="shared" si="42"/>
        <v>1.4497528856766179E-3</v>
      </c>
      <c r="G144" s="2"/>
      <c r="H144" s="6">
        <v>343.98</v>
      </c>
      <c r="I144" s="2"/>
      <c r="J144" s="7">
        <f t="shared" si="43"/>
        <v>1.472317074726234E-3</v>
      </c>
      <c r="K144" s="2"/>
      <c r="L144" s="6">
        <f t="shared" si="44"/>
        <v>378.31999999999994</v>
      </c>
      <c r="M144" s="2"/>
      <c r="N144" s="7">
        <f t="shared" si="45"/>
        <v>1.0998313855456709</v>
      </c>
      <c r="O144" s="11"/>
      <c r="P144" s="6">
        <v>5554.99</v>
      </c>
      <c r="Q144" s="2"/>
      <c r="R144" s="7">
        <f t="shared" si="46"/>
        <v>1.517288216549971E-3</v>
      </c>
      <c r="S144" s="2"/>
      <c r="T144" s="6">
        <v>14702.51</v>
      </c>
      <c r="U144" s="2"/>
      <c r="V144" s="7">
        <f t="shared" si="47"/>
        <v>5.4481694692935529E-3</v>
      </c>
      <c r="W144" s="2"/>
      <c r="X144" s="6">
        <f t="shared" si="48"/>
        <v>-9147.52</v>
      </c>
      <c r="Y144" s="2"/>
      <c r="Z144" s="7">
        <f t="shared" si="49"/>
        <v>-0.62217403695015339</v>
      </c>
    </row>
    <row r="145" spans="1:26" s="29" customFormat="1" outlineLevel="1" collapsed="1" x14ac:dyDescent="0.3">
      <c r="A145" s="27"/>
      <c r="B145" s="14" t="str">
        <f>CONCATENATE("     ","Bad Debts/Over/Short                              ")</f>
        <v xml:space="preserve">     Bad Debts/Over/Short                              </v>
      </c>
      <c r="C145" s="14"/>
      <c r="D145" s="1">
        <f>SUM(OSRRefD22_3x_0)</f>
        <v>-24.66</v>
      </c>
      <c r="E145" s="1"/>
      <c r="F145" s="5">
        <f t="shared" si="42"/>
        <v>-4.9495924353849363E-5</v>
      </c>
      <c r="G145" s="1"/>
      <c r="H145" s="1">
        <f>SUM(OSRRefH22_3x_0)</f>
        <v>-5.34</v>
      </c>
      <c r="I145" s="1"/>
      <c r="J145" s="5">
        <f t="shared" si="43"/>
        <v>-2.2856483455544186E-5</v>
      </c>
      <c r="K145" s="1"/>
      <c r="L145" s="1">
        <f t="shared" si="44"/>
        <v>-19.32</v>
      </c>
      <c r="M145" s="1"/>
      <c r="N145" s="5">
        <f t="shared" si="45"/>
        <v>3.6179775280898876</v>
      </c>
      <c r="O145" s="14"/>
      <c r="P145" s="1">
        <f>SUM(OSRRefP22_3x_0)</f>
        <v>153.06</v>
      </c>
      <c r="Q145" s="1"/>
      <c r="R145" s="5">
        <f t="shared" si="46"/>
        <v>4.1806760124705637E-5</v>
      </c>
      <c r="S145" s="1"/>
      <c r="T145" s="1">
        <f>SUM(OSRRefT22_3x_0)</f>
        <v>45.96</v>
      </c>
      <c r="U145" s="1"/>
      <c r="V145" s="5">
        <f t="shared" si="47"/>
        <v>1.7030960618882879E-5</v>
      </c>
      <c r="W145" s="1"/>
      <c r="X145" s="1">
        <f t="shared" si="48"/>
        <v>107.1</v>
      </c>
      <c r="Y145" s="1"/>
      <c r="Z145" s="5">
        <f t="shared" si="49"/>
        <v>2.3302872062663185</v>
      </c>
    </row>
    <row r="146" spans="1:26" s="24" customFormat="1" hidden="1" outlineLevel="2" x14ac:dyDescent="0.3">
      <c r="A146" s="28"/>
      <c r="B146" s="11" t="str">
        <f>CONCATENATE("          ", "6272", " - ", "CASH (OVER/SHORT)")</f>
        <v xml:space="preserve">          6272 - CASH (OVER/SHORT)</v>
      </c>
      <c r="C146" s="11"/>
      <c r="D146" s="6">
        <v>-24.66</v>
      </c>
      <c r="E146" s="2"/>
      <c r="F146" s="7">
        <f t="shared" si="42"/>
        <v>-4.9495924353849363E-5</v>
      </c>
      <c r="G146" s="2"/>
      <c r="H146" s="6">
        <v>-5.34</v>
      </c>
      <c r="I146" s="2"/>
      <c r="J146" s="7">
        <f t="shared" si="43"/>
        <v>-2.2856483455544186E-5</v>
      </c>
      <c r="K146" s="2"/>
      <c r="L146" s="6">
        <f t="shared" si="44"/>
        <v>-19.32</v>
      </c>
      <c r="M146" s="2"/>
      <c r="N146" s="7">
        <f t="shared" si="45"/>
        <v>3.6179775280898876</v>
      </c>
      <c r="O146" s="11"/>
      <c r="P146" s="6">
        <v>153.06</v>
      </c>
      <c r="Q146" s="2"/>
      <c r="R146" s="7">
        <f t="shared" si="46"/>
        <v>4.1806760124705637E-5</v>
      </c>
      <c r="S146" s="2"/>
      <c r="T146" s="6">
        <v>45.96</v>
      </c>
      <c r="U146" s="2"/>
      <c r="V146" s="7">
        <f t="shared" si="47"/>
        <v>1.7030960618882879E-5</v>
      </c>
      <c r="W146" s="2"/>
      <c r="X146" s="6">
        <f t="shared" si="48"/>
        <v>107.1</v>
      </c>
      <c r="Y146" s="2"/>
      <c r="Z146" s="7">
        <f t="shared" si="49"/>
        <v>2.3302872062663185</v>
      </c>
    </row>
    <row r="147" spans="1:26" s="29" customFormat="1" outlineLevel="1" collapsed="1" x14ac:dyDescent="0.3">
      <c r="A147" s="27"/>
      <c r="B147" s="14" t="str">
        <f>CONCATENATE("     ","Bank/card Fees                                    ")</f>
        <v xml:space="preserve">     Bank/card Fees                                    </v>
      </c>
      <c r="C147" s="14"/>
      <c r="D147" s="1">
        <f>SUM(OSRRefD22_4x_0)</f>
        <v>9159.44</v>
      </c>
      <c r="E147" s="1"/>
      <c r="F147" s="5">
        <f t="shared" si="42"/>
        <v>1.8384223412961153E-2</v>
      </c>
      <c r="G147" s="1"/>
      <c r="H147" s="1">
        <f>SUM(OSRRefH22_4x_0)</f>
        <v>5214.3999999999996</v>
      </c>
      <c r="I147" s="1"/>
      <c r="J147" s="5">
        <f t="shared" si="43"/>
        <v>2.2318885267900674E-2</v>
      </c>
      <c r="K147" s="1"/>
      <c r="L147" s="1">
        <f t="shared" si="44"/>
        <v>3945.0400000000009</v>
      </c>
      <c r="M147" s="1"/>
      <c r="N147" s="5">
        <f t="shared" si="45"/>
        <v>0.75656643142068136</v>
      </c>
      <c r="O147" s="14"/>
      <c r="P147" s="1">
        <f>SUM(OSRRefP22_4x_0)</f>
        <v>67366.59</v>
      </c>
      <c r="Q147" s="1"/>
      <c r="R147" s="5">
        <f t="shared" si="46"/>
        <v>1.840048914510253E-2</v>
      </c>
      <c r="S147" s="1"/>
      <c r="T147" s="1">
        <f>SUM(OSRRefT22_4x_0)</f>
        <v>46796.78</v>
      </c>
      <c r="U147" s="1"/>
      <c r="V147" s="5">
        <f t="shared" si="47"/>
        <v>1.7341038234780805E-2</v>
      </c>
      <c r="W147" s="1"/>
      <c r="X147" s="1">
        <f t="shared" si="48"/>
        <v>20569.809999999998</v>
      </c>
      <c r="Y147" s="1"/>
      <c r="Z147" s="5">
        <f t="shared" si="49"/>
        <v>0.43955609766312975</v>
      </c>
    </row>
    <row r="148" spans="1:26" s="24" customFormat="1" hidden="1" outlineLevel="2" x14ac:dyDescent="0.3">
      <c r="A148" s="28"/>
      <c r="B148" s="11" t="str">
        <f>CONCATENATE("          ", "6381", " - ", "BANK/CREDIT CARD FEES")</f>
        <v xml:space="preserve">          6381 - BANK/CREDIT CARD FEES</v>
      </c>
      <c r="C148" s="11"/>
      <c r="D148" s="6">
        <v>9159.44</v>
      </c>
      <c r="E148" s="2"/>
      <c r="F148" s="7">
        <f t="shared" si="42"/>
        <v>1.8384223412961153E-2</v>
      </c>
      <c r="G148" s="2"/>
      <c r="H148" s="6">
        <v>5214.3999999999996</v>
      </c>
      <c r="I148" s="2"/>
      <c r="J148" s="7">
        <f t="shared" si="43"/>
        <v>2.2318885267900674E-2</v>
      </c>
      <c r="K148" s="2"/>
      <c r="L148" s="6">
        <f t="shared" si="44"/>
        <v>3945.0400000000009</v>
      </c>
      <c r="M148" s="2"/>
      <c r="N148" s="7">
        <f t="shared" si="45"/>
        <v>0.75656643142068136</v>
      </c>
      <c r="O148" s="11"/>
      <c r="P148" s="6">
        <v>67366.59</v>
      </c>
      <c r="Q148" s="2"/>
      <c r="R148" s="7">
        <f t="shared" si="46"/>
        <v>1.840048914510253E-2</v>
      </c>
      <c r="S148" s="2"/>
      <c r="T148" s="6">
        <v>46796.78</v>
      </c>
      <c r="U148" s="2"/>
      <c r="V148" s="7">
        <f t="shared" si="47"/>
        <v>1.7341038234780805E-2</v>
      </c>
      <c r="W148" s="2"/>
      <c r="X148" s="6">
        <f t="shared" si="48"/>
        <v>20569.809999999998</v>
      </c>
      <c r="Y148" s="2"/>
      <c r="Z148" s="7">
        <f t="shared" si="49"/>
        <v>0.43955609766312975</v>
      </c>
    </row>
    <row r="149" spans="1:26" s="29" customFormat="1" outlineLevel="1" collapsed="1" x14ac:dyDescent="0.3">
      <c r="A149" s="27"/>
      <c r="B149" s="14" t="str">
        <f>CONCATENATE("     ","Depreciation                                      ")</f>
        <v xml:space="preserve">     Depreciation                                      </v>
      </c>
      <c r="C149" s="14"/>
      <c r="D149" s="1">
        <f>SUM(OSRRefD22_5x_0)</f>
        <v>30614.839999999997</v>
      </c>
      <c r="E149" s="1"/>
      <c r="F149" s="5">
        <f t="shared" si="42"/>
        <v>6.1448086161605901E-2</v>
      </c>
      <c r="G149" s="1"/>
      <c r="H149" s="1">
        <f>SUM(OSRRefH22_5x_0)</f>
        <v>30735.85</v>
      </c>
      <c r="I149" s="1"/>
      <c r="J149" s="5">
        <f t="shared" si="43"/>
        <v>0.13155682528409882</v>
      </c>
      <c r="K149" s="1"/>
      <c r="L149" s="1">
        <f t="shared" si="44"/>
        <v>-121.01000000000204</v>
      </c>
      <c r="M149" s="1"/>
      <c r="N149" s="5">
        <f t="shared" si="45"/>
        <v>-3.9370962573022075E-3</v>
      </c>
      <c r="O149" s="14"/>
      <c r="P149" s="1">
        <f>SUM(OSRRefP22_5x_0)</f>
        <v>184006.59</v>
      </c>
      <c r="Q149" s="1"/>
      <c r="R149" s="5">
        <f t="shared" si="46"/>
        <v>5.0259501956716704E-2</v>
      </c>
      <c r="S149" s="1"/>
      <c r="T149" s="1">
        <f>SUM(OSRRefT22_5x_0)</f>
        <v>184710.59</v>
      </c>
      <c r="U149" s="1"/>
      <c r="V149" s="5">
        <f t="shared" si="47"/>
        <v>6.844644874196304E-2</v>
      </c>
      <c r="W149" s="1"/>
      <c r="X149" s="1">
        <f t="shared" si="48"/>
        <v>-704</v>
      </c>
      <c r="Y149" s="1"/>
      <c r="Z149" s="5">
        <f t="shared" si="49"/>
        <v>-3.8113678268257385E-3</v>
      </c>
    </row>
    <row r="150" spans="1:26" s="24" customFormat="1" hidden="1" outlineLevel="2" x14ac:dyDescent="0.3">
      <c r="A150" s="28"/>
      <c r="B150" s="11" t="str">
        <f>CONCATENATE("          ", "6321", " - ", "BUILDING DEPRECIATION")</f>
        <v xml:space="preserve">          6321 - BUILDING DEPRECIATION</v>
      </c>
      <c r="C150" s="11"/>
      <c r="D150" s="6">
        <v>16396.509999999998</v>
      </c>
      <c r="E150" s="2"/>
      <c r="F150" s="7">
        <f t="shared" si="42"/>
        <v>3.2909992645058173E-2</v>
      </c>
      <c r="G150" s="2"/>
      <c r="H150" s="6">
        <v>16396.52</v>
      </c>
      <c r="I150" s="2"/>
      <c r="J150" s="7">
        <f t="shared" si="43"/>
        <v>7.0181046462265806E-2</v>
      </c>
      <c r="K150" s="2"/>
      <c r="L150" s="6">
        <f t="shared" si="44"/>
        <v>-1.0000000002037268E-2</v>
      </c>
      <c r="M150" s="2"/>
      <c r="N150" s="7">
        <f t="shared" si="45"/>
        <v>-6.0988551241588263E-7</v>
      </c>
      <c r="O150" s="11"/>
      <c r="P150" s="6">
        <v>98379.11</v>
      </c>
      <c r="Q150" s="2"/>
      <c r="R150" s="7">
        <f t="shared" si="46"/>
        <v>2.6871239076519206E-2</v>
      </c>
      <c r="S150" s="2"/>
      <c r="T150" s="6">
        <v>98379.12</v>
      </c>
      <c r="U150" s="2"/>
      <c r="V150" s="7">
        <f t="shared" si="47"/>
        <v>3.6455415979990267E-2</v>
      </c>
      <c r="W150" s="2"/>
      <c r="X150" s="6">
        <f t="shared" si="48"/>
        <v>-9.9999999947613105E-3</v>
      </c>
      <c r="Y150" s="2"/>
      <c r="Z150" s="7">
        <f t="shared" si="49"/>
        <v>-1.0164758532868875E-7</v>
      </c>
    </row>
    <row r="151" spans="1:26" s="24" customFormat="1" hidden="1" outlineLevel="2" x14ac:dyDescent="0.3">
      <c r="A151" s="28"/>
      <c r="B151" s="11" t="str">
        <f>CONCATENATE("          ", "6322", " - ", "EQUIPMENT DEPRECIATION EXPENSE")</f>
        <v xml:space="preserve">          6322 - EQUIPMENT DEPRECIATION EXPENSE</v>
      </c>
      <c r="C151" s="11"/>
      <c r="D151" s="6">
        <v>14218.33</v>
      </c>
      <c r="E151" s="2"/>
      <c r="F151" s="7">
        <f t="shared" si="42"/>
        <v>2.8538093516547732E-2</v>
      </c>
      <c r="G151" s="2"/>
      <c r="H151" s="6">
        <v>14339.33</v>
      </c>
      <c r="I151" s="2"/>
      <c r="J151" s="7">
        <f t="shared" si="43"/>
        <v>6.1375778821833038E-2</v>
      </c>
      <c r="K151" s="2"/>
      <c r="L151" s="6">
        <f t="shared" si="44"/>
        <v>-121</v>
      </c>
      <c r="M151" s="2"/>
      <c r="N151" s="7">
        <f t="shared" si="45"/>
        <v>-8.4383301032893449E-3</v>
      </c>
      <c r="O151" s="11"/>
      <c r="P151" s="6">
        <v>85627.48</v>
      </c>
      <c r="Q151" s="2"/>
      <c r="R151" s="7">
        <f t="shared" si="46"/>
        <v>2.3388262880197498E-2</v>
      </c>
      <c r="S151" s="2"/>
      <c r="T151" s="6">
        <v>86331.47</v>
      </c>
      <c r="U151" s="2"/>
      <c r="V151" s="7">
        <f t="shared" si="47"/>
        <v>3.1991032761972772E-2</v>
      </c>
      <c r="W151" s="2"/>
      <c r="X151" s="6">
        <f t="shared" si="48"/>
        <v>-703.99000000000524</v>
      </c>
      <c r="Y151" s="2"/>
      <c r="Z151" s="7">
        <f t="shared" si="49"/>
        <v>-8.1545003229993099E-3</v>
      </c>
    </row>
    <row r="152" spans="1:26" s="29" customFormat="1" outlineLevel="1" collapsed="1" x14ac:dyDescent="0.3">
      <c r="A152" s="27"/>
      <c r="B152" s="14" t="str">
        <f>CONCATENATE("     ","Discounts and Markdowns                           ")</f>
        <v xml:space="preserve">     Discounts and Markdowns                           </v>
      </c>
      <c r="C152" s="14"/>
      <c r="D152" s="1">
        <f>SUM(OSRRefD22_6x_0)</f>
        <v>11.17</v>
      </c>
      <c r="E152" s="1"/>
      <c r="F152" s="5">
        <f t="shared" ref="F152:F154" si="50">IF(D$12=0,0,D152/D$12)</f>
        <v>2.2419686740977185E-5</v>
      </c>
      <c r="G152" s="1"/>
      <c r="H152" s="1">
        <f>SUM(OSRRefH22_6x_0)</f>
        <v>0</v>
      </c>
      <c r="I152" s="1"/>
      <c r="J152" s="5">
        <f t="shared" ref="J152:J154" si="51">IF(H$12=0,0,H152/H$12)</f>
        <v>0</v>
      </c>
      <c r="K152" s="1"/>
      <c r="L152" s="1">
        <f t="shared" ref="L152:L154" si="52">+D152-H152</f>
        <v>11.17</v>
      </c>
      <c r="M152" s="1"/>
      <c r="N152" s="5">
        <f t="shared" ref="N152:N154" si="53">IF(H152=0,0,L152/H152)</f>
        <v>0</v>
      </c>
      <c r="O152" s="14"/>
      <c r="P152" s="1">
        <f>SUM(OSRRefP22_6x_0)</f>
        <v>3354.8</v>
      </c>
      <c r="Q152" s="1"/>
      <c r="R152" s="5">
        <f t="shared" ref="R152:R154" si="54">IF(P$12=0,0,P152/P$12)</f>
        <v>9.1632901389234595E-4</v>
      </c>
      <c r="S152" s="1"/>
      <c r="T152" s="1">
        <f>SUM(OSRRefT22_6x_0)</f>
        <v>0</v>
      </c>
      <c r="U152" s="1"/>
      <c r="V152" s="5">
        <f t="shared" ref="V152:V154" si="55">IF(T$12=0,0,T152/T$12)</f>
        <v>0</v>
      </c>
      <c r="W152" s="1"/>
      <c r="X152" s="1">
        <f t="shared" ref="X152:X154" si="56">+P152-T152</f>
        <v>3354.8</v>
      </c>
      <c r="Y152" s="1"/>
      <c r="Z152" s="5">
        <f t="shared" ref="Z152:Z154" si="57">IF(T152=0,0,X152/T152)</f>
        <v>0</v>
      </c>
    </row>
    <row r="153" spans="1:26" s="24" customFormat="1" hidden="1" outlineLevel="2" x14ac:dyDescent="0.3">
      <c r="A153" s="28"/>
      <c r="B153" s="11" t="str">
        <f>CONCATENATE("          ", "6382", " - ", "DISCOUNTS/MARK DOWNS")</f>
        <v xml:space="preserve">          6382 - DISCOUNTS/MARK DOWNS</v>
      </c>
      <c r="C153" s="11"/>
      <c r="D153" s="6"/>
      <c r="E153" s="2"/>
      <c r="F153" s="7">
        <f t="shared" si="50"/>
        <v>0</v>
      </c>
      <c r="G153" s="2"/>
      <c r="H153" s="6">
        <v>0</v>
      </c>
      <c r="I153" s="2"/>
      <c r="J153" s="7">
        <f t="shared" si="51"/>
        <v>0</v>
      </c>
      <c r="K153" s="2"/>
      <c r="L153" s="6">
        <f t="shared" si="52"/>
        <v>0</v>
      </c>
      <c r="M153" s="2"/>
      <c r="N153" s="7">
        <f t="shared" si="53"/>
        <v>0</v>
      </c>
      <c r="O153" s="11"/>
      <c r="P153" s="6">
        <v>3410</v>
      </c>
      <c r="Q153" s="2"/>
      <c r="R153" s="7">
        <f t="shared" si="54"/>
        <v>9.3140632448220453E-4</v>
      </c>
      <c r="S153" s="2"/>
      <c r="T153" s="6">
        <v>0</v>
      </c>
      <c r="U153" s="2"/>
      <c r="V153" s="7">
        <f t="shared" si="55"/>
        <v>0</v>
      </c>
      <c r="W153" s="2"/>
      <c r="X153" s="6">
        <f t="shared" si="56"/>
        <v>3410</v>
      </c>
      <c r="Y153" s="2"/>
      <c r="Z153" s="7">
        <f t="shared" si="57"/>
        <v>0</v>
      </c>
    </row>
    <row r="154" spans="1:26" s="24" customFormat="1" hidden="1" outlineLevel="2" x14ac:dyDescent="0.3">
      <c r="A154" s="28"/>
      <c r="B154" s="11" t="str">
        <f>CONCATENATE("          ", "9175", " - ", "EARNED DISCOUNTS")</f>
        <v xml:space="preserve">          9175 - EARNED DISCOUNTS</v>
      </c>
      <c r="C154" s="11"/>
      <c r="D154" s="6">
        <v>11.17</v>
      </c>
      <c r="E154" s="2"/>
      <c r="F154" s="7">
        <f t="shared" si="50"/>
        <v>2.2419686740977185E-5</v>
      </c>
      <c r="G154" s="2"/>
      <c r="H154" s="6"/>
      <c r="I154" s="2"/>
      <c r="J154" s="7">
        <f t="shared" si="51"/>
        <v>0</v>
      </c>
      <c r="K154" s="2"/>
      <c r="L154" s="6">
        <f t="shared" si="52"/>
        <v>11.17</v>
      </c>
      <c r="M154" s="2"/>
      <c r="N154" s="7">
        <f t="shared" si="53"/>
        <v>0</v>
      </c>
      <c r="O154" s="11"/>
      <c r="P154" s="6">
        <v>-55.2</v>
      </c>
      <c r="Q154" s="2"/>
      <c r="R154" s="7">
        <f t="shared" si="54"/>
        <v>-1.507731058985856E-5</v>
      </c>
      <c r="S154" s="2"/>
      <c r="T154" s="6">
        <v>0</v>
      </c>
      <c r="U154" s="2"/>
      <c r="V154" s="7">
        <f t="shared" si="55"/>
        <v>0</v>
      </c>
      <c r="W154" s="2"/>
      <c r="X154" s="6">
        <f t="shared" si="56"/>
        <v>-55.2</v>
      </c>
      <c r="Y154" s="2"/>
      <c r="Z154" s="7">
        <f t="shared" si="57"/>
        <v>0</v>
      </c>
    </row>
    <row r="155" spans="1:26" s="29" customFormat="1" outlineLevel="1" collapsed="1" x14ac:dyDescent="0.3">
      <c r="A155" s="27"/>
      <c r="B155" s="14" t="str">
        <f>CONCATENATE("     ","Donations                                         ")</f>
        <v xml:space="preserve">     Donations                                         </v>
      </c>
      <c r="C155" s="14"/>
      <c r="D155" s="1">
        <f>SUM(OSRRefD22_7x_0)</f>
        <v>0</v>
      </c>
      <c r="E155" s="1"/>
      <c r="F155" s="5">
        <f t="shared" ref="F155:F163" si="58">IF(D$12=0,0,D155/D$12)</f>
        <v>0</v>
      </c>
      <c r="G155" s="1"/>
      <c r="H155" s="1">
        <f>SUM(OSRRefH22_7x_0)</f>
        <v>0</v>
      </c>
      <c r="I155" s="1"/>
      <c r="J155" s="5">
        <f t="shared" ref="J155:J163" si="59">IF(H$12=0,0,H155/H$12)</f>
        <v>0</v>
      </c>
      <c r="K155" s="1"/>
      <c r="L155" s="1">
        <f t="shared" ref="L155:L163" si="60">+D155-H155</f>
        <v>0</v>
      </c>
      <c r="M155" s="1"/>
      <c r="N155" s="5">
        <f t="shared" ref="N155:N163" si="61">IF(H155=0,0,L155/H155)</f>
        <v>0</v>
      </c>
      <c r="O155" s="14"/>
      <c r="P155" s="1">
        <f>SUM(OSRRefP22_7x_0)</f>
        <v>2820.22</v>
      </c>
      <c r="Q155" s="1"/>
      <c r="R155" s="5">
        <f t="shared" ref="R155:R163" si="62">IF(P$12=0,0,P155/P$12)</f>
        <v>7.7031400129947292E-4</v>
      </c>
      <c r="S155" s="1"/>
      <c r="T155" s="1">
        <f>SUM(OSRRefT22_7x_0)</f>
        <v>0</v>
      </c>
      <c r="U155" s="1"/>
      <c r="V155" s="5">
        <f t="shared" ref="V155:V163" si="63">IF(T$12=0,0,T155/T$12)</f>
        <v>0</v>
      </c>
      <c r="W155" s="1"/>
      <c r="X155" s="1">
        <f t="shared" ref="X155:X163" si="64">+P155-T155</f>
        <v>2820.22</v>
      </c>
      <c r="Y155" s="1"/>
      <c r="Z155" s="5">
        <f t="shared" ref="Z155:Z163" si="65">IF(T155=0,0,X155/T155)</f>
        <v>0</v>
      </c>
    </row>
    <row r="156" spans="1:26" s="24" customFormat="1" hidden="1" outlineLevel="2" x14ac:dyDescent="0.3">
      <c r="A156" s="28"/>
      <c r="B156" s="11" t="str">
        <f>CONCATENATE("          ", "6399", " - ", "DONATION-ON CAMPUS")</f>
        <v xml:space="preserve">          6399 - DONATION-ON CAMPUS</v>
      </c>
      <c r="C156" s="11"/>
      <c r="D156" s="6"/>
      <c r="E156" s="2"/>
      <c r="F156" s="7">
        <f t="shared" si="58"/>
        <v>0</v>
      </c>
      <c r="G156" s="2"/>
      <c r="H156" s="6"/>
      <c r="I156" s="2"/>
      <c r="J156" s="7">
        <f t="shared" si="59"/>
        <v>0</v>
      </c>
      <c r="K156" s="2"/>
      <c r="L156" s="6">
        <f t="shared" si="60"/>
        <v>0</v>
      </c>
      <c r="M156" s="2"/>
      <c r="N156" s="7">
        <f t="shared" si="61"/>
        <v>0</v>
      </c>
      <c r="O156" s="11"/>
      <c r="P156" s="6">
        <v>2820.22</v>
      </c>
      <c r="Q156" s="2"/>
      <c r="R156" s="7">
        <f t="shared" si="62"/>
        <v>7.7031400129947292E-4</v>
      </c>
      <c r="S156" s="2"/>
      <c r="T156" s="6"/>
      <c r="U156" s="2"/>
      <c r="V156" s="7">
        <f t="shared" si="63"/>
        <v>0</v>
      </c>
      <c r="W156" s="2"/>
      <c r="X156" s="6">
        <f t="shared" si="64"/>
        <v>2820.22</v>
      </c>
      <c r="Y156" s="2"/>
      <c r="Z156" s="7">
        <f t="shared" si="65"/>
        <v>0</v>
      </c>
    </row>
    <row r="157" spans="1:26" s="29" customFormat="1" outlineLevel="1" collapsed="1" x14ac:dyDescent="0.3">
      <c r="A157" s="27"/>
      <c r="B157" s="14" t="str">
        <f>CONCATENATE("     ","Employees' Appreciation                           ")</f>
        <v xml:space="preserve">     Employees' Appreciation                           </v>
      </c>
      <c r="C157" s="14"/>
      <c r="D157" s="1">
        <f>SUM(OSRRefD22_8x_0)</f>
        <v>949.16</v>
      </c>
      <c r="E157" s="1"/>
      <c r="F157" s="5">
        <f t="shared" si="58"/>
        <v>1.9050913041240738E-3</v>
      </c>
      <c r="G157" s="1"/>
      <c r="H157" s="1">
        <f>SUM(OSRRefH22_8x_0)</f>
        <v>0</v>
      </c>
      <c r="I157" s="1"/>
      <c r="J157" s="5">
        <f t="shared" si="59"/>
        <v>0</v>
      </c>
      <c r="K157" s="1"/>
      <c r="L157" s="1">
        <f t="shared" si="60"/>
        <v>949.16</v>
      </c>
      <c r="M157" s="1"/>
      <c r="N157" s="5">
        <f t="shared" si="61"/>
        <v>0</v>
      </c>
      <c r="O157" s="14"/>
      <c r="P157" s="1">
        <f>SUM(OSRRefP22_8x_0)</f>
        <v>2823.81</v>
      </c>
      <c r="Q157" s="1"/>
      <c r="R157" s="5">
        <f t="shared" si="62"/>
        <v>7.7129457276718292E-4</v>
      </c>
      <c r="S157" s="1"/>
      <c r="T157" s="1">
        <f>SUM(OSRRefT22_8x_0)</f>
        <v>107.7</v>
      </c>
      <c r="U157" s="1"/>
      <c r="V157" s="5">
        <f t="shared" si="63"/>
        <v>3.9909365941115884E-5</v>
      </c>
      <c r="W157" s="1"/>
      <c r="X157" s="1">
        <f t="shared" si="64"/>
        <v>2716.11</v>
      </c>
      <c r="Y157" s="1"/>
      <c r="Z157" s="5">
        <f t="shared" si="65"/>
        <v>25.219220055710306</v>
      </c>
    </row>
    <row r="158" spans="1:26" s="24" customFormat="1" hidden="1" outlineLevel="2" x14ac:dyDescent="0.3">
      <c r="A158" s="28"/>
      <c r="B158" s="11" t="str">
        <f>CONCATENATE("          ", "6277", " - ", "EMPLOYEE APPRECIATION")</f>
        <v xml:space="preserve">          6277 - EMPLOYEE APPRECIATION</v>
      </c>
      <c r="C158" s="11"/>
      <c r="D158" s="6">
        <v>949.16</v>
      </c>
      <c r="E158" s="2"/>
      <c r="F158" s="7">
        <f t="shared" si="58"/>
        <v>1.9050913041240738E-3</v>
      </c>
      <c r="G158" s="2"/>
      <c r="H158" s="6"/>
      <c r="I158" s="2"/>
      <c r="J158" s="7">
        <f t="shared" si="59"/>
        <v>0</v>
      </c>
      <c r="K158" s="2"/>
      <c r="L158" s="6">
        <f t="shared" si="60"/>
        <v>949.16</v>
      </c>
      <c r="M158" s="2"/>
      <c r="N158" s="7">
        <f t="shared" si="61"/>
        <v>0</v>
      </c>
      <c r="O158" s="11"/>
      <c r="P158" s="6">
        <v>2823.81</v>
      </c>
      <c r="Q158" s="2"/>
      <c r="R158" s="7">
        <f t="shared" si="62"/>
        <v>7.7129457276718292E-4</v>
      </c>
      <c r="S158" s="2"/>
      <c r="T158" s="6">
        <v>107.7</v>
      </c>
      <c r="U158" s="2"/>
      <c r="V158" s="7">
        <f t="shared" si="63"/>
        <v>3.9909365941115884E-5</v>
      </c>
      <c r="W158" s="2"/>
      <c r="X158" s="6">
        <f t="shared" si="64"/>
        <v>2716.11</v>
      </c>
      <c r="Y158" s="2"/>
      <c r="Z158" s="7">
        <f t="shared" si="65"/>
        <v>25.219220055710306</v>
      </c>
    </row>
    <row r="159" spans="1:26" s="29" customFormat="1" outlineLevel="1" collapsed="1" x14ac:dyDescent="0.3">
      <c r="A159" s="27"/>
      <c r="B159" s="14" t="str">
        <f>CONCATENATE("     ","Equipment Rental                                  ")</f>
        <v xml:space="preserve">     Equipment Rental                                  </v>
      </c>
      <c r="C159" s="14"/>
      <c r="D159" s="1">
        <f>SUM(OSRRefD22_9x_0)</f>
        <v>1507.07</v>
      </c>
      <c r="E159" s="1"/>
      <c r="F159" s="5">
        <f t="shared" si="58"/>
        <v>3.0248914321149944E-3</v>
      </c>
      <c r="G159" s="1"/>
      <c r="H159" s="1">
        <f>SUM(OSRRefH22_9x_0)</f>
        <v>1296.9000000000001</v>
      </c>
      <c r="I159" s="1"/>
      <c r="J159" s="5">
        <f t="shared" si="59"/>
        <v>5.5510437066470519E-3</v>
      </c>
      <c r="K159" s="1"/>
      <c r="L159" s="1">
        <f t="shared" si="60"/>
        <v>210.16999999999985</v>
      </c>
      <c r="M159" s="1"/>
      <c r="N159" s="5">
        <f t="shared" si="61"/>
        <v>0.16205567121597642</v>
      </c>
      <c r="O159" s="14"/>
      <c r="P159" s="1">
        <f>SUM(OSRRefP22_9x_0)</f>
        <v>9830.52</v>
      </c>
      <c r="Q159" s="1"/>
      <c r="R159" s="5">
        <f t="shared" si="62"/>
        <v>2.6851051322430504E-3</v>
      </c>
      <c r="S159" s="1"/>
      <c r="T159" s="1">
        <f>SUM(OSRRefT22_9x_0)</f>
        <v>8976.74</v>
      </c>
      <c r="U159" s="1"/>
      <c r="V159" s="5">
        <f t="shared" si="63"/>
        <v>3.3264252703644622E-3</v>
      </c>
      <c r="W159" s="1"/>
      <c r="X159" s="1">
        <f t="shared" si="64"/>
        <v>853.78000000000065</v>
      </c>
      <c r="Y159" s="1"/>
      <c r="Z159" s="5">
        <f t="shared" si="65"/>
        <v>9.511025160581689E-2</v>
      </c>
    </row>
    <row r="160" spans="1:26" s="24" customFormat="1" hidden="1" outlineLevel="2" x14ac:dyDescent="0.3">
      <c r="A160" s="28"/>
      <c r="B160" s="11" t="str">
        <f>CONCATENATE("          ", "6351", " - ", "EQUIPMENT RENTAL")</f>
        <v xml:space="preserve">          6351 - EQUIPMENT RENTAL</v>
      </c>
      <c r="C160" s="11"/>
      <c r="D160" s="6">
        <v>1507.07</v>
      </c>
      <c r="E160" s="2"/>
      <c r="F160" s="7">
        <f t="shared" si="58"/>
        <v>3.0248914321149944E-3</v>
      </c>
      <c r="G160" s="2"/>
      <c r="H160" s="6">
        <v>1296.9000000000001</v>
      </c>
      <c r="I160" s="2"/>
      <c r="J160" s="7">
        <f t="shared" si="59"/>
        <v>5.5510437066470519E-3</v>
      </c>
      <c r="K160" s="2"/>
      <c r="L160" s="6">
        <f t="shared" si="60"/>
        <v>210.16999999999985</v>
      </c>
      <c r="M160" s="2"/>
      <c r="N160" s="7">
        <f t="shared" si="61"/>
        <v>0.16205567121597642</v>
      </c>
      <c r="O160" s="11"/>
      <c r="P160" s="6">
        <v>9830.52</v>
      </c>
      <c r="Q160" s="2"/>
      <c r="R160" s="7">
        <f t="shared" si="62"/>
        <v>2.6851051322430504E-3</v>
      </c>
      <c r="S160" s="2"/>
      <c r="T160" s="6">
        <v>8976.74</v>
      </c>
      <c r="U160" s="2"/>
      <c r="V160" s="7">
        <f t="shared" si="63"/>
        <v>3.3264252703644622E-3</v>
      </c>
      <c r="W160" s="2"/>
      <c r="X160" s="6">
        <f t="shared" si="64"/>
        <v>853.78000000000065</v>
      </c>
      <c r="Y160" s="2"/>
      <c r="Z160" s="7">
        <f t="shared" si="65"/>
        <v>9.511025160581689E-2</v>
      </c>
    </row>
    <row r="161" spans="1:26" s="29" customFormat="1" outlineLevel="1" collapsed="1" x14ac:dyDescent="0.3">
      <c r="A161" s="27"/>
      <c r="B161" s="14" t="str">
        <f>CONCATENATE("     ","Freight out/Postage                               ")</f>
        <v xml:space="preserve">     Freight out/Postage                               </v>
      </c>
      <c r="C161" s="14"/>
      <c r="D161" s="1">
        <f>SUM(OSRRefD22_10x_0)</f>
        <v>-2180.9800000000014</v>
      </c>
      <c r="E161" s="1"/>
      <c r="F161" s="5">
        <f t="shared" si="58"/>
        <v>-4.3775191037006677E-3</v>
      </c>
      <c r="G161" s="1"/>
      <c r="H161" s="1">
        <f>SUM(OSRRefH22_10x_0)</f>
        <v>4305.92</v>
      </c>
      <c r="I161" s="1"/>
      <c r="J161" s="5">
        <f t="shared" si="59"/>
        <v>1.8430372517021877E-2</v>
      </c>
      <c r="K161" s="1"/>
      <c r="L161" s="1">
        <f t="shared" si="60"/>
        <v>-6486.9000000000015</v>
      </c>
      <c r="M161" s="1"/>
      <c r="N161" s="5">
        <f t="shared" si="61"/>
        <v>-1.5065073201545782</v>
      </c>
      <c r="O161" s="14"/>
      <c r="P161" s="1">
        <f>SUM(OSRRefP22_10x_0)</f>
        <v>-32167.210000000006</v>
      </c>
      <c r="Q161" s="1"/>
      <c r="R161" s="5">
        <f t="shared" si="62"/>
        <v>-8.7861415938261644E-3</v>
      </c>
      <c r="S161" s="1"/>
      <c r="T161" s="1">
        <f>SUM(OSRRefT22_10x_0)</f>
        <v>-15048.86</v>
      </c>
      <c r="U161" s="1"/>
      <c r="V161" s="5">
        <f t="shared" si="63"/>
        <v>-5.5765130987615709E-3</v>
      </c>
      <c r="W161" s="1"/>
      <c r="X161" s="1">
        <f t="shared" si="64"/>
        <v>-17118.350000000006</v>
      </c>
      <c r="Y161" s="1"/>
      <c r="Z161" s="5">
        <f t="shared" si="65"/>
        <v>1.1375180578462425</v>
      </c>
    </row>
    <row r="162" spans="1:26" s="24" customFormat="1" hidden="1" outlineLevel="2" x14ac:dyDescent="0.3">
      <c r="A162" s="28"/>
      <c r="B162" s="11" t="str">
        <f>CONCATENATE("          ", "6305", " - ", "FREIGHT OUT")</f>
        <v xml:space="preserve">          6305 - FREIGHT OUT</v>
      </c>
      <c r="C162" s="11"/>
      <c r="D162" s="6">
        <v>12270.64</v>
      </c>
      <c r="E162" s="2"/>
      <c r="F162" s="7">
        <f t="shared" si="58"/>
        <v>2.4628818702892057E-2</v>
      </c>
      <c r="G162" s="2"/>
      <c r="H162" s="6">
        <v>13712.49</v>
      </c>
      <c r="I162" s="2"/>
      <c r="J162" s="7">
        <f t="shared" si="59"/>
        <v>5.8692752962418555E-2</v>
      </c>
      <c r="K162" s="2"/>
      <c r="L162" s="6">
        <f t="shared" si="60"/>
        <v>-1441.8500000000004</v>
      </c>
      <c r="M162" s="2"/>
      <c r="N162" s="7">
        <f t="shared" si="61"/>
        <v>-0.10514866373649136</v>
      </c>
      <c r="O162" s="11"/>
      <c r="P162" s="6">
        <v>78099.259999999995</v>
      </c>
      <c r="Q162" s="2"/>
      <c r="R162" s="7">
        <f t="shared" si="62"/>
        <v>2.1332007243806465E-2</v>
      </c>
      <c r="S162" s="2"/>
      <c r="T162" s="6">
        <v>116773.51</v>
      </c>
      <c r="U162" s="2"/>
      <c r="V162" s="7">
        <f t="shared" si="63"/>
        <v>4.327165035114721E-2</v>
      </c>
      <c r="W162" s="2"/>
      <c r="X162" s="6">
        <f t="shared" si="64"/>
        <v>-38674.25</v>
      </c>
      <c r="Y162" s="2"/>
      <c r="Z162" s="7">
        <f t="shared" si="65"/>
        <v>-0.33119026738170326</v>
      </c>
    </row>
    <row r="163" spans="1:26" s="24" customFormat="1" hidden="1" outlineLevel="2" x14ac:dyDescent="0.3">
      <c r="A163" s="28"/>
      <c r="B163" s="11" t="str">
        <f>CONCATENATE("          ", "6307", " - ", "POSTAGE")</f>
        <v xml:space="preserve">          6307 - POSTAGE</v>
      </c>
      <c r="C163" s="11"/>
      <c r="D163" s="6">
        <v>-14451.62</v>
      </c>
      <c r="E163" s="2"/>
      <c r="F163" s="7">
        <f t="shared" si="58"/>
        <v>-2.9006337806592727E-2</v>
      </c>
      <c r="G163" s="2"/>
      <c r="H163" s="6">
        <v>-9406.57</v>
      </c>
      <c r="I163" s="2"/>
      <c r="J163" s="7">
        <f t="shared" si="59"/>
        <v>-4.0262380445396678E-2</v>
      </c>
      <c r="K163" s="2"/>
      <c r="L163" s="6">
        <f t="shared" si="60"/>
        <v>-5045.0500000000011</v>
      </c>
      <c r="M163" s="2"/>
      <c r="N163" s="7">
        <f t="shared" si="61"/>
        <v>0.53633258456589394</v>
      </c>
      <c r="O163" s="11"/>
      <c r="P163" s="6">
        <v>-110266.47</v>
      </c>
      <c r="Q163" s="2"/>
      <c r="R163" s="7">
        <f t="shared" si="62"/>
        <v>-3.0118148837632631E-2</v>
      </c>
      <c r="S163" s="2"/>
      <c r="T163" s="6">
        <v>-131822.37</v>
      </c>
      <c r="U163" s="2"/>
      <c r="V163" s="7">
        <f t="shared" si="63"/>
        <v>-4.8848163449908784E-2</v>
      </c>
      <c r="W163" s="2"/>
      <c r="X163" s="6">
        <f t="shared" si="64"/>
        <v>21555.899999999994</v>
      </c>
      <c r="Y163" s="2"/>
      <c r="Z163" s="7">
        <f t="shared" si="65"/>
        <v>-0.16352232174250847</v>
      </c>
    </row>
    <row r="164" spans="1:26" s="29" customFormat="1" outlineLevel="1" collapsed="1" x14ac:dyDescent="0.3">
      <c r="A164" s="27"/>
      <c r="B164" s="14" t="str">
        <f>CONCATENATE("     ","General                                           ")</f>
        <v xml:space="preserve">     General                                           </v>
      </c>
      <c r="C164" s="14"/>
      <c r="D164" s="1">
        <f>SUM(OSRRefD22_11x_0)</f>
        <v>1002</v>
      </c>
      <c r="E164" s="1"/>
      <c r="F164" s="5">
        <f t="shared" ref="F164:F170" si="66">IF(D$12=0,0,D164/D$12)</f>
        <v>2.0111482644994756E-3</v>
      </c>
      <c r="G164" s="1"/>
      <c r="H164" s="1">
        <f>SUM(OSRRefH22_11x_0)</f>
        <v>1744.47</v>
      </c>
      <c r="I164" s="1"/>
      <c r="J164" s="5">
        <f t="shared" ref="J164:J170" si="67">IF(H$12=0,0,H164/H$12)</f>
        <v>7.4667508789687583E-3</v>
      </c>
      <c r="K164" s="1"/>
      <c r="L164" s="1">
        <f t="shared" ref="L164:L170" si="68">+D164-H164</f>
        <v>-742.47</v>
      </c>
      <c r="M164" s="1"/>
      <c r="N164" s="5">
        <f t="shared" ref="N164:N170" si="69">IF(H164=0,0,L164/H164)</f>
        <v>-0.42561351012055237</v>
      </c>
      <c r="O164" s="14"/>
      <c r="P164" s="1">
        <f>SUM(OSRRefP22_11x_0)</f>
        <v>4331.1899999999996</v>
      </c>
      <c r="Q164" s="1"/>
      <c r="R164" s="5">
        <f t="shared" ref="R164:R170" si="70">IF(P$12=0,0,P164/P$12)</f>
        <v>1.183019870537853E-3</v>
      </c>
      <c r="S164" s="1"/>
      <c r="T164" s="1">
        <f>SUM(OSRRefT22_11x_0)</f>
        <v>2290.37</v>
      </c>
      <c r="U164" s="1"/>
      <c r="V164" s="5">
        <f t="shared" ref="V164:V170" si="71">IF(T$12=0,0,T164/T$12)</f>
        <v>8.4872065432268877E-4</v>
      </c>
      <c r="W164" s="1"/>
      <c r="X164" s="1">
        <f t="shared" ref="X164:X170" si="72">+P164-T164</f>
        <v>2040.8199999999997</v>
      </c>
      <c r="Y164" s="1"/>
      <c r="Z164" s="5">
        <f t="shared" ref="Z164:Z170" si="73">IF(T164=0,0,X164/T164)</f>
        <v>0.8910438051493863</v>
      </c>
    </row>
    <row r="165" spans="1:26" s="24" customFormat="1" hidden="1" outlineLevel="2" x14ac:dyDescent="0.3">
      <c r="A165" s="28"/>
      <c r="B165" s="11" t="str">
        <f>CONCATENATE("          ", "6279", " - ", "GENERAL EXPENSE")</f>
        <v xml:space="preserve">          6279 - GENERAL EXPENSE</v>
      </c>
      <c r="C165" s="11"/>
      <c r="D165" s="6">
        <v>1002</v>
      </c>
      <c r="E165" s="2"/>
      <c r="F165" s="7">
        <f t="shared" si="66"/>
        <v>2.0111482644994756E-3</v>
      </c>
      <c r="G165" s="2"/>
      <c r="H165" s="6">
        <v>1744.47</v>
      </c>
      <c r="I165" s="2"/>
      <c r="J165" s="7">
        <f t="shared" si="67"/>
        <v>7.4667508789687583E-3</v>
      </c>
      <c r="K165" s="2"/>
      <c r="L165" s="6">
        <f t="shared" si="68"/>
        <v>-742.47</v>
      </c>
      <c r="M165" s="2"/>
      <c r="N165" s="7">
        <f t="shared" si="69"/>
        <v>-0.42561351012055237</v>
      </c>
      <c r="O165" s="11"/>
      <c r="P165" s="6">
        <v>4331.1899999999996</v>
      </c>
      <c r="Q165" s="2"/>
      <c r="R165" s="7">
        <f t="shared" si="70"/>
        <v>1.183019870537853E-3</v>
      </c>
      <c r="S165" s="2"/>
      <c r="T165" s="6">
        <v>2290.37</v>
      </c>
      <c r="U165" s="2"/>
      <c r="V165" s="7">
        <f t="shared" si="71"/>
        <v>8.4872065432268877E-4</v>
      </c>
      <c r="W165" s="2"/>
      <c r="X165" s="6">
        <f t="shared" si="72"/>
        <v>2040.8199999999997</v>
      </c>
      <c r="Y165" s="2"/>
      <c r="Z165" s="7">
        <f t="shared" si="73"/>
        <v>0.8910438051493863</v>
      </c>
    </row>
    <row r="166" spans="1:26" s="29" customFormat="1" outlineLevel="1" collapsed="1" x14ac:dyDescent="0.3">
      <c r="A166" s="27"/>
      <c r="B166" s="14" t="str">
        <f>CONCATENATE("     ","Insurance                                         ")</f>
        <v xml:space="preserve">     Insurance                                         </v>
      </c>
      <c r="C166" s="14"/>
      <c r="D166" s="1">
        <f>SUM(OSRRefD22_12x_0)</f>
        <v>5494.57</v>
      </c>
      <c r="E166" s="1"/>
      <c r="F166" s="5">
        <f t="shared" si="66"/>
        <v>1.1028338243184513E-2</v>
      </c>
      <c r="G166" s="1"/>
      <c r="H166" s="1">
        <f>SUM(OSRRefH22_12x_0)</f>
        <v>4044.74</v>
      </c>
      <c r="I166" s="1"/>
      <c r="J166" s="5">
        <f t="shared" si="67"/>
        <v>1.7312459343067001E-2</v>
      </c>
      <c r="K166" s="1"/>
      <c r="L166" s="1">
        <f t="shared" si="68"/>
        <v>1449.83</v>
      </c>
      <c r="M166" s="1"/>
      <c r="N166" s="5">
        <f t="shared" si="69"/>
        <v>0.35844825625380122</v>
      </c>
      <c r="O166" s="14"/>
      <c r="P166" s="1">
        <f>SUM(OSRRefP22_12x_0)</f>
        <v>32967.42</v>
      </c>
      <c r="Q166" s="1"/>
      <c r="R166" s="5">
        <f t="shared" si="70"/>
        <v>9.0047107008390369E-3</v>
      </c>
      <c r="S166" s="1"/>
      <c r="T166" s="1">
        <f>SUM(OSRRefT22_12x_0)</f>
        <v>24268.44</v>
      </c>
      <c r="U166" s="1"/>
      <c r="V166" s="5">
        <f t="shared" si="71"/>
        <v>8.9929252811514777E-3</v>
      </c>
      <c r="W166" s="1"/>
      <c r="X166" s="1">
        <f t="shared" si="72"/>
        <v>8698.98</v>
      </c>
      <c r="Y166" s="1"/>
      <c r="Z166" s="5">
        <f t="shared" si="73"/>
        <v>0.35844825625380122</v>
      </c>
    </row>
    <row r="167" spans="1:26" s="24" customFormat="1" hidden="1" outlineLevel="2" x14ac:dyDescent="0.3">
      <c r="A167" s="28"/>
      <c r="B167" s="11" t="str">
        <f>CONCATENATE("          ", "6314", " - ", "LIABILITY INSURANCE")</f>
        <v xml:space="preserve">          6314 - LIABILITY INSURANCE</v>
      </c>
      <c r="C167" s="11"/>
      <c r="D167" s="6">
        <v>5494.57</v>
      </c>
      <c r="E167" s="2"/>
      <c r="F167" s="7">
        <f t="shared" si="66"/>
        <v>1.1028338243184513E-2</v>
      </c>
      <c r="G167" s="2"/>
      <c r="H167" s="6">
        <v>4044.74</v>
      </c>
      <c r="I167" s="2"/>
      <c r="J167" s="7">
        <f t="shared" si="67"/>
        <v>1.7312459343067001E-2</v>
      </c>
      <c r="K167" s="2"/>
      <c r="L167" s="6">
        <f t="shared" si="68"/>
        <v>1449.83</v>
      </c>
      <c r="M167" s="2"/>
      <c r="N167" s="7">
        <f t="shared" si="69"/>
        <v>0.35844825625380122</v>
      </c>
      <c r="O167" s="11"/>
      <c r="P167" s="6">
        <v>32967.42</v>
      </c>
      <c r="Q167" s="2"/>
      <c r="R167" s="7">
        <f t="shared" si="70"/>
        <v>9.0047107008390369E-3</v>
      </c>
      <c r="S167" s="2"/>
      <c r="T167" s="6">
        <v>24268.44</v>
      </c>
      <c r="U167" s="2"/>
      <c r="V167" s="7">
        <f t="shared" si="71"/>
        <v>8.9929252811514777E-3</v>
      </c>
      <c r="W167" s="2"/>
      <c r="X167" s="6">
        <f t="shared" si="72"/>
        <v>8698.98</v>
      </c>
      <c r="Y167" s="2"/>
      <c r="Z167" s="7">
        <f t="shared" si="73"/>
        <v>0.35844825625380122</v>
      </c>
    </row>
    <row r="168" spans="1:26" s="29" customFormat="1" outlineLevel="1" collapsed="1" x14ac:dyDescent="0.3">
      <c r="A168" s="27"/>
      <c r="B168" s="14" t="str">
        <f>CONCATENATE("     ","Inventory Adjustment                              ")</f>
        <v xml:space="preserve">     Inventory Adjustment                              </v>
      </c>
      <c r="C168" s="14"/>
      <c r="D168" s="1">
        <f>SUM(OSRRefD22_13x_0)</f>
        <v>9100</v>
      </c>
      <c r="E168" s="1"/>
      <c r="F168" s="5">
        <f t="shared" si="66"/>
        <v>1.8264919368208808E-2</v>
      </c>
      <c r="G168" s="1"/>
      <c r="H168" s="1">
        <f>SUM(OSRRefH22_13x_0)</f>
        <v>7100</v>
      </c>
      <c r="I168" s="1"/>
      <c r="J168" s="5">
        <f t="shared" si="67"/>
        <v>3.0389706467109312E-2</v>
      </c>
      <c r="K168" s="1"/>
      <c r="L168" s="1">
        <f t="shared" si="68"/>
        <v>2000</v>
      </c>
      <c r="M168" s="1"/>
      <c r="N168" s="5">
        <f t="shared" si="69"/>
        <v>0.28169014084507044</v>
      </c>
      <c r="O168" s="14"/>
      <c r="P168" s="1">
        <f>SUM(OSRRefP22_13x_0)</f>
        <v>34600</v>
      </c>
      <c r="Q168" s="1"/>
      <c r="R168" s="5">
        <f t="shared" si="70"/>
        <v>9.4506330871214888E-3</v>
      </c>
      <c r="S168" s="1"/>
      <c r="T168" s="1">
        <f>SUM(OSRRefT22_13x_0)</f>
        <v>17600</v>
      </c>
      <c r="U168" s="1"/>
      <c r="V168" s="5">
        <f t="shared" si="71"/>
        <v>6.5218648148898748E-3</v>
      </c>
      <c r="W168" s="1"/>
      <c r="X168" s="1">
        <f t="shared" si="72"/>
        <v>17000</v>
      </c>
      <c r="Y168" s="1"/>
      <c r="Z168" s="5">
        <f t="shared" si="73"/>
        <v>0.96590909090909094</v>
      </c>
    </row>
    <row r="169" spans="1:26" s="24" customFormat="1" hidden="1" outlineLevel="2" x14ac:dyDescent="0.3">
      <c r="A169" s="28"/>
      <c r="B169" s="11" t="str">
        <f>CONCATENATE("          ", "6408", " - ", "INVENTORY ADJUSTMENT")</f>
        <v xml:space="preserve">          6408 - INVENTORY ADJUSTMENT</v>
      </c>
      <c r="C169" s="11"/>
      <c r="D169" s="6">
        <v>9100</v>
      </c>
      <c r="E169" s="2"/>
      <c r="F169" s="7">
        <f t="shared" si="66"/>
        <v>1.8264919368208808E-2</v>
      </c>
      <c r="G169" s="2"/>
      <c r="H169" s="6">
        <v>7100</v>
      </c>
      <c r="I169" s="2"/>
      <c r="J169" s="7">
        <f t="shared" si="67"/>
        <v>3.0389706467109312E-2</v>
      </c>
      <c r="K169" s="2"/>
      <c r="L169" s="6">
        <f t="shared" si="68"/>
        <v>2000</v>
      </c>
      <c r="M169" s="2"/>
      <c r="N169" s="7">
        <f t="shared" si="69"/>
        <v>0.28169014084507044</v>
      </c>
      <c r="O169" s="11"/>
      <c r="P169" s="6">
        <v>34600</v>
      </c>
      <c r="Q169" s="2"/>
      <c r="R169" s="7">
        <f t="shared" si="70"/>
        <v>9.4506330871214888E-3</v>
      </c>
      <c r="S169" s="2"/>
      <c r="T169" s="6">
        <v>17600</v>
      </c>
      <c r="U169" s="2"/>
      <c r="V169" s="7">
        <f t="shared" si="71"/>
        <v>6.5218648148898748E-3</v>
      </c>
      <c r="W169" s="2"/>
      <c r="X169" s="6">
        <f t="shared" si="72"/>
        <v>17000</v>
      </c>
      <c r="Y169" s="2"/>
      <c r="Z169" s="7">
        <f t="shared" si="73"/>
        <v>0.96590909090909094</v>
      </c>
    </row>
    <row r="170" spans="1:26" s="24" customFormat="1" hidden="1" outlineLevel="2" x14ac:dyDescent="0.3">
      <c r="A170" s="28"/>
      <c r="B170" s="11" t="str">
        <f>CONCATENATE("          ", "7741", " - ", "INV. SHRINKAGE-LOGO GIFTS")</f>
        <v xml:space="preserve">          7741 - INV. SHRINKAGE-LOGO GIFTS</v>
      </c>
      <c r="C170" s="11"/>
      <c r="D170" s="6"/>
      <c r="E170" s="2"/>
      <c r="F170" s="7">
        <f t="shared" si="66"/>
        <v>0</v>
      </c>
      <c r="G170" s="2"/>
      <c r="H170" s="6"/>
      <c r="I170" s="2"/>
      <c r="J170" s="7">
        <f t="shared" si="67"/>
        <v>0</v>
      </c>
      <c r="K170" s="2"/>
      <c r="L170" s="6">
        <f t="shared" si="68"/>
        <v>0</v>
      </c>
      <c r="M170" s="2"/>
      <c r="N170" s="7">
        <f t="shared" si="69"/>
        <v>0</v>
      </c>
      <c r="O170" s="11"/>
      <c r="P170" s="6"/>
      <c r="Q170" s="2"/>
      <c r="R170" s="7">
        <f t="shared" si="70"/>
        <v>0</v>
      </c>
      <c r="S170" s="2"/>
      <c r="T170" s="6">
        <v>0</v>
      </c>
      <c r="U170" s="2"/>
      <c r="V170" s="7">
        <f t="shared" si="71"/>
        <v>0</v>
      </c>
      <c r="W170" s="2"/>
      <c r="X170" s="6">
        <f t="shared" si="72"/>
        <v>0</v>
      </c>
      <c r="Y170" s="2"/>
      <c r="Z170" s="7">
        <f t="shared" si="73"/>
        <v>0</v>
      </c>
    </row>
    <row r="171" spans="1:26" s="29" customFormat="1" outlineLevel="1" collapsed="1" x14ac:dyDescent="0.3">
      <c r="A171" s="27"/>
      <c r="B171" s="14" t="str">
        <f>CONCATENATE("     ","Professional Services                             ")</f>
        <v xml:space="preserve">     Professional Services                             </v>
      </c>
      <c r="C171" s="14"/>
      <c r="D171" s="1">
        <f>SUM(OSRRefD22_14x_0)</f>
        <v>0</v>
      </c>
      <c r="E171" s="1"/>
      <c r="F171" s="5">
        <f t="shared" ref="F171:F179" si="74">IF(D$12=0,0,D171/D$12)</f>
        <v>0</v>
      </c>
      <c r="G171" s="1"/>
      <c r="H171" s="1">
        <f>SUM(OSRRefH22_14x_0)</f>
        <v>0</v>
      </c>
      <c r="I171" s="1"/>
      <c r="J171" s="5">
        <f t="shared" ref="J171:J179" si="75">IF(H$12=0,0,H171/H$12)</f>
        <v>0</v>
      </c>
      <c r="K171" s="1"/>
      <c r="L171" s="1">
        <f t="shared" ref="L171:L179" si="76">+D171-H171</f>
        <v>0</v>
      </c>
      <c r="M171" s="1"/>
      <c r="N171" s="5">
        <f t="shared" ref="N171:N179" si="77">IF(H171=0,0,L171/H171)</f>
        <v>0</v>
      </c>
      <c r="O171" s="14"/>
      <c r="P171" s="1">
        <f>SUM(OSRRefP22_14x_0)</f>
        <v>8186.53</v>
      </c>
      <c r="Q171" s="1"/>
      <c r="R171" s="5">
        <f t="shared" ref="R171:R179" si="78">IF(P$12=0,0,P171/P$12)</f>
        <v>2.2360662221593258E-3</v>
      </c>
      <c r="S171" s="1"/>
      <c r="T171" s="1">
        <f>SUM(OSRRefT22_14x_0)</f>
        <v>0</v>
      </c>
      <c r="U171" s="1"/>
      <c r="V171" s="5">
        <f t="shared" ref="V171:V179" si="79">IF(T$12=0,0,T171/T$12)</f>
        <v>0</v>
      </c>
      <c r="W171" s="1"/>
      <c r="X171" s="1">
        <f t="shared" ref="X171:X179" si="80">+P171-T171</f>
        <v>8186.53</v>
      </c>
      <c r="Y171" s="1"/>
      <c r="Z171" s="5">
        <f t="shared" ref="Z171:Z179" si="81">IF(T171=0,0,X171/T171)</f>
        <v>0</v>
      </c>
    </row>
    <row r="172" spans="1:26" s="24" customFormat="1" hidden="1" outlineLevel="2" x14ac:dyDescent="0.3">
      <c r="A172" s="28"/>
      <c r="B172" s="11" t="str">
        <f>CONCATENATE("          ", "6336", " - ", "PROFESSIONAL SERVICES")</f>
        <v xml:space="preserve">          6336 - PROFESSIONAL SERVICES</v>
      </c>
      <c r="C172" s="11"/>
      <c r="D172" s="6"/>
      <c r="E172" s="2"/>
      <c r="F172" s="7">
        <f t="shared" si="74"/>
        <v>0</v>
      </c>
      <c r="G172" s="2"/>
      <c r="H172" s="6"/>
      <c r="I172" s="2"/>
      <c r="J172" s="7">
        <f t="shared" si="75"/>
        <v>0</v>
      </c>
      <c r="K172" s="2"/>
      <c r="L172" s="6">
        <f t="shared" si="76"/>
        <v>0</v>
      </c>
      <c r="M172" s="2"/>
      <c r="N172" s="7">
        <f t="shared" si="77"/>
        <v>0</v>
      </c>
      <c r="O172" s="11"/>
      <c r="P172" s="6">
        <v>8186.53</v>
      </c>
      <c r="Q172" s="2"/>
      <c r="R172" s="7">
        <f t="shared" si="78"/>
        <v>2.2360662221593258E-3</v>
      </c>
      <c r="S172" s="2"/>
      <c r="T172" s="6"/>
      <c r="U172" s="2"/>
      <c r="V172" s="7">
        <f t="shared" si="79"/>
        <v>0</v>
      </c>
      <c r="W172" s="2"/>
      <c r="X172" s="6">
        <f t="shared" si="80"/>
        <v>8186.53</v>
      </c>
      <c r="Y172" s="2"/>
      <c r="Z172" s="7">
        <f t="shared" si="81"/>
        <v>0</v>
      </c>
    </row>
    <row r="173" spans="1:26" s="29" customFormat="1" outlineLevel="1" collapsed="1" x14ac:dyDescent="0.3">
      <c r="A173" s="27"/>
      <c r="B173" s="14" t="str">
        <f>CONCATENATE("     ","Rent                                              ")</f>
        <v xml:space="preserve">     Rent                                              </v>
      </c>
      <c r="C173" s="14"/>
      <c r="D173" s="1">
        <f>SUM(OSRRefD22_15x_0)</f>
        <v>6100</v>
      </c>
      <c r="E173" s="1"/>
      <c r="F173" s="5">
        <f t="shared" si="74"/>
        <v>1.2243517378689421E-2</v>
      </c>
      <c r="G173" s="1"/>
      <c r="H173" s="1">
        <f>SUM(OSRRefH22_15x_0)</f>
        <v>6100</v>
      </c>
      <c r="I173" s="1"/>
      <c r="J173" s="5">
        <f t="shared" si="75"/>
        <v>2.6109466119629127E-2</v>
      </c>
      <c r="K173" s="1"/>
      <c r="L173" s="1">
        <f t="shared" si="76"/>
        <v>0</v>
      </c>
      <c r="M173" s="1"/>
      <c r="N173" s="5">
        <f t="shared" si="77"/>
        <v>0</v>
      </c>
      <c r="O173" s="14"/>
      <c r="P173" s="1">
        <f>SUM(OSRRefP22_15x_0)</f>
        <v>36600</v>
      </c>
      <c r="Q173" s="1"/>
      <c r="R173" s="5">
        <f t="shared" si="78"/>
        <v>9.996912456319262E-3</v>
      </c>
      <c r="S173" s="1"/>
      <c r="T173" s="1">
        <f>SUM(OSRRefT22_15x_0)</f>
        <v>36600</v>
      </c>
      <c r="U173" s="1"/>
      <c r="V173" s="5">
        <f t="shared" si="79"/>
        <v>1.356251433096417E-2</v>
      </c>
      <c r="W173" s="1"/>
      <c r="X173" s="1">
        <f t="shared" si="80"/>
        <v>0</v>
      </c>
      <c r="Y173" s="1"/>
      <c r="Z173" s="5">
        <f t="shared" si="81"/>
        <v>0</v>
      </c>
    </row>
    <row r="174" spans="1:26" s="24" customFormat="1" hidden="1" outlineLevel="2" x14ac:dyDescent="0.3">
      <c r="A174" s="28"/>
      <c r="B174" s="11" t="str">
        <f>CONCATENATE("          ", "6273", " - ", "RENT")</f>
        <v xml:space="preserve">          6273 - RENT</v>
      </c>
      <c r="C174" s="11"/>
      <c r="D174" s="6">
        <v>6100</v>
      </c>
      <c r="E174" s="2"/>
      <c r="F174" s="7">
        <f t="shared" si="74"/>
        <v>1.2243517378689421E-2</v>
      </c>
      <c r="G174" s="2"/>
      <c r="H174" s="6">
        <v>6100</v>
      </c>
      <c r="I174" s="2"/>
      <c r="J174" s="7">
        <f t="shared" si="75"/>
        <v>2.6109466119629127E-2</v>
      </c>
      <c r="K174" s="2"/>
      <c r="L174" s="6">
        <f t="shared" si="76"/>
        <v>0</v>
      </c>
      <c r="M174" s="2"/>
      <c r="N174" s="7">
        <f t="shared" si="77"/>
        <v>0</v>
      </c>
      <c r="O174" s="11"/>
      <c r="P174" s="6">
        <v>36600</v>
      </c>
      <c r="Q174" s="2"/>
      <c r="R174" s="7">
        <f t="shared" si="78"/>
        <v>9.996912456319262E-3</v>
      </c>
      <c r="S174" s="2"/>
      <c r="T174" s="6">
        <v>36600</v>
      </c>
      <c r="U174" s="2"/>
      <c r="V174" s="7">
        <f t="shared" si="79"/>
        <v>1.356251433096417E-2</v>
      </c>
      <c r="W174" s="2"/>
      <c r="X174" s="6">
        <f t="shared" si="80"/>
        <v>0</v>
      </c>
      <c r="Y174" s="2"/>
      <c r="Z174" s="7">
        <f t="shared" si="81"/>
        <v>0</v>
      </c>
    </row>
    <row r="175" spans="1:26" s="29" customFormat="1" outlineLevel="1" collapsed="1" x14ac:dyDescent="0.3">
      <c r="A175" s="27"/>
      <c r="B175" s="14" t="str">
        <f>CONCATENATE("     ","Repair and Maintenance                            ")</f>
        <v xml:space="preserve">     Repair and Maintenance                            </v>
      </c>
      <c r="C175" s="14"/>
      <c r="D175" s="1">
        <f>SUM(OSRRefD22_16x_0)</f>
        <v>7012.15</v>
      </c>
      <c r="E175" s="1"/>
      <c r="F175" s="5">
        <f t="shared" si="74"/>
        <v>1.4074324653602791E-2</v>
      </c>
      <c r="G175" s="1"/>
      <c r="H175" s="1">
        <f>SUM(OSRRefH22_16x_0)</f>
        <v>7951.17</v>
      </c>
      <c r="I175" s="1"/>
      <c r="J175" s="5">
        <f t="shared" si="75"/>
        <v>3.4032918643674019E-2</v>
      </c>
      <c r="K175" s="1"/>
      <c r="L175" s="1">
        <f t="shared" si="76"/>
        <v>-939.02000000000044</v>
      </c>
      <c r="M175" s="1"/>
      <c r="N175" s="5">
        <f t="shared" si="77"/>
        <v>-0.11809834275961908</v>
      </c>
      <c r="O175" s="14"/>
      <c r="P175" s="1">
        <f>SUM(OSRRefP22_16x_0)</f>
        <v>97807.62</v>
      </c>
      <c r="Q175" s="1"/>
      <c r="R175" s="5">
        <f t="shared" si="78"/>
        <v>2.6715142478167787E-2</v>
      </c>
      <c r="S175" s="1"/>
      <c r="T175" s="1">
        <f>SUM(OSRRefT22_16x_0)</f>
        <v>109130.31999999999</v>
      </c>
      <c r="U175" s="1"/>
      <c r="V175" s="5">
        <f t="shared" si="79"/>
        <v>4.0439386036685954E-2</v>
      </c>
      <c r="W175" s="1"/>
      <c r="X175" s="1">
        <f t="shared" si="80"/>
        <v>-11322.699999999997</v>
      </c>
      <c r="Y175" s="1"/>
      <c r="Z175" s="5">
        <f t="shared" si="81"/>
        <v>-0.10375393382883875</v>
      </c>
    </row>
    <row r="176" spans="1:26" s="24" customFormat="1" hidden="1" outlineLevel="2" x14ac:dyDescent="0.3">
      <c r="A176" s="28"/>
      <c r="B176" s="11" t="str">
        <f>CONCATENATE("          ", "6371", " - ", "COMPUTER SOFTWARE MAINTENANCE")</f>
        <v xml:space="preserve">          6371 - COMPUTER SOFTWARE MAINTENANCE</v>
      </c>
      <c r="C176" s="11"/>
      <c r="D176" s="6"/>
      <c r="E176" s="2"/>
      <c r="F176" s="7">
        <f t="shared" si="74"/>
        <v>0</v>
      </c>
      <c r="G176" s="2"/>
      <c r="H176" s="6"/>
      <c r="I176" s="2"/>
      <c r="J176" s="7">
        <f t="shared" si="75"/>
        <v>0</v>
      </c>
      <c r="K176" s="2"/>
      <c r="L176" s="6">
        <f t="shared" si="76"/>
        <v>0</v>
      </c>
      <c r="M176" s="2"/>
      <c r="N176" s="7">
        <f t="shared" si="77"/>
        <v>0</v>
      </c>
      <c r="O176" s="11"/>
      <c r="P176" s="6">
        <v>62511</v>
      </c>
      <c r="Q176" s="2"/>
      <c r="R176" s="7">
        <f t="shared" si="78"/>
        <v>1.7074234823961022E-2</v>
      </c>
      <c r="S176" s="2"/>
      <c r="T176" s="6">
        <v>58436.47</v>
      </c>
      <c r="U176" s="2"/>
      <c r="V176" s="7">
        <f t="shared" si="79"/>
        <v>2.1654247590873164E-2</v>
      </c>
      <c r="W176" s="2"/>
      <c r="X176" s="6">
        <f t="shared" si="80"/>
        <v>4074.5299999999988</v>
      </c>
      <c r="Y176" s="2"/>
      <c r="Z176" s="7">
        <f t="shared" si="81"/>
        <v>6.972580650405473E-2</v>
      </c>
    </row>
    <row r="177" spans="1:26" s="24" customFormat="1" hidden="1" outlineLevel="2" x14ac:dyDescent="0.3">
      <c r="A177" s="28"/>
      <c r="B177" s="11" t="str">
        <f>CONCATENATE("          ", "6372", " - ", "COMPUTER HARDWARE MAINTENANCE")</f>
        <v xml:space="preserve">          6372 - COMPUTER HARDWARE MAINTENANCE</v>
      </c>
      <c r="C177" s="11"/>
      <c r="D177" s="6"/>
      <c r="E177" s="2"/>
      <c r="F177" s="7">
        <f t="shared" si="74"/>
        <v>0</v>
      </c>
      <c r="G177" s="2"/>
      <c r="H177" s="6"/>
      <c r="I177" s="2"/>
      <c r="J177" s="7">
        <f t="shared" si="75"/>
        <v>0</v>
      </c>
      <c r="K177" s="2"/>
      <c r="L177" s="6">
        <f t="shared" si="76"/>
        <v>0</v>
      </c>
      <c r="M177" s="2"/>
      <c r="N177" s="7">
        <f t="shared" si="77"/>
        <v>0</v>
      </c>
      <c r="O177" s="11"/>
      <c r="P177" s="6"/>
      <c r="Q177" s="2"/>
      <c r="R177" s="7">
        <f t="shared" si="78"/>
        <v>0</v>
      </c>
      <c r="S177" s="2"/>
      <c r="T177" s="6">
        <v>0</v>
      </c>
      <c r="U177" s="2"/>
      <c r="V177" s="7">
        <f t="shared" si="79"/>
        <v>0</v>
      </c>
      <c r="W177" s="2"/>
      <c r="X177" s="6">
        <f t="shared" si="80"/>
        <v>0</v>
      </c>
      <c r="Y177" s="2"/>
      <c r="Z177" s="7">
        <f t="shared" si="81"/>
        <v>0</v>
      </c>
    </row>
    <row r="178" spans="1:26" s="24" customFormat="1" hidden="1" outlineLevel="2" x14ac:dyDescent="0.3">
      <c r="A178" s="28"/>
      <c r="B178" s="11" t="str">
        <f>CONCATENATE("          ", "6373", " - ", "MAINTENANCE CONTRACTS")</f>
        <v xml:space="preserve">          6373 - MAINTENANCE CONTRACTS</v>
      </c>
      <c r="C178" s="11"/>
      <c r="D178" s="6">
        <v>2237.17</v>
      </c>
      <c r="E178" s="2"/>
      <c r="F178" s="7">
        <f t="shared" si="74"/>
        <v>4.4902999629643633E-3</v>
      </c>
      <c r="G178" s="2"/>
      <c r="H178" s="6">
        <v>7906.17</v>
      </c>
      <c r="I178" s="2"/>
      <c r="J178" s="7">
        <f t="shared" si="75"/>
        <v>3.3840307828037409E-2</v>
      </c>
      <c r="K178" s="2"/>
      <c r="L178" s="6">
        <f t="shared" si="76"/>
        <v>-5669</v>
      </c>
      <c r="M178" s="2"/>
      <c r="N178" s="7">
        <f t="shared" si="77"/>
        <v>-0.71703492335732721</v>
      </c>
      <c r="O178" s="11"/>
      <c r="P178" s="6">
        <v>14483.17</v>
      </c>
      <c r="Q178" s="2"/>
      <c r="R178" s="7">
        <f t="shared" si="78"/>
        <v>3.9559284857920611E-3</v>
      </c>
      <c r="S178" s="2"/>
      <c r="T178" s="6">
        <v>38932.18</v>
      </c>
      <c r="U178" s="2"/>
      <c r="V178" s="7">
        <f t="shared" si="79"/>
        <v>1.4426728119827231E-2</v>
      </c>
      <c r="W178" s="2"/>
      <c r="X178" s="6">
        <f t="shared" si="80"/>
        <v>-24449.010000000002</v>
      </c>
      <c r="Y178" s="2"/>
      <c r="Z178" s="7">
        <f t="shared" si="81"/>
        <v>-0.62798975038130411</v>
      </c>
    </row>
    <row r="179" spans="1:26" s="24" customFormat="1" hidden="1" outlineLevel="2" x14ac:dyDescent="0.3">
      <c r="A179" s="28"/>
      <c r="B179" s="11" t="str">
        <f>CONCATENATE("          ", "6375", " - ", "OUTSIDE REPAIRS &amp; MAINTENANCE")</f>
        <v xml:space="preserve">          6375 - OUTSIDE REPAIRS &amp; MAINTENANCE</v>
      </c>
      <c r="C179" s="11"/>
      <c r="D179" s="6">
        <v>4774.9799999999996</v>
      </c>
      <c r="E179" s="2"/>
      <c r="F179" s="7">
        <f t="shared" si="74"/>
        <v>9.5840246906384267E-3</v>
      </c>
      <c r="G179" s="2"/>
      <c r="H179" s="6">
        <v>45</v>
      </c>
      <c r="I179" s="2"/>
      <c r="J179" s="7">
        <f t="shared" si="75"/>
        <v>1.9261081563660832E-4</v>
      </c>
      <c r="K179" s="2"/>
      <c r="L179" s="6">
        <f t="shared" si="76"/>
        <v>4729.9799999999996</v>
      </c>
      <c r="M179" s="2"/>
      <c r="N179" s="7">
        <f t="shared" si="77"/>
        <v>105.11066666666666</v>
      </c>
      <c r="O179" s="11"/>
      <c r="P179" s="6">
        <v>20813.45</v>
      </c>
      <c r="Q179" s="2"/>
      <c r="R179" s="7">
        <f t="shared" si="78"/>
        <v>5.6849791684147038E-3</v>
      </c>
      <c r="S179" s="2"/>
      <c r="T179" s="6">
        <v>11761.67</v>
      </c>
      <c r="U179" s="2"/>
      <c r="V179" s="7">
        <f t="shared" si="79"/>
        <v>4.3584103259855563E-3</v>
      </c>
      <c r="W179" s="2"/>
      <c r="X179" s="6">
        <f t="shared" si="80"/>
        <v>9051.7800000000007</v>
      </c>
      <c r="Y179" s="2"/>
      <c r="Z179" s="7">
        <f t="shared" si="81"/>
        <v>0.76959989525297012</v>
      </c>
    </row>
    <row r="180" spans="1:26" s="29" customFormat="1" outlineLevel="1" collapsed="1" x14ac:dyDescent="0.3">
      <c r="A180" s="27"/>
      <c r="B180" s="14" t="str">
        <f>CONCATENATE("     ","Royalty &amp; Commissions                             ")</f>
        <v xml:space="preserve">     Royalty &amp; Commissions                             </v>
      </c>
      <c r="C180" s="14"/>
      <c r="D180" s="1">
        <f>SUM(OSRRefD22_17x_0)</f>
        <v>1121.23</v>
      </c>
      <c r="E180" s="1"/>
      <c r="F180" s="5">
        <f t="shared" ref="F180:F183" si="82">IF(D$12=0,0,D180/D$12)</f>
        <v>2.2504588509029409E-3</v>
      </c>
      <c r="G180" s="1"/>
      <c r="H180" s="1">
        <f>SUM(OSRRefH22_17x_0)</f>
        <v>5.97</v>
      </c>
      <c r="I180" s="1"/>
      <c r="J180" s="5">
        <f t="shared" ref="J180:J183" si="83">IF(H$12=0,0,H180/H$12)</f>
        <v>2.55530348744567E-5</v>
      </c>
      <c r="K180" s="1"/>
      <c r="L180" s="1">
        <f t="shared" ref="L180:L183" si="84">+D180-H180</f>
        <v>1115.26</v>
      </c>
      <c r="M180" s="1"/>
      <c r="N180" s="5">
        <f t="shared" ref="N180:N183" si="85">IF(H180=0,0,L180/H180)</f>
        <v>186.81072026800672</v>
      </c>
      <c r="O180" s="14"/>
      <c r="P180" s="1">
        <f>SUM(OSRRefP22_17x_0)</f>
        <v>21746.93</v>
      </c>
      <c r="Q180" s="1"/>
      <c r="R180" s="5">
        <f t="shared" ref="R180:R183" si="86">IF(P$12=0,0,P180/P$12)</f>
        <v>5.9399496011940727E-3</v>
      </c>
      <c r="S180" s="1"/>
      <c r="T180" s="1">
        <f>SUM(OSRRefT22_17x_0)</f>
        <v>28576.059999999998</v>
      </c>
      <c r="U180" s="1"/>
      <c r="V180" s="5">
        <f t="shared" ref="V180:V183" si="87">IF(T$12=0,0,T180/T$12)</f>
        <v>1.0589159105805792E-2</v>
      </c>
      <c r="W180" s="1"/>
      <c r="X180" s="1">
        <f t="shared" ref="X180:X183" si="88">+P180-T180</f>
        <v>-6829.1299999999974</v>
      </c>
      <c r="Y180" s="1"/>
      <c r="Z180" s="5">
        <f t="shared" ref="Z180:Z183" si="89">IF(T180=0,0,X180/T180)</f>
        <v>-0.23898081121050271</v>
      </c>
    </row>
    <row r="181" spans="1:26" s="24" customFormat="1" hidden="1" outlineLevel="2" x14ac:dyDescent="0.3">
      <c r="A181" s="28"/>
      <c r="B181" s="11" t="str">
        <f>CONCATENATE("          ", "6253", " - ", "ROYALTY DUE ATHLETICS-LRG")</f>
        <v xml:space="preserve">          6253 - ROYALTY DUE ATHLETICS-LRG</v>
      </c>
      <c r="C181" s="11"/>
      <c r="D181" s="6"/>
      <c r="E181" s="2"/>
      <c r="F181" s="7">
        <f t="shared" si="82"/>
        <v>0</v>
      </c>
      <c r="G181" s="2"/>
      <c r="H181" s="6"/>
      <c r="I181" s="2"/>
      <c r="J181" s="7">
        <f t="shared" si="83"/>
        <v>0</v>
      </c>
      <c r="K181" s="2"/>
      <c r="L181" s="6">
        <f t="shared" si="84"/>
        <v>0</v>
      </c>
      <c r="M181" s="2"/>
      <c r="N181" s="7">
        <f t="shared" si="85"/>
        <v>0</v>
      </c>
      <c r="O181" s="11"/>
      <c r="P181" s="6">
        <v>23160.29</v>
      </c>
      <c r="Q181" s="2"/>
      <c r="R181" s="7">
        <f t="shared" si="86"/>
        <v>6.3259943058187555E-3</v>
      </c>
      <c r="S181" s="2"/>
      <c r="T181" s="6">
        <v>18411.8</v>
      </c>
      <c r="U181" s="2"/>
      <c r="V181" s="7">
        <f t="shared" si="87"/>
        <v>6.8226858294766698E-3</v>
      </c>
      <c r="W181" s="2"/>
      <c r="X181" s="6">
        <f t="shared" si="88"/>
        <v>4748.4900000000016</v>
      </c>
      <c r="Y181" s="2"/>
      <c r="Z181" s="7">
        <f t="shared" si="89"/>
        <v>0.25790471328169989</v>
      </c>
    </row>
    <row r="182" spans="1:26" s="24" customFormat="1" hidden="1" outlineLevel="2" x14ac:dyDescent="0.3">
      <c r="A182" s="28"/>
      <c r="B182" s="11" t="str">
        <f>CONCATENATE("          ", "6254", " - ", "ROYALTY &amp; COMMISSIONS")</f>
        <v xml:space="preserve">          6254 - ROYALTY &amp; COMMISSIONS</v>
      </c>
      <c r="C182" s="11"/>
      <c r="D182" s="6">
        <v>0</v>
      </c>
      <c r="E182" s="2"/>
      <c r="F182" s="7">
        <f t="shared" si="82"/>
        <v>0</v>
      </c>
      <c r="G182" s="2"/>
      <c r="H182" s="6"/>
      <c r="I182" s="2"/>
      <c r="J182" s="7">
        <f t="shared" si="83"/>
        <v>0</v>
      </c>
      <c r="K182" s="2"/>
      <c r="L182" s="6">
        <f t="shared" si="84"/>
        <v>0</v>
      </c>
      <c r="M182" s="2"/>
      <c r="N182" s="7">
        <f t="shared" si="85"/>
        <v>0</v>
      </c>
      <c r="O182" s="11"/>
      <c r="P182" s="6">
        <v>-7027.5</v>
      </c>
      <c r="Q182" s="2"/>
      <c r="R182" s="7">
        <f t="shared" si="86"/>
        <v>-1.919489133518678E-3</v>
      </c>
      <c r="S182" s="2"/>
      <c r="T182" s="6"/>
      <c r="U182" s="2"/>
      <c r="V182" s="7">
        <f t="shared" si="87"/>
        <v>0</v>
      </c>
      <c r="W182" s="2"/>
      <c r="X182" s="6">
        <f t="shared" si="88"/>
        <v>-7027.5</v>
      </c>
      <c r="Y182" s="2"/>
      <c r="Z182" s="7">
        <f t="shared" si="89"/>
        <v>0</v>
      </c>
    </row>
    <row r="183" spans="1:26" s="24" customFormat="1" hidden="1" outlineLevel="2" x14ac:dyDescent="0.3">
      <c r="A183" s="28"/>
      <c r="B183" s="11" t="str">
        <f>CONCATENATE("          ", "6259", " - ", "ROYALTY &amp; COMMISSIONS")</f>
        <v xml:space="preserve">          6259 - ROYALTY &amp; COMMISSIONS</v>
      </c>
      <c r="C183" s="11"/>
      <c r="D183" s="6">
        <v>1121.23</v>
      </c>
      <c r="E183" s="2"/>
      <c r="F183" s="7">
        <f t="shared" si="82"/>
        <v>2.2504588509029409E-3</v>
      </c>
      <c r="G183" s="2"/>
      <c r="H183" s="6">
        <v>5.97</v>
      </c>
      <c r="I183" s="2"/>
      <c r="J183" s="7">
        <f t="shared" si="83"/>
        <v>2.55530348744567E-5</v>
      </c>
      <c r="K183" s="2"/>
      <c r="L183" s="6">
        <f t="shared" si="84"/>
        <v>1115.26</v>
      </c>
      <c r="M183" s="2"/>
      <c r="N183" s="7">
        <f t="shared" si="85"/>
        <v>186.81072026800672</v>
      </c>
      <c r="O183" s="11"/>
      <c r="P183" s="6">
        <v>5614.14</v>
      </c>
      <c r="Q183" s="2"/>
      <c r="R183" s="7">
        <f t="shared" si="86"/>
        <v>1.5334444288939953E-3</v>
      </c>
      <c r="S183" s="2"/>
      <c r="T183" s="6">
        <v>10164.26</v>
      </c>
      <c r="U183" s="2"/>
      <c r="V183" s="7">
        <f t="shared" si="87"/>
        <v>3.7664732763291226E-3</v>
      </c>
      <c r="W183" s="2"/>
      <c r="X183" s="6">
        <f t="shared" si="88"/>
        <v>-4550.12</v>
      </c>
      <c r="Y183" s="2"/>
      <c r="Z183" s="7">
        <f t="shared" si="89"/>
        <v>-0.44765875725335635</v>
      </c>
    </row>
    <row r="184" spans="1:26" s="29" customFormat="1" outlineLevel="1" collapsed="1" x14ac:dyDescent="0.3">
      <c r="A184" s="27"/>
      <c r="B184" s="14" t="str">
        <f>CONCATENATE("     ","Services                                          ")</f>
        <v xml:space="preserve">     Services                                          </v>
      </c>
      <c r="C184" s="14"/>
      <c r="D184" s="1">
        <f>SUM(OSRRefD22_18x_0)</f>
        <v>4823.41</v>
      </c>
      <c r="E184" s="1"/>
      <c r="F184" s="5">
        <f t="shared" ref="F184:F188" si="90">IF(D$12=0,0,D184/D$12)</f>
        <v>9.6812301900892368E-3</v>
      </c>
      <c r="G184" s="1"/>
      <c r="H184" s="1">
        <f>SUM(OSRRefH22_18x_0)</f>
        <v>2494.0299999999997</v>
      </c>
      <c r="I184" s="1"/>
      <c r="J184" s="5">
        <f t="shared" ref="J184:J188" si="91">IF(H$12=0,0,H184/H$12)</f>
        <v>1.0675047833826005E-2</v>
      </c>
      <c r="K184" s="1"/>
      <c r="L184" s="1">
        <f t="shared" ref="L184:L188" si="92">+D184-H184</f>
        <v>2329.38</v>
      </c>
      <c r="M184" s="1"/>
      <c r="N184" s="5">
        <f t="shared" ref="N184:N188" si="93">IF(H184=0,0,L184/H184)</f>
        <v>0.93398234985144535</v>
      </c>
      <c r="O184" s="14"/>
      <c r="P184" s="1">
        <f>SUM(OSRRefP22_18x_0)</f>
        <v>35786.99</v>
      </c>
      <c r="Q184" s="1"/>
      <c r="R184" s="5">
        <f t="shared" ref="R184:R188" si="94">IF(P$12=0,0,P184/P$12)</f>
        <v>9.7748471613435198E-3</v>
      </c>
      <c r="S184" s="1"/>
      <c r="T184" s="1">
        <f>SUM(OSRRefT22_18x_0)</f>
        <v>19183.75</v>
      </c>
      <c r="U184" s="1"/>
      <c r="V184" s="5">
        <f t="shared" ref="V184:V188" si="95">IF(T$12=0,0,T184/T$12)</f>
        <v>7.1087400081047518E-3</v>
      </c>
      <c r="W184" s="1"/>
      <c r="X184" s="1">
        <f t="shared" ref="X184:X188" si="96">+P184-T184</f>
        <v>16603.239999999998</v>
      </c>
      <c r="Y184" s="1"/>
      <c r="Z184" s="5">
        <f t="shared" ref="Z184:Z188" si="97">IF(T184=0,0,X184/T184)</f>
        <v>0.86548458982211496</v>
      </c>
    </row>
    <row r="185" spans="1:26" s="24" customFormat="1" hidden="1" outlineLevel="2" x14ac:dyDescent="0.3">
      <c r="A185" s="28"/>
      <c r="B185" s="11" t="str">
        <f>CONCATENATE("          ", "6282", " - ", "JANITORIAL/EXTERMINATOR EXPENS")</f>
        <v xml:space="preserve">          6282 - JANITORIAL/EXTERMINATOR EXPENS</v>
      </c>
      <c r="C185" s="11"/>
      <c r="D185" s="6">
        <v>267</v>
      </c>
      <c r="E185" s="2"/>
      <c r="F185" s="7">
        <f t="shared" si="90"/>
        <v>5.3590477706722548E-4</v>
      </c>
      <c r="G185" s="2"/>
      <c r="H185" s="6"/>
      <c r="I185" s="2"/>
      <c r="J185" s="7">
        <f t="shared" si="91"/>
        <v>0</v>
      </c>
      <c r="K185" s="2"/>
      <c r="L185" s="6">
        <f t="shared" si="92"/>
        <v>267</v>
      </c>
      <c r="M185" s="2"/>
      <c r="N185" s="7">
        <f t="shared" si="93"/>
        <v>0</v>
      </c>
      <c r="O185" s="11"/>
      <c r="P185" s="6">
        <v>2124.6799999999998</v>
      </c>
      <c r="Q185" s="2"/>
      <c r="R185" s="7">
        <f t="shared" si="94"/>
        <v>5.803344250735631E-4</v>
      </c>
      <c r="S185" s="2"/>
      <c r="T185" s="6">
        <v>5340.12</v>
      </c>
      <c r="U185" s="2"/>
      <c r="V185" s="7">
        <f t="shared" si="95"/>
        <v>1.9788375417778246E-3</v>
      </c>
      <c r="W185" s="2"/>
      <c r="X185" s="6">
        <f t="shared" si="96"/>
        <v>-3215.44</v>
      </c>
      <c r="Y185" s="2"/>
      <c r="Z185" s="7">
        <f t="shared" si="97"/>
        <v>-0.6021287911133083</v>
      </c>
    </row>
    <row r="186" spans="1:26" s="24" customFormat="1" hidden="1" outlineLevel="2" x14ac:dyDescent="0.3">
      <c r="A186" s="28"/>
      <c r="B186" s="11" t="str">
        <f>CONCATENATE("          ", "6283", " - ", "PLANT SERVICE")</f>
        <v xml:space="preserve">          6283 - PLANT SERVICE</v>
      </c>
      <c r="C186" s="11"/>
      <c r="D186" s="6"/>
      <c r="E186" s="2"/>
      <c r="F186" s="7">
        <f t="shared" si="90"/>
        <v>0</v>
      </c>
      <c r="G186" s="2"/>
      <c r="H186" s="6"/>
      <c r="I186" s="2"/>
      <c r="J186" s="7">
        <f t="shared" si="91"/>
        <v>0</v>
      </c>
      <c r="K186" s="2"/>
      <c r="L186" s="6">
        <f t="shared" si="92"/>
        <v>0</v>
      </c>
      <c r="M186" s="2"/>
      <c r="N186" s="7">
        <f t="shared" si="93"/>
        <v>0</v>
      </c>
      <c r="O186" s="11"/>
      <c r="P186" s="6"/>
      <c r="Q186" s="2"/>
      <c r="R186" s="7">
        <f t="shared" si="94"/>
        <v>0</v>
      </c>
      <c r="S186" s="2"/>
      <c r="T186" s="6">
        <v>171.31</v>
      </c>
      <c r="U186" s="2"/>
      <c r="V186" s="7">
        <f t="shared" si="95"/>
        <v>6.3480719399930938E-5</v>
      </c>
      <c r="W186" s="2"/>
      <c r="X186" s="6">
        <f t="shared" si="96"/>
        <v>-171.31</v>
      </c>
      <c r="Y186" s="2"/>
      <c r="Z186" s="7">
        <f t="shared" si="97"/>
        <v>-1</v>
      </c>
    </row>
    <row r="187" spans="1:26" s="24" customFormat="1" hidden="1" outlineLevel="2" x14ac:dyDescent="0.3">
      <c r="A187" s="28"/>
      <c r="B187" s="11" t="str">
        <f>CONCATENATE("          ", "6284", " - ", "TRASH REMOVAL EXPENSE")</f>
        <v xml:space="preserve">          6284 - TRASH REMOVAL EXPENSE</v>
      </c>
      <c r="C187" s="11"/>
      <c r="D187" s="6">
        <v>149.69999999999999</v>
      </c>
      <c r="E187" s="2"/>
      <c r="F187" s="7">
        <f t="shared" si="90"/>
        <v>3.0046795927701742E-4</v>
      </c>
      <c r="G187" s="2"/>
      <c r="H187" s="6">
        <v>285.14</v>
      </c>
      <c r="I187" s="2"/>
      <c r="J187" s="7">
        <f t="shared" si="91"/>
        <v>1.2204677326804999E-3</v>
      </c>
      <c r="K187" s="2"/>
      <c r="L187" s="6">
        <f t="shared" si="92"/>
        <v>-135.44</v>
      </c>
      <c r="M187" s="2"/>
      <c r="N187" s="7">
        <f t="shared" si="93"/>
        <v>-0.47499473942624676</v>
      </c>
      <c r="O187" s="11"/>
      <c r="P187" s="6">
        <v>891.07</v>
      </c>
      <c r="Q187" s="2"/>
      <c r="R187" s="7">
        <f t="shared" si="94"/>
        <v>2.4338657875553021E-4</v>
      </c>
      <c r="S187" s="2"/>
      <c r="T187" s="6">
        <v>870.44</v>
      </c>
      <c r="U187" s="2"/>
      <c r="V187" s="7">
        <f t="shared" si="95"/>
        <v>3.2255068235640587E-4</v>
      </c>
      <c r="W187" s="2"/>
      <c r="X187" s="6">
        <f t="shared" si="96"/>
        <v>20.629999999999995</v>
      </c>
      <c r="Y187" s="2"/>
      <c r="Z187" s="7">
        <f t="shared" si="97"/>
        <v>2.3700657138918241E-2</v>
      </c>
    </row>
    <row r="188" spans="1:26" s="24" customFormat="1" hidden="1" outlineLevel="2" x14ac:dyDescent="0.3">
      <c r="A188" s="28"/>
      <c r="B188" s="11" t="str">
        <f>CONCATENATE("          ", "6285", " - ", "JANITORIAL SERVICES")</f>
        <v xml:space="preserve">          6285 - JANITORIAL SERVICES</v>
      </c>
      <c r="C188" s="11"/>
      <c r="D188" s="6">
        <v>4406.71</v>
      </c>
      <c r="E188" s="2"/>
      <c r="F188" s="7">
        <f t="shared" si="90"/>
        <v>8.8448574537449941E-3</v>
      </c>
      <c r="G188" s="2"/>
      <c r="H188" s="6">
        <v>2208.89</v>
      </c>
      <c r="I188" s="2"/>
      <c r="J188" s="7">
        <f t="shared" si="91"/>
        <v>9.4545801011455041E-3</v>
      </c>
      <c r="K188" s="2"/>
      <c r="L188" s="6">
        <f t="shared" si="92"/>
        <v>2197.8200000000002</v>
      </c>
      <c r="M188" s="2"/>
      <c r="N188" s="7">
        <f t="shared" si="93"/>
        <v>0.99498843310440999</v>
      </c>
      <c r="O188" s="11"/>
      <c r="P188" s="6">
        <v>32771.24</v>
      </c>
      <c r="Q188" s="2"/>
      <c r="R188" s="7">
        <f t="shared" si="94"/>
        <v>8.9511261575144271E-3</v>
      </c>
      <c r="S188" s="2"/>
      <c r="T188" s="6">
        <v>12801.88</v>
      </c>
      <c r="U188" s="2"/>
      <c r="V188" s="7">
        <f t="shared" si="95"/>
        <v>4.7438710645705904E-3</v>
      </c>
      <c r="W188" s="2"/>
      <c r="X188" s="6">
        <f t="shared" si="96"/>
        <v>19969.36</v>
      </c>
      <c r="Y188" s="2"/>
      <c r="Z188" s="7">
        <f t="shared" si="97"/>
        <v>1.5598771430446154</v>
      </c>
    </row>
    <row r="189" spans="1:26" s="29" customFormat="1" outlineLevel="1" collapsed="1" x14ac:dyDescent="0.3">
      <c r="A189" s="27"/>
      <c r="B189" s="14" t="str">
        <f>CONCATENATE("     ","Subscriptions &amp; Dues                              ")</f>
        <v xml:space="preserve">     Subscriptions &amp; Dues                              </v>
      </c>
      <c r="C189" s="14"/>
      <c r="D189" s="1">
        <f>SUM(OSRRefD22_19x_0)</f>
        <v>286.24</v>
      </c>
      <c r="E189" s="1"/>
      <c r="F189" s="5">
        <f t="shared" ref="F189:F191" si="98">IF(D$12=0,0,D189/D$12)</f>
        <v>5.7452203516000983E-4</v>
      </c>
      <c r="G189" s="1"/>
      <c r="H189" s="1">
        <f>SUM(OSRRefH22_19x_0)</f>
        <v>80.430000000000007</v>
      </c>
      <c r="I189" s="1"/>
      <c r="J189" s="5">
        <f t="shared" ref="J189:J191" si="99">IF(H$12=0,0,H189/H$12)</f>
        <v>3.4425973114783127E-4</v>
      </c>
      <c r="K189" s="1"/>
      <c r="L189" s="1">
        <f t="shared" ref="L189:L191" si="100">+D189-H189</f>
        <v>205.81</v>
      </c>
      <c r="M189" s="1"/>
      <c r="N189" s="5">
        <f t="shared" ref="N189:N191" si="101">IF(H189=0,0,L189/H189)</f>
        <v>2.5588710680094491</v>
      </c>
      <c r="O189" s="14"/>
      <c r="P189" s="1">
        <f>SUM(OSRRefP22_19x_0)</f>
        <v>1391.74</v>
      </c>
      <c r="Q189" s="1"/>
      <c r="R189" s="5">
        <f t="shared" ref="R189:R191" si="102">IF(P$12=0,0,P189/P$12)</f>
        <v>3.8013942464365492E-4</v>
      </c>
      <c r="S189" s="1"/>
      <c r="T189" s="1">
        <f>SUM(OSRRefT22_19x_0)</f>
        <v>1455.44</v>
      </c>
      <c r="U189" s="1"/>
      <c r="V189" s="5">
        <f t="shared" ref="V189:V191" si="103">IF(T$12=0,0,T189/T$12)</f>
        <v>5.3932857535132501E-4</v>
      </c>
      <c r="W189" s="1"/>
      <c r="X189" s="1">
        <f t="shared" ref="X189:X191" si="104">+P189-T189</f>
        <v>-63.700000000000045</v>
      </c>
      <c r="Y189" s="1"/>
      <c r="Z189" s="5">
        <f t="shared" ref="Z189:Z191" si="105">IF(T189=0,0,X189/T189)</f>
        <v>-4.376683339746059E-2</v>
      </c>
    </row>
    <row r="190" spans="1:26" s="24" customFormat="1" hidden="1" outlineLevel="2" x14ac:dyDescent="0.3">
      <c r="A190" s="28"/>
      <c r="B190" s="11" t="str">
        <f>CONCATENATE("          ", "6258", " - ", "MEMBERSHIP DUES")</f>
        <v xml:space="preserve">          6258 - MEMBERSHIP DUES</v>
      </c>
      <c r="C190" s="11"/>
      <c r="D190" s="6">
        <v>286.24</v>
      </c>
      <c r="E190" s="2"/>
      <c r="F190" s="7">
        <f t="shared" si="98"/>
        <v>5.7452203516000983E-4</v>
      </c>
      <c r="G190" s="2"/>
      <c r="H190" s="6">
        <v>80.430000000000007</v>
      </c>
      <c r="I190" s="2"/>
      <c r="J190" s="7">
        <f t="shared" si="99"/>
        <v>3.4425973114783127E-4</v>
      </c>
      <c r="K190" s="2"/>
      <c r="L190" s="6">
        <f t="shared" si="100"/>
        <v>205.81</v>
      </c>
      <c r="M190" s="2"/>
      <c r="N190" s="7">
        <f t="shared" si="101"/>
        <v>2.5588710680094491</v>
      </c>
      <c r="O190" s="11"/>
      <c r="P190" s="6">
        <v>1391.74</v>
      </c>
      <c r="Q190" s="2"/>
      <c r="R190" s="7">
        <f t="shared" si="102"/>
        <v>3.8013942464365492E-4</v>
      </c>
      <c r="S190" s="2"/>
      <c r="T190" s="6">
        <v>1229.71</v>
      </c>
      <c r="U190" s="2"/>
      <c r="V190" s="7">
        <f t="shared" si="103"/>
        <v>4.5568195349535384E-4</v>
      </c>
      <c r="W190" s="2"/>
      <c r="X190" s="6">
        <f t="shared" si="104"/>
        <v>162.02999999999997</v>
      </c>
      <c r="Y190" s="2"/>
      <c r="Z190" s="7">
        <f t="shared" si="105"/>
        <v>0.13176277333680295</v>
      </c>
    </row>
    <row r="191" spans="1:26" s="24" customFormat="1" hidden="1" outlineLevel="2" x14ac:dyDescent="0.3">
      <c r="A191" s="28"/>
      <c r="B191" s="11" t="str">
        <f>CONCATENATE("          ", "6275", " - ", "SUBSCRIPTIONS")</f>
        <v xml:space="preserve">          6275 - SUBSCRIPTIONS</v>
      </c>
      <c r="C191" s="11"/>
      <c r="D191" s="6"/>
      <c r="E191" s="2"/>
      <c r="F191" s="7">
        <f t="shared" si="98"/>
        <v>0</v>
      </c>
      <c r="G191" s="2"/>
      <c r="H191" s="6"/>
      <c r="I191" s="2"/>
      <c r="J191" s="7">
        <f t="shared" si="99"/>
        <v>0</v>
      </c>
      <c r="K191" s="2"/>
      <c r="L191" s="6">
        <f t="shared" si="100"/>
        <v>0</v>
      </c>
      <c r="M191" s="2"/>
      <c r="N191" s="7">
        <f t="shared" si="101"/>
        <v>0</v>
      </c>
      <c r="O191" s="11"/>
      <c r="P191" s="6"/>
      <c r="Q191" s="2"/>
      <c r="R191" s="7">
        <f t="shared" si="102"/>
        <v>0</v>
      </c>
      <c r="S191" s="2"/>
      <c r="T191" s="6">
        <v>225.73</v>
      </c>
      <c r="U191" s="2"/>
      <c r="V191" s="7">
        <f t="shared" si="103"/>
        <v>8.36466218559711E-5</v>
      </c>
      <c r="W191" s="2"/>
      <c r="X191" s="6">
        <f t="shared" si="104"/>
        <v>-225.73</v>
      </c>
      <c r="Y191" s="2"/>
      <c r="Z191" s="7">
        <f t="shared" si="105"/>
        <v>-1</v>
      </c>
    </row>
    <row r="192" spans="1:26" s="29" customFormat="1" outlineLevel="1" collapsed="1" x14ac:dyDescent="0.3">
      <c r="A192" s="27"/>
      <c r="B192" s="14" t="str">
        <f>CONCATENATE("     ","Supplies                                          ")</f>
        <v xml:space="preserve">     Supplies                                          </v>
      </c>
      <c r="C192" s="14"/>
      <c r="D192" s="1">
        <f>SUM(OSRRefD22_20x_0)</f>
        <v>5980.2800000000007</v>
      </c>
      <c r="E192" s="1"/>
      <c r="F192" s="5">
        <f t="shared" ref="F192:F199" si="106">IF(D$12=0,0,D192/D$12)</f>
        <v>1.2003223296627669E-2</v>
      </c>
      <c r="G192" s="1"/>
      <c r="H192" s="1">
        <f>SUM(OSRRefH22_20x_0)</f>
        <v>5930.1799999999994</v>
      </c>
      <c r="I192" s="1"/>
      <c r="J192" s="5">
        <f t="shared" ref="J192:J199" si="107">IF(H$12=0,0,H192/H$12)</f>
        <v>2.5382595703820038E-2</v>
      </c>
      <c r="K192" s="1"/>
      <c r="L192" s="1">
        <f t="shared" ref="L192:L199" si="108">+D192-H192</f>
        <v>50.100000000001273</v>
      </c>
      <c r="M192" s="1"/>
      <c r="N192" s="5">
        <f t="shared" ref="N192:N199" si="109">IF(H192=0,0,L192/H192)</f>
        <v>8.4483101693374023E-3</v>
      </c>
      <c r="O192" s="14"/>
      <c r="P192" s="1">
        <f>SUM(OSRRefP22_20x_0)</f>
        <v>52716.789999999994</v>
      </c>
      <c r="Q192" s="1"/>
      <c r="R192" s="5">
        <f t="shared" ref="R192:R199" si="110">IF(P$12=0,0,P192/P$12)</f>
        <v>1.4399047393665756E-2</v>
      </c>
      <c r="S192" s="1"/>
      <c r="T192" s="1">
        <f>SUM(OSRRefT22_20x_0)</f>
        <v>77326.100000000006</v>
      </c>
      <c r="U192" s="1"/>
      <c r="V192" s="5">
        <f t="shared" ref="V192:V199" si="111">IF(T$12=0,0,T192/T$12)</f>
        <v>2.8653998344469089E-2</v>
      </c>
      <c r="W192" s="1"/>
      <c r="X192" s="1">
        <f t="shared" ref="X192:X199" si="112">+P192-T192</f>
        <v>-24609.310000000012</v>
      </c>
      <c r="Y192" s="1"/>
      <c r="Z192" s="5">
        <f t="shared" ref="Z192:Z199" si="113">IF(T192=0,0,X192/T192)</f>
        <v>-0.3182536038931229</v>
      </c>
    </row>
    <row r="193" spans="1:26" s="24" customFormat="1" hidden="1" outlineLevel="2" x14ac:dyDescent="0.3">
      <c r="A193" s="28"/>
      <c r="B193" s="11" t="str">
        <f>CONCATENATE("          ", "6234", " - ", "EXPENDABLE SUPPLIES &amp; EQUIPMEN")</f>
        <v xml:space="preserve">          6234 - EXPENDABLE SUPPLIES &amp; EQUIPMEN</v>
      </c>
      <c r="C193" s="11"/>
      <c r="D193" s="6"/>
      <c r="E193" s="2"/>
      <c r="F193" s="7">
        <f t="shared" si="106"/>
        <v>0</v>
      </c>
      <c r="G193" s="2"/>
      <c r="H193" s="6"/>
      <c r="I193" s="2"/>
      <c r="J193" s="7">
        <f t="shared" si="107"/>
        <v>0</v>
      </c>
      <c r="K193" s="2"/>
      <c r="L193" s="6">
        <f t="shared" si="108"/>
        <v>0</v>
      </c>
      <c r="M193" s="2"/>
      <c r="N193" s="7">
        <f t="shared" si="109"/>
        <v>0</v>
      </c>
      <c r="O193" s="11"/>
      <c r="P193" s="6">
        <v>5289.57</v>
      </c>
      <c r="Q193" s="2"/>
      <c r="R193" s="7">
        <f t="shared" si="110"/>
        <v>1.4447914814637343E-3</v>
      </c>
      <c r="S193" s="2"/>
      <c r="T193" s="6">
        <v>-449.34</v>
      </c>
      <c r="U193" s="2"/>
      <c r="V193" s="7">
        <f t="shared" si="111"/>
        <v>-1.6650765545014865E-4</v>
      </c>
      <c r="W193" s="2"/>
      <c r="X193" s="6">
        <f t="shared" si="112"/>
        <v>5738.91</v>
      </c>
      <c r="Y193" s="2"/>
      <c r="Z193" s="7">
        <f t="shared" si="113"/>
        <v>-12.771865402590466</v>
      </c>
    </row>
    <row r="194" spans="1:26" s="24" customFormat="1" hidden="1" outlineLevel="2" x14ac:dyDescent="0.3">
      <c r="A194" s="28"/>
      <c r="B194" s="11" t="str">
        <f>CONCATENATE("          ", "6235", " - ", "COVID-19 EXPENSES")</f>
        <v xml:space="preserve">          6235 - COVID-19 EXPENSES</v>
      </c>
      <c r="C194" s="11"/>
      <c r="D194" s="6"/>
      <c r="E194" s="2"/>
      <c r="F194" s="7">
        <f t="shared" si="106"/>
        <v>0</v>
      </c>
      <c r="G194" s="2"/>
      <c r="H194" s="6">
        <v>2921.2</v>
      </c>
      <c r="I194" s="2"/>
      <c r="J194" s="7">
        <f t="shared" si="107"/>
        <v>1.2503438103059115E-2</v>
      </c>
      <c r="K194" s="2"/>
      <c r="L194" s="6">
        <f t="shared" si="108"/>
        <v>-2921.2</v>
      </c>
      <c r="M194" s="2"/>
      <c r="N194" s="7">
        <f t="shared" si="109"/>
        <v>-1</v>
      </c>
      <c r="O194" s="11"/>
      <c r="P194" s="6">
        <v>3430.32</v>
      </c>
      <c r="Q194" s="2"/>
      <c r="R194" s="7">
        <f t="shared" si="110"/>
        <v>9.3695652287325388E-4</v>
      </c>
      <c r="S194" s="2"/>
      <c r="T194" s="6">
        <v>31377.83</v>
      </c>
      <c r="U194" s="2"/>
      <c r="V194" s="7">
        <f t="shared" si="111"/>
        <v>1.1627384400261134E-2</v>
      </c>
      <c r="W194" s="2"/>
      <c r="X194" s="6">
        <f t="shared" si="112"/>
        <v>-27947.510000000002</v>
      </c>
      <c r="Y194" s="2"/>
      <c r="Z194" s="7">
        <f t="shared" si="113"/>
        <v>-0.89067695248524203</v>
      </c>
    </row>
    <row r="195" spans="1:26" s="24" customFormat="1" hidden="1" outlineLevel="2" x14ac:dyDescent="0.3">
      <c r="A195" s="28"/>
      <c r="B195" s="11" t="str">
        <f>CONCATENATE("          ", "6237", " - ", "JANITORIAL SUPPLIES")</f>
        <v xml:space="preserve">          6237 - JANITORIAL SUPPLIES</v>
      </c>
      <c r="C195" s="11"/>
      <c r="D195" s="6"/>
      <c r="E195" s="2"/>
      <c r="F195" s="7">
        <f t="shared" si="106"/>
        <v>0</v>
      </c>
      <c r="G195" s="2"/>
      <c r="H195" s="6">
        <v>438.53</v>
      </c>
      <c r="I195" s="2"/>
      <c r="J195" s="7">
        <f t="shared" si="107"/>
        <v>1.8770137995804852E-3</v>
      </c>
      <c r="K195" s="2"/>
      <c r="L195" s="6">
        <f t="shared" si="108"/>
        <v>-438.53</v>
      </c>
      <c r="M195" s="2"/>
      <c r="N195" s="7">
        <f t="shared" si="109"/>
        <v>-1</v>
      </c>
      <c r="O195" s="11"/>
      <c r="P195" s="6">
        <v>3866.14</v>
      </c>
      <c r="Q195" s="2"/>
      <c r="R195" s="7">
        <f t="shared" si="110"/>
        <v>1.0559962602151407E-3</v>
      </c>
      <c r="S195" s="2"/>
      <c r="T195" s="6">
        <v>1933.88</v>
      </c>
      <c r="U195" s="2"/>
      <c r="V195" s="7">
        <f t="shared" si="111"/>
        <v>7.1661954137609265E-4</v>
      </c>
      <c r="W195" s="2"/>
      <c r="X195" s="6">
        <f t="shared" si="112"/>
        <v>1932.2599999999998</v>
      </c>
      <c r="Y195" s="2"/>
      <c r="Z195" s="7">
        <f t="shared" si="113"/>
        <v>0.99916230583076493</v>
      </c>
    </row>
    <row r="196" spans="1:26" s="24" customFormat="1" hidden="1" outlineLevel="2" x14ac:dyDescent="0.3">
      <c r="A196" s="28"/>
      <c r="B196" s="11" t="str">
        <f>CONCATENATE("          ", "6241", " - ", "OFFICE EXPENSE")</f>
        <v xml:space="preserve">          6241 - OFFICE EXPENSE</v>
      </c>
      <c r="C196" s="11"/>
      <c r="D196" s="6">
        <v>855.37</v>
      </c>
      <c r="E196" s="2"/>
      <c r="F196" s="7">
        <f t="shared" si="106"/>
        <v>1.7168422065917328E-3</v>
      </c>
      <c r="G196" s="2"/>
      <c r="H196" s="6">
        <v>308.81</v>
      </c>
      <c r="I196" s="2"/>
      <c r="J196" s="7">
        <f t="shared" si="107"/>
        <v>1.3217810217053558E-3</v>
      </c>
      <c r="K196" s="2"/>
      <c r="L196" s="6">
        <f t="shared" si="108"/>
        <v>546.55999999999995</v>
      </c>
      <c r="M196" s="2"/>
      <c r="N196" s="7">
        <f t="shared" si="109"/>
        <v>1.7698908714096044</v>
      </c>
      <c r="O196" s="11"/>
      <c r="P196" s="6">
        <v>8396.7800000000007</v>
      </c>
      <c r="Q196" s="2"/>
      <c r="R196" s="7">
        <f t="shared" si="110"/>
        <v>2.2934938408462422E-3</v>
      </c>
      <c r="S196" s="2"/>
      <c r="T196" s="6">
        <v>8787.67</v>
      </c>
      <c r="U196" s="2"/>
      <c r="V196" s="7">
        <f t="shared" si="111"/>
        <v>3.2563633964695061E-3</v>
      </c>
      <c r="W196" s="2"/>
      <c r="X196" s="6">
        <f t="shared" si="112"/>
        <v>-390.88999999999942</v>
      </c>
      <c r="Y196" s="2"/>
      <c r="Z196" s="7">
        <f t="shared" si="113"/>
        <v>-4.4481643029380874E-2</v>
      </c>
    </row>
    <row r="197" spans="1:26" s="24" customFormat="1" hidden="1" outlineLevel="2" x14ac:dyDescent="0.3">
      <c r="A197" s="28"/>
      <c r="B197" s="11" t="str">
        <f>CONCATENATE("          ", "6243", " - ", "PAPER SUPPLIES")</f>
        <v xml:space="preserve">          6243 - PAPER SUPPLIES</v>
      </c>
      <c r="C197" s="11"/>
      <c r="D197" s="6"/>
      <c r="E197" s="2"/>
      <c r="F197" s="7">
        <f t="shared" si="106"/>
        <v>0</v>
      </c>
      <c r="G197" s="2"/>
      <c r="H197" s="6">
        <v>411.1</v>
      </c>
      <c r="I197" s="2"/>
      <c r="J197" s="7">
        <f t="shared" si="107"/>
        <v>1.759606806849104E-3</v>
      </c>
      <c r="K197" s="2"/>
      <c r="L197" s="6">
        <f t="shared" si="108"/>
        <v>-411.1</v>
      </c>
      <c r="M197" s="2"/>
      <c r="N197" s="7">
        <f t="shared" si="109"/>
        <v>-1</v>
      </c>
      <c r="O197" s="11"/>
      <c r="P197" s="6">
        <v>4470.8999999999996</v>
      </c>
      <c r="Q197" s="2"/>
      <c r="R197" s="7">
        <f t="shared" si="110"/>
        <v>1.2211802158731636E-3</v>
      </c>
      <c r="S197" s="2"/>
      <c r="T197" s="6">
        <v>5093.3999999999996</v>
      </c>
      <c r="U197" s="2"/>
      <c r="V197" s="7">
        <f t="shared" si="111"/>
        <v>1.8874128550090958E-3</v>
      </c>
      <c r="W197" s="2"/>
      <c r="X197" s="6">
        <f t="shared" si="112"/>
        <v>-622.5</v>
      </c>
      <c r="Y197" s="2"/>
      <c r="Z197" s="7">
        <f t="shared" si="113"/>
        <v>-0.12221698668865591</v>
      </c>
    </row>
    <row r="198" spans="1:26" s="24" customFormat="1" hidden="1" outlineLevel="2" x14ac:dyDescent="0.3">
      <c r="A198" s="28"/>
      <c r="B198" s="11" t="str">
        <f>CONCATENATE("          ", "6245", " - ", "PRINTING")</f>
        <v xml:space="preserve">          6245 - PRINTING</v>
      </c>
      <c r="C198" s="11"/>
      <c r="D198" s="6">
        <v>1046.49</v>
      </c>
      <c r="E198" s="2"/>
      <c r="F198" s="7">
        <f t="shared" si="106"/>
        <v>2.1004456560040478E-3</v>
      </c>
      <c r="G198" s="2"/>
      <c r="H198" s="6"/>
      <c r="I198" s="2"/>
      <c r="J198" s="7">
        <f t="shared" si="107"/>
        <v>0</v>
      </c>
      <c r="K198" s="2"/>
      <c r="L198" s="6">
        <f t="shared" si="108"/>
        <v>1046.49</v>
      </c>
      <c r="M198" s="2"/>
      <c r="N198" s="7">
        <f t="shared" si="109"/>
        <v>0</v>
      </c>
      <c r="O198" s="11"/>
      <c r="P198" s="6">
        <v>2111.98</v>
      </c>
      <c r="Q198" s="2"/>
      <c r="R198" s="7">
        <f t="shared" si="110"/>
        <v>5.7686555107915722E-4</v>
      </c>
      <c r="S198" s="2"/>
      <c r="T198" s="6">
        <v>508.27</v>
      </c>
      <c r="U198" s="2"/>
      <c r="V198" s="7">
        <f t="shared" si="111"/>
        <v>1.8834478576500434E-4</v>
      </c>
      <c r="W198" s="2"/>
      <c r="X198" s="6">
        <f t="shared" si="112"/>
        <v>1603.71</v>
      </c>
      <c r="Y198" s="2"/>
      <c r="Z198" s="7">
        <f t="shared" si="113"/>
        <v>3.1552324551911388</v>
      </c>
    </row>
    <row r="199" spans="1:26" s="24" customFormat="1" hidden="1" outlineLevel="2" x14ac:dyDescent="0.3">
      <c r="A199" s="28"/>
      <c r="B199" s="11" t="str">
        <f>CONCATENATE("          ", "6247", " - ", "STORE SUPPLIES")</f>
        <v xml:space="preserve">          6247 - STORE SUPPLIES</v>
      </c>
      <c r="C199" s="11"/>
      <c r="D199" s="6">
        <v>4078.42</v>
      </c>
      <c r="E199" s="2"/>
      <c r="F199" s="7">
        <f t="shared" si="106"/>
        <v>8.1859354340318869E-3</v>
      </c>
      <c r="G199" s="2"/>
      <c r="H199" s="6">
        <v>1850.54</v>
      </c>
      <c r="I199" s="2"/>
      <c r="J199" s="7">
        <f t="shared" si="107"/>
        <v>7.9207559726259813E-3</v>
      </c>
      <c r="K199" s="2"/>
      <c r="L199" s="6">
        <f t="shared" si="108"/>
        <v>2227.88</v>
      </c>
      <c r="M199" s="2"/>
      <c r="N199" s="7">
        <f t="shared" si="109"/>
        <v>1.2039080484615303</v>
      </c>
      <c r="O199" s="11"/>
      <c r="P199" s="6">
        <v>25151.1</v>
      </c>
      <c r="Q199" s="2"/>
      <c r="R199" s="7">
        <f t="shared" si="110"/>
        <v>6.869763521315065E-3</v>
      </c>
      <c r="S199" s="2"/>
      <c r="T199" s="6">
        <v>30074.39</v>
      </c>
      <c r="U199" s="2"/>
      <c r="V199" s="7">
        <f t="shared" si="111"/>
        <v>1.1144381021038404E-2</v>
      </c>
      <c r="W199" s="2"/>
      <c r="X199" s="6">
        <f t="shared" si="112"/>
        <v>-4923.2900000000009</v>
      </c>
      <c r="Y199" s="2"/>
      <c r="Z199" s="7">
        <f t="shared" si="113"/>
        <v>-0.16370373596937465</v>
      </c>
    </row>
    <row r="200" spans="1:26" s="29" customFormat="1" outlineLevel="1" collapsed="1" x14ac:dyDescent="0.3">
      <c r="A200" s="27"/>
      <c r="B200" s="14" t="str">
        <f>CONCATENATE("     ","Telephone/Data Lines                              ")</f>
        <v xml:space="preserve">     Telephone/Data Lines                              </v>
      </c>
      <c r="C200" s="14"/>
      <c r="D200" s="1">
        <f>SUM(OSRRefD22_21x_0)</f>
        <v>1165.51</v>
      </c>
      <c r="E200" s="1"/>
      <c r="F200" s="5">
        <f t="shared" ref="F200:F202" si="114">IF(D$12=0,0,D200/D$12)</f>
        <v>2.3393347442682471E-3</v>
      </c>
      <c r="G200" s="1"/>
      <c r="H200" s="1">
        <f>SUM(OSRRefH22_21x_0)</f>
        <v>1971.54</v>
      </c>
      <c r="I200" s="1"/>
      <c r="J200" s="5">
        <f t="shared" ref="J200:J202" si="115">IF(H$12=0,0,H200/H$12)</f>
        <v>8.4386650546710833E-3</v>
      </c>
      <c r="K200" s="1"/>
      <c r="L200" s="1">
        <f t="shared" ref="L200:L202" si="116">+D200-H200</f>
        <v>-806.03</v>
      </c>
      <c r="M200" s="1"/>
      <c r="N200" s="5">
        <f t="shared" ref="N200:N202" si="117">IF(H200=0,0,L200/H200)</f>
        <v>-0.40883268916684418</v>
      </c>
      <c r="O200" s="14"/>
      <c r="P200" s="1">
        <f>SUM(OSRRefP22_21x_0)</f>
        <v>10658.86</v>
      </c>
      <c r="Q200" s="1"/>
      <c r="R200" s="5">
        <f t="shared" ref="R200:R202" si="118">IF(P$12=0,0,P200/P$12)</f>
        <v>2.9113576585836922E-3</v>
      </c>
      <c r="S200" s="1"/>
      <c r="T200" s="1">
        <f>SUM(OSRRefT22_21x_0)</f>
        <v>15028.19</v>
      </c>
      <c r="U200" s="1"/>
      <c r="V200" s="5">
        <f t="shared" ref="V200:V202" si="119">IF(T$12=0,0,T200/T$12)</f>
        <v>5.5688536132090837E-3</v>
      </c>
      <c r="W200" s="1"/>
      <c r="X200" s="1">
        <f t="shared" ref="X200:X202" si="120">+P200-T200</f>
        <v>-4369.33</v>
      </c>
      <c r="Y200" s="1"/>
      <c r="Z200" s="5">
        <f t="shared" ref="Z200:Z202" si="121">IF(T200=0,0,X200/T200)</f>
        <v>-0.29074226503657458</v>
      </c>
    </row>
    <row r="201" spans="1:26" s="24" customFormat="1" hidden="1" outlineLevel="2" x14ac:dyDescent="0.3">
      <c r="A201" s="28"/>
      <c r="B201" s="11" t="str">
        <f>CONCATENATE("          ", "6303", " - ", "DATA PHONE LINES")</f>
        <v xml:space="preserve">          6303 - DATA PHONE LINES</v>
      </c>
      <c r="C201" s="11"/>
      <c r="D201" s="6"/>
      <c r="E201" s="2"/>
      <c r="F201" s="7">
        <f t="shared" si="114"/>
        <v>0</v>
      </c>
      <c r="G201" s="2"/>
      <c r="H201" s="6"/>
      <c r="I201" s="2"/>
      <c r="J201" s="7">
        <f t="shared" si="115"/>
        <v>0</v>
      </c>
      <c r="K201" s="2"/>
      <c r="L201" s="6">
        <f t="shared" si="116"/>
        <v>0</v>
      </c>
      <c r="M201" s="2"/>
      <c r="N201" s="7">
        <f t="shared" si="117"/>
        <v>0</v>
      </c>
      <c r="O201" s="11"/>
      <c r="P201" s="6">
        <v>295</v>
      </c>
      <c r="Q201" s="2"/>
      <c r="R201" s="7">
        <f t="shared" si="118"/>
        <v>8.0576206956671644E-5</v>
      </c>
      <c r="S201" s="2"/>
      <c r="T201" s="6">
        <v>2065</v>
      </c>
      <c r="U201" s="2"/>
      <c r="V201" s="7">
        <f t="shared" si="119"/>
        <v>7.6520743424702219E-4</v>
      </c>
      <c r="W201" s="2"/>
      <c r="X201" s="6">
        <f t="shared" si="120"/>
        <v>-1770</v>
      </c>
      <c r="Y201" s="2"/>
      <c r="Z201" s="7">
        <f t="shared" si="121"/>
        <v>-0.8571428571428571</v>
      </c>
    </row>
    <row r="202" spans="1:26" s="24" customFormat="1" hidden="1" outlineLevel="2" x14ac:dyDescent="0.3">
      <c r="A202" s="28"/>
      <c r="B202" s="11" t="str">
        <f>CONCATENATE("          ", "6309", " - ", "TELEPHONE")</f>
        <v xml:space="preserve">          6309 - TELEPHONE</v>
      </c>
      <c r="C202" s="11"/>
      <c r="D202" s="6">
        <v>1165.51</v>
      </c>
      <c r="E202" s="2"/>
      <c r="F202" s="7">
        <f t="shared" si="114"/>
        <v>2.3393347442682471E-3</v>
      </c>
      <c r="G202" s="2"/>
      <c r="H202" s="6">
        <v>1971.54</v>
      </c>
      <c r="I202" s="2"/>
      <c r="J202" s="7">
        <f t="shared" si="115"/>
        <v>8.4386650546710833E-3</v>
      </c>
      <c r="K202" s="2"/>
      <c r="L202" s="6">
        <f t="shared" si="116"/>
        <v>-806.03</v>
      </c>
      <c r="M202" s="2"/>
      <c r="N202" s="7">
        <f t="shared" si="117"/>
        <v>-0.40883268916684418</v>
      </c>
      <c r="O202" s="11"/>
      <c r="P202" s="6">
        <v>10363.86</v>
      </c>
      <c r="Q202" s="2"/>
      <c r="R202" s="7">
        <f t="shared" si="118"/>
        <v>2.8307814516270206E-3</v>
      </c>
      <c r="S202" s="2"/>
      <c r="T202" s="6">
        <v>12963.19</v>
      </c>
      <c r="U202" s="2"/>
      <c r="V202" s="7">
        <f t="shared" si="119"/>
        <v>4.8036461789620613E-3</v>
      </c>
      <c r="W202" s="2"/>
      <c r="X202" s="6">
        <f t="shared" si="120"/>
        <v>-2599.33</v>
      </c>
      <c r="Y202" s="2"/>
      <c r="Z202" s="7">
        <f t="shared" si="121"/>
        <v>-0.20051623095858348</v>
      </c>
    </row>
    <row r="203" spans="1:26" s="29" customFormat="1" outlineLevel="1" collapsed="1" x14ac:dyDescent="0.3">
      <c r="A203" s="27"/>
      <c r="B203" s="14" t="str">
        <f>CONCATENATE("     ","Training                                          ")</f>
        <v xml:space="preserve">     Training                                          </v>
      </c>
      <c r="C203" s="14"/>
      <c r="D203" s="1">
        <f>SUM(OSRRefD22_22x_0)</f>
        <v>0</v>
      </c>
      <c r="E203" s="1"/>
      <c r="F203" s="5">
        <f t="shared" ref="F203:F208" si="122">IF(D$12=0,0,D203/D$12)</f>
        <v>0</v>
      </c>
      <c r="G203" s="1"/>
      <c r="H203" s="1">
        <f>SUM(OSRRefH22_22x_0)</f>
        <v>0</v>
      </c>
      <c r="I203" s="1"/>
      <c r="J203" s="5">
        <f t="shared" ref="J203:J208" si="123">IF(H$12=0,0,H203/H$12)</f>
        <v>0</v>
      </c>
      <c r="K203" s="1"/>
      <c r="L203" s="1">
        <f t="shared" ref="L203:L208" si="124">+D203-H203</f>
        <v>0</v>
      </c>
      <c r="M203" s="1"/>
      <c r="N203" s="5">
        <f t="shared" ref="N203:N208" si="125">IF(H203=0,0,L203/H203)</f>
        <v>0</v>
      </c>
      <c r="O203" s="14"/>
      <c r="P203" s="1">
        <f>SUM(OSRRefP22_22x_0)</f>
        <v>595</v>
      </c>
      <c r="Q203" s="1"/>
      <c r="R203" s="5">
        <f t="shared" ref="R203:R208" si="126">IF(P$12=0,0,P203/P$12)</f>
        <v>1.6251811233633775E-4</v>
      </c>
      <c r="S203" s="1"/>
      <c r="T203" s="1">
        <f>SUM(OSRRefT22_22x_0)</f>
        <v>145.63</v>
      </c>
      <c r="U203" s="1"/>
      <c r="V203" s="5">
        <f t="shared" ref="V203:V208" si="127">IF(T$12=0,0,T203/T$12)</f>
        <v>5.396472573820525E-5</v>
      </c>
      <c r="W203" s="1"/>
      <c r="X203" s="1">
        <f t="shared" ref="X203:X208" si="128">+P203-T203</f>
        <v>449.37</v>
      </c>
      <c r="Y203" s="1"/>
      <c r="Z203" s="5">
        <f t="shared" ref="Z203:Z208" si="129">IF(T203=0,0,X203/T203)</f>
        <v>3.085696628441942</v>
      </c>
    </row>
    <row r="204" spans="1:26" s="24" customFormat="1" hidden="1" outlineLevel="2" x14ac:dyDescent="0.3">
      <c r="A204" s="28"/>
      <c r="B204" s="11" t="str">
        <f>CONCATENATE("          ", "6376", " - ", "TRAINING")</f>
        <v xml:space="preserve">          6376 - TRAINING</v>
      </c>
      <c r="C204" s="11"/>
      <c r="D204" s="6"/>
      <c r="E204" s="2"/>
      <c r="F204" s="7">
        <f t="shared" si="122"/>
        <v>0</v>
      </c>
      <c r="G204" s="2"/>
      <c r="H204" s="6"/>
      <c r="I204" s="2"/>
      <c r="J204" s="7">
        <f t="shared" si="123"/>
        <v>0</v>
      </c>
      <c r="K204" s="2"/>
      <c r="L204" s="6">
        <f t="shared" si="124"/>
        <v>0</v>
      </c>
      <c r="M204" s="2"/>
      <c r="N204" s="7">
        <f t="shared" si="125"/>
        <v>0</v>
      </c>
      <c r="O204" s="11"/>
      <c r="P204" s="6">
        <v>595</v>
      </c>
      <c r="Q204" s="2"/>
      <c r="R204" s="7">
        <f t="shared" si="126"/>
        <v>1.6251811233633775E-4</v>
      </c>
      <c r="S204" s="2"/>
      <c r="T204" s="6">
        <v>145.63</v>
      </c>
      <c r="U204" s="2"/>
      <c r="V204" s="7">
        <f t="shared" si="127"/>
        <v>5.396472573820525E-5</v>
      </c>
      <c r="W204" s="2"/>
      <c r="X204" s="6">
        <f t="shared" si="128"/>
        <v>449.37</v>
      </c>
      <c r="Y204" s="2"/>
      <c r="Z204" s="7">
        <f t="shared" si="129"/>
        <v>3.085696628441942</v>
      </c>
    </row>
    <row r="205" spans="1:26" s="29" customFormat="1" outlineLevel="1" collapsed="1" x14ac:dyDescent="0.3">
      <c r="A205" s="27"/>
      <c r="B205" s="14" t="str">
        <f>CONCATENATE("     ","Travel                                            ")</f>
        <v xml:space="preserve">     Travel                                            </v>
      </c>
      <c r="C205" s="14"/>
      <c r="D205" s="1">
        <f>SUM(OSRRefD22_23x_0)</f>
        <v>24.4</v>
      </c>
      <c r="E205" s="1"/>
      <c r="F205" s="5">
        <f t="shared" si="122"/>
        <v>4.8974069514757681E-5</v>
      </c>
      <c r="G205" s="1"/>
      <c r="H205" s="1">
        <f>SUM(OSRRefH22_23x_0)</f>
        <v>0</v>
      </c>
      <c r="I205" s="1"/>
      <c r="J205" s="5">
        <f t="shared" si="123"/>
        <v>0</v>
      </c>
      <c r="K205" s="1"/>
      <c r="L205" s="1">
        <f t="shared" si="124"/>
        <v>24.4</v>
      </c>
      <c r="M205" s="1"/>
      <c r="N205" s="5">
        <f t="shared" si="125"/>
        <v>0</v>
      </c>
      <c r="O205" s="14"/>
      <c r="P205" s="1">
        <f>SUM(OSRRefP22_23x_0)</f>
        <v>882.0100000000001</v>
      </c>
      <c r="Q205" s="1"/>
      <c r="R205" s="5">
        <f t="shared" si="126"/>
        <v>2.4091193321306432E-4</v>
      </c>
      <c r="S205" s="1"/>
      <c r="T205" s="1">
        <f>SUM(OSRRefT22_23x_0)</f>
        <v>680.93</v>
      </c>
      <c r="U205" s="1"/>
      <c r="V205" s="5">
        <f t="shared" si="127"/>
        <v>2.5232576184107739E-4</v>
      </c>
      <c r="W205" s="1"/>
      <c r="X205" s="1">
        <f t="shared" si="128"/>
        <v>201.08000000000015</v>
      </c>
      <c r="Y205" s="1"/>
      <c r="Z205" s="5">
        <f t="shared" si="129"/>
        <v>0.29530201342281903</v>
      </c>
    </row>
    <row r="206" spans="1:26" s="24" customFormat="1" hidden="1" outlineLevel="2" x14ac:dyDescent="0.3">
      <c r="A206" s="28"/>
      <c r="B206" s="11" t="str">
        <f>CONCATENATE("          ", "6292", " - ", "TRAVEL/CONFERENCE")</f>
        <v xml:space="preserve">          6292 - TRAVEL/CONFERENCE</v>
      </c>
      <c r="C206" s="11"/>
      <c r="D206" s="6"/>
      <c r="E206" s="2"/>
      <c r="F206" s="7">
        <f t="shared" si="122"/>
        <v>0</v>
      </c>
      <c r="G206" s="2"/>
      <c r="H206" s="6"/>
      <c r="I206" s="2"/>
      <c r="J206" s="7">
        <f t="shared" si="123"/>
        <v>0</v>
      </c>
      <c r="K206" s="2"/>
      <c r="L206" s="6">
        <f t="shared" si="124"/>
        <v>0</v>
      </c>
      <c r="M206" s="2"/>
      <c r="N206" s="7">
        <f t="shared" si="125"/>
        <v>0</v>
      </c>
      <c r="O206" s="11"/>
      <c r="P206" s="6">
        <v>495</v>
      </c>
      <c r="Q206" s="2"/>
      <c r="R206" s="7">
        <f t="shared" si="126"/>
        <v>1.3520414387644905E-4</v>
      </c>
      <c r="S206" s="2"/>
      <c r="T206" s="6">
        <v>299.16000000000003</v>
      </c>
      <c r="U206" s="2"/>
      <c r="V206" s="7">
        <f t="shared" si="127"/>
        <v>1.1085687943309404E-4</v>
      </c>
      <c r="W206" s="2"/>
      <c r="X206" s="6">
        <f t="shared" si="128"/>
        <v>195.83999999999997</v>
      </c>
      <c r="Y206" s="2"/>
      <c r="Z206" s="7">
        <f t="shared" si="129"/>
        <v>0.65463297232250284</v>
      </c>
    </row>
    <row r="207" spans="1:26" s="24" customFormat="1" hidden="1" outlineLevel="2" x14ac:dyDescent="0.3">
      <c r="A207" s="28"/>
      <c r="B207" s="11" t="str">
        <f>CONCATENATE("          ", "6294", " - ", "TRAVEL OPERATIONAL")</f>
        <v xml:space="preserve">          6294 - TRAVEL OPERATIONAL</v>
      </c>
      <c r="C207" s="11"/>
      <c r="D207" s="6">
        <v>24.4</v>
      </c>
      <c r="E207" s="2"/>
      <c r="F207" s="7">
        <f t="shared" si="122"/>
        <v>4.8974069514757681E-5</v>
      </c>
      <c r="G207" s="2"/>
      <c r="H207" s="6"/>
      <c r="I207" s="2"/>
      <c r="J207" s="7">
        <f t="shared" si="123"/>
        <v>0</v>
      </c>
      <c r="K207" s="2"/>
      <c r="L207" s="6">
        <f t="shared" si="124"/>
        <v>24.4</v>
      </c>
      <c r="M207" s="2"/>
      <c r="N207" s="7">
        <f t="shared" si="125"/>
        <v>0</v>
      </c>
      <c r="O207" s="11"/>
      <c r="P207" s="6">
        <v>239.93</v>
      </c>
      <c r="Q207" s="2"/>
      <c r="R207" s="7">
        <f t="shared" si="126"/>
        <v>6.5534404525810947E-5</v>
      </c>
      <c r="S207" s="2"/>
      <c r="T207" s="6">
        <v>321.88</v>
      </c>
      <c r="U207" s="2"/>
      <c r="V207" s="7">
        <f t="shared" si="127"/>
        <v>1.1927601401231551E-4</v>
      </c>
      <c r="W207" s="2"/>
      <c r="X207" s="6">
        <f t="shared" si="128"/>
        <v>-81.949999999999989</v>
      </c>
      <c r="Y207" s="2"/>
      <c r="Z207" s="7">
        <f t="shared" si="129"/>
        <v>-0.25459798682738904</v>
      </c>
    </row>
    <row r="208" spans="1:26" s="24" customFormat="1" hidden="1" outlineLevel="2" x14ac:dyDescent="0.3">
      <c r="A208" s="28"/>
      <c r="B208" s="11" t="str">
        <f>CONCATENATE("          ", "6298", " - ", "VEHICLE MILEAGE")</f>
        <v xml:space="preserve">          6298 - VEHICLE MILEAGE</v>
      </c>
      <c r="C208" s="11"/>
      <c r="D208" s="6"/>
      <c r="E208" s="2"/>
      <c r="F208" s="7">
        <f t="shared" si="122"/>
        <v>0</v>
      </c>
      <c r="G208" s="2"/>
      <c r="H208" s="6"/>
      <c r="I208" s="2"/>
      <c r="J208" s="7">
        <f t="shared" si="123"/>
        <v>0</v>
      </c>
      <c r="K208" s="2"/>
      <c r="L208" s="6">
        <f t="shared" si="124"/>
        <v>0</v>
      </c>
      <c r="M208" s="2"/>
      <c r="N208" s="7">
        <f t="shared" si="125"/>
        <v>0</v>
      </c>
      <c r="O208" s="11"/>
      <c r="P208" s="6">
        <v>147.08000000000001</v>
      </c>
      <c r="Q208" s="2"/>
      <c r="R208" s="7">
        <f t="shared" si="126"/>
        <v>4.0173384810804298E-5</v>
      </c>
      <c r="S208" s="2"/>
      <c r="T208" s="6">
        <v>59.89</v>
      </c>
      <c r="U208" s="2"/>
      <c r="V208" s="7">
        <f t="shared" si="127"/>
        <v>2.2192868395667875E-5</v>
      </c>
      <c r="W208" s="2"/>
      <c r="X208" s="6">
        <f t="shared" si="128"/>
        <v>87.190000000000012</v>
      </c>
      <c r="Y208" s="2"/>
      <c r="Z208" s="7">
        <f t="shared" si="129"/>
        <v>1.455835698781099</v>
      </c>
    </row>
    <row r="209" spans="1:26" s="29" customFormat="1" outlineLevel="1" collapsed="1" x14ac:dyDescent="0.3">
      <c r="A209" s="27"/>
      <c r="B209" s="14" t="str">
        <f>CONCATENATE("     ","Utilities                                         ")</f>
        <v xml:space="preserve">     Utilities                                         </v>
      </c>
      <c r="C209" s="14"/>
      <c r="D209" s="1">
        <f>SUM(OSRRefD22_24x_0)</f>
        <v>62.92</v>
      </c>
      <c r="E209" s="1"/>
      <c r="F209" s="5">
        <f t="shared" ref="F209:F210" si="130">IF(D$12=0,0,D209/D$12)</f>
        <v>1.2628887106018663E-4</v>
      </c>
      <c r="G209" s="1"/>
      <c r="H209" s="1">
        <f>SUM(OSRRefH22_24x_0)</f>
        <v>6175.61</v>
      </c>
      <c r="I209" s="1"/>
      <c r="J209" s="5">
        <f t="shared" ref="J209:J210" si="131">IF(H$12=0,0,H209/H$12)</f>
        <v>2.6433095092302104E-2</v>
      </c>
      <c r="K209" s="1"/>
      <c r="L209" s="1">
        <f t="shared" ref="L209:L210" si="132">+D209-H209</f>
        <v>-6112.69</v>
      </c>
      <c r="M209" s="1"/>
      <c r="N209" s="5">
        <f t="shared" ref="N209:N210" si="133">IF(H209=0,0,L209/H209)</f>
        <v>-0.98981153278785416</v>
      </c>
      <c r="O209" s="14"/>
      <c r="P209" s="1">
        <f>SUM(OSRRefP22_24x_0)</f>
        <v>30246.51</v>
      </c>
      <c r="Q209" s="1"/>
      <c r="R209" s="5">
        <f t="shared" ref="R209:R210" si="134">IF(P$12=0,0,P209/P$12)</f>
        <v>8.2615222016170792E-3</v>
      </c>
      <c r="S209" s="1"/>
      <c r="T209" s="1">
        <f>SUM(OSRRefT22_24x_0)</f>
        <v>36761.42</v>
      </c>
      <c r="U209" s="1"/>
      <c r="V209" s="5">
        <f t="shared" ref="V209:V210" si="135">IF(T$12=0,0,T209/T$12)</f>
        <v>1.3622330207010735E-2</v>
      </c>
      <c r="W209" s="1"/>
      <c r="X209" s="1">
        <f t="shared" ref="X209:X210" si="136">+P209-T209</f>
        <v>-6514.91</v>
      </c>
      <c r="Y209" s="1"/>
      <c r="Z209" s="5">
        <f t="shared" ref="Z209:Z210" si="137">IF(T209=0,0,X209/T209)</f>
        <v>-0.17722139133907233</v>
      </c>
    </row>
    <row r="210" spans="1:26" s="24" customFormat="1" hidden="1" outlineLevel="2" x14ac:dyDescent="0.3">
      <c r="A210" s="28"/>
      <c r="B210" s="11" t="str">
        <f>CONCATENATE("          ", "6274", " - ", "UTILITIES")</f>
        <v xml:space="preserve">          6274 - UTILITIES</v>
      </c>
      <c r="C210" s="11"/>
      <c r="D210" s="6">
        <v>62.92</v>
      </c>
      <c r="E210" s="2"/>
      <c r="F210" s="7">
        <f t="shared" si="130"/>
        <v>1.2628887106018663E-4</v>
      </c>
      <c r="G210" s="2"/>
      <c r="H210" s="6">
        <v>6175.61</v>
      </c>
      <c r="I210" s="2"/>
      <c r="J210" s="7">
        <f t="shared" si="131"/>
        <v>2.6433095092302104E-2</v>
      </c>
      <c r="K210" s="2"/>
      <c r="L210" s="6">
        <f t="shared" si="132"/>
        <v>-6112.69</v>
      </c>
      <c r="M210" s="2"/>
      <c r="N210" s="7">
        <f t="shared" si="133"/>
        <v>-0.98981153278785416</v>
      </c>
      <c r="O210" s="11"/>
      <c r="P210" s="6">
        <v>30246.51</v>
      </c>
      <c r="Q210" s="2"/>
      <c r="R210" s="7">
        <f t="shared" si="134"/>
        <v>8.2615222016170792E-3</v>
      </c>
      <c r="S210" s="2"/>
      <c r="T210" s="6">
        <v>36761.42</v>
      </c>
      <c r="U210" s="2"/>
      <c r="V210" s="7">
        <f t="shared" si="135"/>
        <v>1.3622330207010735E-2</v>
      </c>
      <c r="W210" s="2"/>
      <c r="X210" s="6">
        <f t="shared" si="136"/>
        <v>-6514.91</v>
      </c>
      <c r="Y210" s="2"/>
      <c r="Z210" s="7">
        <f t="shared" si="137"/>
        <v>-0.17722139133907233</v>
      </c>
    </row>
    <row r="211" spans="1:26" s="53" customFormat="1" x14ac:dyDescent="0.3">
      <c r="A211" s="37"/>
      <c r="B211" s="37"/>
      <c r="C211" s="37"/>
      <c r="D211" s="1"/>
      <c r="E211" s="1"/>
      <c r="F211" s="5"/>
      <c r="G211" s="1"/>
      <c r="H211" s="1"/>
      <c r="I211" s="1"/>
      <c r="J211" s="5"/>
      <c r="K211" s="1"/>
      <c r="L211" s="1"/>
      <c r="M211" s="1"/>
      <c r="N211" s="5"/>
      <c r="O211" s="37"/>
      <c r="P211" s="1"/>
      <c r="Q211" s="1"/>
      <c r="R211" s="5"/>
      <c r="S211" s="1"/>
      <c r="T211" s="1"/>
      <c r="U211" s="1"/>
      <c r="V211" s="5"/>
      <c r="W211" s="1"/>
      <c r="X211" s="1"/>
      <c r="Y211" s="1"/>
      <c r="Z211" s="5"/>
    </row>
    <row r="212" spans="1:26" s="23" customFormat="1" collapsed="1" x14ac:dyDescent="0.3">
      <c r="A212" s="10"/>
      <c r="B212" s="25" t="s">
        <v>292</v>
      </c>
      <c r="C212" s="10"/>
      <c r="D212" s="4">
        <f>SUM(OSRRefD25x_0)</f>
        <v>13670.93</v>
      </c>
      <c r="E212" s="4"/>
      <c r="F212" s="12">
        <f t="shared" ref="F212:F216" si="138">IF(D$12=0,0,D212/D$12)</f>
        <v>2.7439388366860093E-2</v>
      </c>
      <c r="G212" s="4"/>
      <c r="H212" s="4">
        <f>SUM(OSRRefH25x_0)</f>
        <v>20009.02</v>
      </c>
      <c r="I212" s="4"/>
      <c r="J212" s="12">
        <f t="shared" ref="J212:J216" si="139">IF(H$12=0,0,H212/H$12)</f>
        <v>8.5643414717537961E-2</v>
      </c>
      <c r="K212" s="4"/>
      <c r="L212" s="4">
        <f t="shared" ref="L212:L216" si="140">+D212-H212</f>
        <v>-6338.09</v>
      </c>
      <c r="M212" s="4"/>
      <c r="N212" s="12">
        <f t="shared" ref="N212:N216" si="141">IF(H212=0,0,L212/H212)</f>
        <v>-0.31676164050013444</v>
      </c>
      <c r="O212" s="10"/>
      <c r="P212" s="4">
        <f>SUM(OSRRefP25x_0)</f>
        <v>469908.72</v>
      </c>
      <c r="Q212" s="4"/>
      <c r="R212" s="12">
        <f t="shared" ref="R212:R216" si="142">IF(P$12=0,0,P212/P$12)</f>
        <v>0.12835071957106667</v>
      </c>
      <c r="S212" s="4"/>
      <c r="T212" s="4">
        <f>SUM(OSRRefT25x_0)</f>
        <v>544389.27</v>
      </c>
      <c r="U212" s="4"/>
      <c r="V212" s="12">
        <f t="shared" ref="V212:V216" si="143">IF(T$12=0,0,T212/T$12)</f>
        <v>0.20172916054639684</v>
      </c>
      <c r="W212" s="4"/>
      <c r="X212" s="4">
        <f t="shared" ref="X212:X216" si="144">+P212-T212</f>
        <v>-74480.550000000047</v>
      </c>
      <c r="Y212" s="4"/>
      <c r="Z212" s="12">
        <f t="shared" ref="Z212:Z216" si="145">IF(T212=0,0,X212/T212)</f>
        <v>-0.13681487513521354</v>
      </c>
    </row>
    <row r="213" spans="1:26" s="24" customFormat="1" hidden="1" outlineLevel="1" x14ac:dyDescent="0.3">
      <c r="A213" s="44"/>
      <c r="B213" s="11" t="str">
        <f>CONCATENATE("          ", "9150", " - ", "MISC. INCOME")</f>
        <v xml:space="preserve">          9150 - MISC. INCOME</v>
      </c>
      <c r="C213" s="11"/>
      <c r="D213" s="2">
        <f>--12739.24</f>
        <v>12739.24</v>
      </c>
      <c r="E213" s="2"/>
      <c r="F213" s="19">
        <f t="shared" si="138"/>
        <v>2.5569361693654986E-2</v>
      </c>
      <c r="G213" s="2"/>
      <c r="H213" s="2">
        <f>--19529.32</f>
        <v>19529.32</v>
      </c>
      <c r="I213" s="2"/>
      <c r="J213" s="19">
        <f t="shared" si="139"/>
        <v>8.3590183422851724E-2</v>
      </c>
      <c r="K213" s="2"/>
      <c r="L213" s="2">
        <f t="shared" si="140"/>
        <v>-6790.08</v>
      </c>
      <c r="M213" s="2"/>
      <c r="N213" s="19">
        <f t="shared" si="141"/>
        <v>-0.3476864529845381</v>
      </c>
      <c r="O213" s="11"/>
      <c r="P213" s="2">
        <f>--225570.06</f>
        <v>225570.06</v>
      </c>
      <c r="Q213" s="2"/>
      <c r="R213" s="19">
        <f t="shared" si="142"/>
        <v>6.1612135043352001E-2</v>
      </c>
      <c r="S213" s="2"/>
      <c r="T213" s="2">
        <f>--218612.11</f>
        <v>218612.11</v>
      </c>
      <c r="U213" s="2"/>
      <c r="V213" s="19">
        <f t="shared" si="143"/>
        <v>8.1009012972604252E-2</v>
      </c>
      <c r="W213" s="2"/>
      <c r="X213" s="2">
        <f t="shared" si="144"/>
        <v>6957.9500000000116</v>
      </c>
      <c r="Y213" s="2"/>
      <c r="Z213" s="19">
        <f t="shared" si="145"/>
        <v>3.1827834240289857E-2</v>
      </c>
    </row>
    <row r="214" spans="1:26" s="24" customFormat="1" hidden="1" outlineLevel="1" x14ac:dyDescent="0.3">
      <c r="A214" s="44"/>
      <c r="B214" s="11" t="str">
        <f>CONCATENATE("          ", "9151", " - ", "MISC. INCOME")</f>
        <v xml:space="preserve">          9151 - MISC. INCOME</v>
      </c>
      <c r="C214" s="11"/>
      <c r="D214" s="2">
        <f>0</f>
        <v>0</v>
      </c>
      <c r="E214" s="2"/>
      <c r="F214" s="19">
        <f t="shared" si="138"/>
        <v>0</v>
      </c>
      <c r="G214" s="2"/>
      <c r="H214" s="2">
        <f>0</f>
        <v>0</v>
      </c>
      <c r="I214" s="2"/>
      <c r="J214" s="19">
        <f t="shared" si="139"/>
        <v>0</v>
      </c>
      <c r="K214" s="2"/>
      <c r="L214" s="2">
        <f t="shared" si="140"/>
        <v>0</v>
      </c>
      <c r="M214" s="2"/>
      <c r="N214" s="19">
        <f t="shared" si="141"/>
        <v>0</v>
      </c>
      <c r="O214" s="11"/>
      <c r="P214" s="2">
        <f>--168463.36</f>
        <v>168463.35999999999</v>
      </c>
      <c r="Q214" s="2"/>
      <c r="R214" s="19">
        <f t="shared" si="142"/>
        <v>4.601402901686874E-2</v>
      </c>
      <c r="S214" s="2"/>
      <c r="T214" s="2">
        <f>--147285.39</f>
        <v>147285.39000000001</v>
      </c>
      <c r="U214" s="2"/>
      <c r="V214" s="19">
        <f t="shared" si="143"/>
        <v>5.4578147885700742E-2</v>
      </c>
      <c r="W214" s="2"/>
      <c r="X214" s="2">
        <f t="shared" si="144"/>
        <v>21177.969999999972</v>
      </c>
      <c r="Y214" s="2"/>
      <c r="Z214" s="19">
        <f t="shared" si="145"/>
        <v>0.14378866770152809</v>
      </c>
    </row>
    <row r="215" spans="1:26" s="24" customFormat="1" hidden="1" outlineLevel="1" x14ac:dyDescent="0.3">
      <c r="A215" s="44"/>
      <c r="B215" s="11" t="str">
        <f>CONCATENATE("          ", "9152", " - ", "MISC. INCOME")</f>
        <v xml:space="preserve">          9152 - MISC. INCOME</v>
      </c>
      <c r="C215" s="11"/>
      <c r="D215" s="2">
        <f>--931.69</f>
        <v>931.69</v>
      </c>
      <c r="E215" s="2"/>
      <c r="F215" s="19">
        <f t="shared" si="138"/>
        <v>1.8700266732051061E-3</v>
      </c>
      <c r="G215" s="2"/>
      <c r="H215" s="2">
        <f>--479.7</f>
        <v>479.7</v>
      </c>
      <c r="I215" s="2"/>
      <c r="J215" s="19">
        <f t="shared" si="139"/>
        <v>2.0532312946862446E-3</v>
      </c>
      <c r="K215" s="2"/>
      <c r="L215" s="2">
        <f t="shared" si="140"/>
        <v>451.99000000000007</v>
      </c>
      <c r="M215" s="2"/>
      <c r="N215" s="19">
        <f t="shared" si="141"/>
        <v>0.94223473003960823</v>
      </c>
      <c r="O215" s="11"/>
      <c r="P215" s="2">
        <f>--3127.1</f>
        <v>3127.1</v>
      </c>
      <c r="Q215" s="2"/>
      <c r="R215" s="19">
        <f t="shared" si="142"/>
        <v>8.5413510770917936E-4</v>
      </c>
      <c r="S215" s="2"/>
      <c r="T215" s="2">
        <f>--3085.93</f>
        <v>3085.93</v>
      </c>
      <c r="U215" s="2"/>
      <c r="V215" s="19">
        <f t="shared" si="143"/>
        <v>1.1435237663757448E-3</v>
      </c>
      <c r="W215" s="2"/>
      <c r="X215" s="2">
        <f t="shared" si="144"/>
        <v>41.170000000000073</v>
      </c>
      <c r="Y215" s="2"/>
      <c r="Z215" s="19">
        <f t="shared" si="145"/>
        <v>1.3341196981136991E-2</v>
      </c>
    </row>
    <row r="216" spans="1:26" s="24" customFormat="1" hidden="1" outlineLevel="1" x14ac:dyDescent="0.3">
      <c r="A216" s="44"/>
      <c r="B216" s="11" t="str">
        <f>CONCATENATE("          ", "9163", " - ", "MISC. INCOME")</f>
        <v xml:space="preserve">          9163 - MISC. INCOME</v>
      </c>
      <c r="C216" s="11"/>
      <c r="D216" s="2">
        <f>0</f>
        <v>0</v>
      </c>
      <c r="E216" s="2"/>
      <c r="F216" s="19">
        <f t="shared" si="138"/>
        <v>0</v>
      </c>
      <c r="G216" s="2"/>
      <c r="H216" s="2">
        <f>0</f>
        <v>0</v>
      </c>
      <c r="I216" s="2"/>
      <c r="J216" s="19">
        <f t="shared" si="139"/>
        <v>0</v>
      </c>
      <c r="K216" s="2"/>
      <c r="L216" s="2">
        <f t="shared" si="140"/>
        <v>0</v>
      </c>
      <c r="M216" s="2"/>
      <c r="N216" s="19">
        <f t="shared" si="141"/>
        <v>0</v>
      </c>
      <c r="O216" s="11"/>
      <c r="P216" s="2">
        <f>--72748.2</f>
        <v>72748.2</v>
      </c>
      <c r="Q216" s="2"/>
      <c r="R216" s="19">
        <f t="shared" si="142"/>
        <v>1.9870420403136746E-2</v>
      </c>
      <c r="S216" s="2"/>
      <c r="T216" s="2">
        <f>--175405.84</f>
        <v>175405.84</v>
      </c>
      <c r="U216" s="2"/>
      <c r="V216" s="19">
        <f t="shared" si="143"/>
        <v>6.4998475921716078E-2</v>
      </c>
      <c r="W216" s="2"/>
      <c r="X216" s="2">
        <f t="shared" si="144"/>
        <v>-102657.64</v>
      </c>
      <c r="Y216" s="2"/>
      <c r="Z216" s="19">
        <f t="shared" si="145"/>
        <v>-0.58525782265858428</v>
      </c>
    </row>
    <row r="217" spans="1:26" x14ac:dyDescent="0.3">
      <c r="A217" s="9"/>
      <c r="B217" s="10"/>
      <c r="C217" s="10"/>
      <c r="D217" s="3"/>
      <c r="E217" s="3"/>
      <c r="F217" s="8"/>
      <c r="G217" s="3"/>
      <c r="H217" s="3"/>
      <c r="I217" s="3"/>
      <c r="J217" s="8"/>
      <c r="K217" s="3"/>
      <c r="L217" s="3"/>
      <c r="M217" s="3"/>
      <c r="N217" s="8"/>
      <c r="O217" s="10"/>
      <c r="P217" s="3"/>
      <c r="Q217" s="3"/>
      <c r="R217" s="8"/>
      <c r="S217" s="3"/>
      <c r="T217" s="3"/>
      <c r="U217" s="3"/>
      <c r="V217" s="8"/>
      <c r="W217" s="3"/>
      <c r="X217" s="3"/>
      <c r="Y217" s="3"/>
      <c r="Z217" s="8"/>
    </row>
    <row r="218" spans="1:26" s="23" customFormat="1" x14ac:dyDescent="0.3">
      <c r="A218" s="10"/>
      <c r="B218" s="26" t="s">
        <v>276</v>
      </c>
      <c r="C218" s="26"/>
      <c r="D218" s="20">
        <f>+D121-D123+D212</f>
        <v>-22541.029999999904</v>
      </c>
      <c r="E218" s="13"/>
      <c r="F218" s="21">
        <f>IF(D$12=0,0,D218/D$12)</f>
        <v>-4.5242867629271877E-2</v>
      </c>
      <c r="G218" s="13"/>
      <c r="H218" s="20">
        <f>+H121-H123+H212</f>
        <v>-127833.96000000006</v>
      </c>
      <c r="I218" s="13"/>
      <c r="J218" s="21">
        <f>IF(H$12=0,0,H218/H$12)</f>
        <v>-0.54716007337016825</v>
      </c>
      <c r="K218" s="15"/>
      <c r="L218" s="20">
        <f>+D218-H218</f>
        <v>105292.93000000017</v>
      </c>
      <c r="M218" s="15"/>
      <c r="N218" s="21">
        <f>IF(H218=0,0,L218/H218)</f>
        <v>-0.82366946936479257</v>
      </c>
      <c r="O218" s="25"/>
      <c r="P218" s="20">
        <f>+P121-P123+P212</f>
        <v>51440.409999999683</v>
      </c>
      <c r="Q218" s="13"/>
      <c r="R218" s="21">
        <f>IF(P$12=0,0,P218/P$12)</f>
        <v>1.4050417363037344E-2</v>
      </c>
      <c r="S218" s="13"/>
      <c r="T218" s="20">
        <f>+T121-T123+T212</f>
        <v>-99044.669999998761</v>
      </c>
      <c r="U218" s="13"/>
      <c r="V218" s="21">
        <f>IF(T$12=0,0,T218/T$12)</f>
        <v>-3.6702042521327881E-2</v>
      </c>
      <c r="W218" s="15"/>
      <c r="X218" s="20">
        <f>+P218-T218</f>
        <v>150485.07999999844</v>
      </c>
      <c r="Y218" s="15"/>
      <c r="Z218" s="21">
        <f>IF(T218=0,0,X218/T218)</f>
        <v>-1.5193657568852552</v>
      </c>
    </row>
    <row r="219" spans="1:26" x14ac:dyDescent="0.3">
      <c r="A219" s="9"/>
      <c r="B219" s="10"/>
      <c r="C219" s="9"/>
      <c r="D219" s="3"/>
      <c r="E219" s="3"/>
      <c r="F219" s="8"/>
      <c r="G219" s="3"/>
      <c r="H219" s="3"/>
      <c r="I219" s="3"/>
      <c r="J219" s="8"/>
      <c r="K219" s="3"/>
      <c r="L219" s="3"/>
      <c r="M219" s="3"/>
      <c r="N219" s="8"/>
      <c r="P219" s="3"/>
      <c r="Q219" s="3"/>
      <c r="R219" s="8"/>
      <c r="S219" s="3"/>
      <c r="T219" s="3"/>
      <c r="U219" s="3"/>
      <c r="V219" s="8"/>
      <c r="W219" s="3"/>
      <c r="X219" s="3"/>
      <c r="Y219" s="3"/>
      <c r="Z219" s="8"/>
    </row>
    <row r="220" spans="1:26" s="23" customFormat="1" x14ac:dyDescent="0.3">
      <c r="A220" s="51"/>
      <c r="B220" s="10" t="s">
        <v>127</v>
      </c>
      <c r="C220" s="10"/>
      <c r="D220" s="4">
        <v>63953.79</v>
      </c>
      <c r="E220" s="4"/>
      <c r="F220" s="12">
        <f>IF(D$12=0,0,D220/D$12)</f>
        <v>0.12836382611443503</v>
      </c>
      <c r="G220" s="4"/>
      <c r="H220" s="4">
        <v>107621.36</v>
      </c>
      <c r="I220" s="4"/>
      <c r="J220" s="12">
        <f>IF(H$12=0,0,H220/H$12)</f>
        <v>0.46064528732269006</v>
      </c>
      <c r="K220" s="4"/>
      <c r="L220" s="4">
        <f>+D220-H220</f>
        <v>-43667.57</v>
      </c>
      <c r="M220" s="4"/>
      <c r="N220" s="12">
        <f>IF(H220=0,0,L220/H220)</f>
        <v>-0.40575188791518707</v>
      </c>
      <c r="O220" s="10"/>
      <c r="P220" s="4">
        <v>440693.2</v>
      </c>
      <c r="Q220" s="4"/>
      <c r="R220" s="12">
        <f>IF(P$12=0,0,P220/P$12)</f>
        <v>0.12037080165287421</v>
      </c>
      <c r="S220" s="4"/>
      <c r="T220" s="4">
        <v>499300.85</v>
      </c>
      <c r="U220" s="4"/>
      <c r="V220" s="12">
        <f>IF(T$12=0,0,T220/T$12)</f>
        <v>0.1850211730488413</v>
      </c>
      <c r="W220" s="4"/>
      <c r="X220" s="4">
        <f>+P220-T220</f>
        <v>-58607.649999999965</v>
      </c>
      <c r="Y220" s="4"/>
      <c r="Z220" s="12">
        <f>IF(T220=0,0,X220/T220)</f>
        <v>-0.11737943165928912</v>
      </c>
    </row>
    <row r="221" spans="1:26" x14ac:dyDescent="0.3">
      <c r="A221" s="9"/>
      <c r="B221" s="10"/>
      <c r="C221" s="10"/>
      <c r="D221" s="3"/>
      <c r="E221" s="3"/>
      <c r="F221" s="8"/>
      <c r="G221" s="3"/>
      <c r="H221" s="3"/>
      <c r="I221" s="3"/>
      <c r="J221" s="8"/>
      <c r="K221" s="3"/>
      <c r="L221" s="3"/>
      <c r="M221" s="3"/>
      <c r="N221" s="8"/>
      <c r="O221" s="10"/>
      <c r="P221" s="3"/>
      <c r="Q221" s="3"/>
      <c r="R221" s="8"/>
      <c r="S221" s="3"/>
      <c r="T221" s="3"/>
      <c r="U221" s="3"/>
      <c r="V221" s="8"/>
      <c r="W221" s="3"/>
      <c r="X221" s="3"/>
      <c r="Y221" s="3"/>
      <c r="Z221" s="8"/>
    </row>
    <row r="222" spans="1:26" s="23" customFormat="1" ht="15" thickBot="1" x14ac:dyDescent="0.35">
      <c r="A222" s="10"/>
      <c r="B222" s="26" t="s">
        <v>125</v>
      </c>
      <c r="C222" s="26"/>
      <c r="D222" s="32">
        <f>+D218-D220</f>
        <v>-86494.819999999905</v>
      </c>
      <c r="E222" s="13"/>
      <c r="F222" s="35">
        <f>IF(D$12=0,0,D222/D$12)</f>
        <v>-0.17360669374370691</v>
      </c>
      <c r="G222" s="13"/>
      <c r="H222" s="32">
        <f>+H218-H220</f>
        <v>-235455.32000000007</v>
      </c>
      <c r="I222" s="13"/>
      <c r="J222" s="35">
        <f>IF(H$12=0,0,H222/H$12)</f>
        <v>-1.0078053606928583</v>
      </c>
      <c r="K222" s="15"/>
      <c r="L222" s="32">
        <f>D222-H222</f>
        <v>148960.50000000017</v>
      </c>
      <c r="M222" s="15"/>
      <c r="N222" s="35">
        <f>IF(H222=0,0,L222/H222)</f>
        <v>-0.63264869105527166</v>
      </c>
      <c r="O222" s="25"/>
      <c r="P222" s="32">
        <f>+P218-P220</f>
        <v>-389252.79000000033</v>
      </c>
      <c r="Q222" s="13"/>
      <c r="R222" s="35">
        <f>IF(P$12=0,0,P222/P$12)</f>
        <v>-0.10632038428983687</v>
      </c>
      <c r="S222" s="13"/>
      <c r="T222" s="32">
        <f>+T218-T220</f>
        <v>-598345.51999999874</v>
      </c>
      <c r="U222" s="13"/>
      <c r="V222" s="35">
        <f>IF(T$12=0,0,T222/T$12)</f>
        <v>-0.22172321557016919</v>
      </c>
      <c r="W222" s="15"/>
      <c r="X222" s="32">
        <f>P222-T222</f>
        <v>209092.72999999841</v>
      </c>
      <c r="Y222" s="15"/>
      <c r="Z222" s="35">
        <f>IF(T222=0,0,X222/T222)</f>
        <v>-0.3494514841524991</v>
      </c>
    </row>
    <row r="223" spans="1:26" ht="15" thickTop="1" x14ac:dyDescent="0.3">
      <c r="A223" s="9"/>
      <c r="B223" s="9"/>
      <c r="C223" s="9"/>
      <c r="D223" s="3"/>
      <c r="E223" s="3"/>
      <c r="F223" s="8"/>
      <c r="G223" s="3"/>
      <c r="H223" s="3"/>
      <c r="I223" s="3"/>
      <c r="J223" s="8"/>
      <c r="K223" s="3"/>
      <c r="L223" s="3"/>
      <c r="M223" s="3"/>
      <c r="N223" s="8"/>
      <c r="P223" s="3"/>
      <c r="Q223" s="3"/>
      <c r="R223" s="8"/>
      <c r="S223" s="3"/>
      <c r="T223" s="3"/>
      <c r="U223" s="3"/>
      <c r="V223" s="8"/>
      <c r="W223" s="3"/>
      <c r="X223" s="3"/>
      <c r="Y223" s="3"/>
      <c r="Z223" s="8"/>
    </row>
    <row r="224" spans="1:26" x14ac:dyDescent="0.3">
      <c r="A224" s="9"/>
      <c r="B224" s="9"/>
      <c r="C224" s="9"/>
      <c r="D224" s="3"/>
      <c r="E224" s="3"/>
      <c r="F224" s="8"/>
      <c r="G224" s="3"/>
      <c r="H224" s="3"/>
      <c r="I224" s="3"/>
      <c r="J224" s="8"/>
      <c r="K224" s="3"/>
      <c r="L224" s="3"/>
      <c r="M224" s="3"/>
      <c r="N224" s="8"/>
      <c r="P224" s="3"/>
      <c r="Q224" s="3"/>
      <c r="R224" s="8"/>
      <c r="S224" s="3"/>
      <c r="T224" s="3"/>
      <c r="U224" s="3"/>
      <c r="V224" s="8"/>
      <c r="W224" s="3"/>
      <c r="X224" s="3"/>
      <c r="Y224" s="3"/>
      <c r="Z224" s="8"/>
    </row>
    <row r="225" spans="1:26" s="23" customFormat="1" ht="15" thickBot="1" x14ac:dyDescent="0.35">
      <c r="A225" s="10"/>
      <c r="B225" s="26" t="s">
        <v>293</v>
      </c>
      <c r="C225" s="26"/>
      <c r="D225" s="31">
        <f>SUM(D222:D224)</f>
        <v>-86494.819999999905</v>
      </c>
      <c r="E225" s="13"/>
      <c r="F225" s="33">
        <f>IF(D$12=0,0,D225/D$12)</f>
        <v>-0.17360669374370691</v>
      </c>
      <c r="G225" s="13"/>
      <c r="H225" s="31">
        <f>SUM(H222:H224)</f>
        <v>-235455.32000000007</v>
      </c>
      <c r="I225" s="13"/>
      <c r="J225" s="33">
        <f>IF(H$12=0,0,H225/H$12)</f>
        <v>-1.0078053606928583</v>
      </c>
      <c r="K225" s="15"/>
      <c r="L225" s="31">
        <f>+D225-H225</f>
        <v>148960.50000000017</v>
      </c>
      <c r="M225" s="15"/>
      <c r="N225" s="33">
        <f>IF(H225=0,0,L225/H225)</f>
        <v>-0.63264869105527166</v>
      </c>
      <c r="O225" s="25"/>
      <c r="P225" s="31">
        <f>SUM(P222:P224)</f>
        <v>-389252.79000000033</v>
      </c>
      <c r="Q225" s="13"/>
      <c r="R225" s="33">
        <f>IF(P$12=0,0,P225/P$12)</f>
        <v>-0.10632038428983687</v>
      </c>
      <c r="S225" s="13"/>
      <c r="T225" s="31">
        <f>SUM(T222:T224)</f>
        <v>-598345.51999999874</v>
      </c>
      <c r="U225" s="13"/>
      <c r="V225" s="33">
        <f>IF(T$12=0,0,T225/T$12)</f>
        <v>-0.22172321557016919</v>
      </c>
      <c r="W225" s="15"/>
      <c r="X225" s="31">
        <f>+P225-T225</f>
        <v>209092.72999999841</v>
      </c>
      <c r="Y225" s="15"/>
      <c r="Z225" s="33">
        <f>IF(T225=0,0,X225/T225)</f>
        <v>-0.3494514841524991</v>
      </c>
    </row>
    <row r="226" spans="1:26" ht="15" thickTop="1" x14ac:dyDescent="0.3">
      <c r="A226" s="9"/>
      <c r="C226" s="9"/>
      <c r="D226" s="17"/>
      <c r="E226" s="17"/>
      <c r="G226" s="17"/>
      <c r="H226" s="17"/>
      <c r="I226" s="17"/>
      <c r="J226" s="43"/>
      <c r="K226" s="17"/>
      <c r="L226" s="17"/>
      <c r="M226" s="17"/>
      <c r="P226" s="17"/>
      <c r="Q226" s="17"/>
      <c r="R226" s="43"/>
      <c r="S226" s="17"/>
      <c r="T226" s="17"/>
      <c r="U226" s="17"/>
      <c r="V226" s="43"/>
      <c r="W226" s="17"/>
      <c r="X226" s="17"/>
    </row>
    <row r="227" spans="1:26" x14ac:dyDescent="0.3">
      <c r="A227" s="9"/>
      <c r="B227" s="60">
        <v>44575.854551620374</v>
      </c>
      <c r="D227" s="17"/>
      <c r="E227" s="17"/>
      <c r="G227" s="17"/>
      <c r="H227" s="17"/>
      <c r="I227" s="17"/>
      <c r="J227" s="43"/>
      <c r="K227" s="17"/>
      <c r="L227" s="17"/>
      <c r="M227" s="17"/>
      <c r="P227" s="17"/>
      <c r="Q227" s="17"/>
      <c r="R227" s="43"/>
      <c r="S227" s="17"/>
      <c r="T227" s="17"/>
      <c r="U227" s="17"/>
      <c r="V227" s="43"/>
      <c r="W227" s="17"/>
      <c r="X227" s="17"/>
    </row>
    <row r="228" spans="1:26" x14ac:dyDescent="0.3">
      <c r="A228" s="9"/>
      <c r="B228" s="57" t="s">
        <v>56</v>
      </c>
      <c r="D228" s="17"/>
      <c r="E228" s="17"/>
      <c r="G228" s="17"/>
      <c r="H228" s="17"/>
      <c r="I228" s="17"/>
      <c r="J228" s="43"/>
      <c r="K228" s="17"/>
      <c r="L228" s="17"/>
      <c r="M228" s="17"/>
      <c r="P228" s="17"/>
      <c r="Q228" s="17"/>
      <c r="R228" s="43"/>
      <c r="S228" s="17"/>
      <c r="T228" s="17"/>
      <c r="U228" s="17"/>
      <c r="V228" s="43"/>
      <c r="W228" s="17"/>
      <c r="X228" s="17"/>
    </row>
    <row r="229" spans="1:26" x14ac:dyDescent="0.3">
      <c r="A229" s="9"/>
      <c r="B229" s="59"/>
      <c r="D229" s="17"/>
      <c r="E229" s="17"/>
      <c r="G229" s="17"/>
      <c r="H229" s="17"/>
      <c r="I229" s="17"/>
      <c r="J229" s="43"/>
      <c r="K229" s="17"/>
      <c r="L229" s="17"/>
      <c r="M229" s="17"/>
      <c r="P229" s="17"/>
      <c r="Q229" s="17"/>
      <c r="R229" s="43"/>
      <c r="S229" s="17"/>
      <c r="T229" s="17"/>
      <c r="U229" s="17"/>
      <c r="V229" s="43"/>
      <c r="W229" s="17"/>
      <c r="X229" s="17"/>
    </row>
    <row r="230" spans="1:26" x14ac:dyDescent="0.3">
      <c r="D230" s="17"/>
      <c r="E230" s="17"/>
      <c r="G230" s="17"/>
      <c r="H230" s="17"/>
      <c r="I230" s="17"/>
      <c r="J230" s="43"/>
      <c r="K230" s="17"/>
      <c r="L230" s="17"/>
      <c r="M230" s="17"/>
      <c r="P230" s="17"/>
      <c r="Q230" s="17"/>
      <c r="R230" s="43"/>
      <c r="S230" s="17"/>
      <c r="T230" s="17"/>
      <c r="U230" s="17"/>
      <c r="V230" s="43"/>
      <c r="W230" s="17"/>
      <c r="X230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312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outlinePr summaryBelow="0" summaryRight="0"/>
  </sheetPr>
  <dimension ref="A2:Z25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313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631765.17000000004</v>
      </c>
      <c r="E12" s="4"/>
      <c r="F12" s="12"/>
      <c r="G12" s="4"/>
      <c r="H12" s="4">
        <f>SUM(OSRRefH13x_0)</f>
        <v>313073.3600000001</v>
      </c>
      <c r="I12" s="4"/>
      <c r="J12" s="12"/>
      <c r="K12" s="4"/>
      <c r="L12" s="4">
        <f t="shared" ref="L12:L91" si="0">+D12-H12</f>
        <v>318691.80999999994</v>
      </c>
      <c r="M12" s="4"/>
      <c r="N12" s="12">
        <f t="shared" ref="N12:N91" si="1">IF(H12=0,0,L12/H12)</f>
        <v>1.0179461133326702</v>
      </c>
      <c r="O12" s="10"/>
      <c r="P12" s="4">
        <f>SUM(OSRRefP13x_0)</f>
        <v>4627780.1900000004</v>
      </c>
      <c r="Q12" s="4"/>
      <c r="R12" s="12"/>
      <c r="S12" s="4"/>
      <c r="T12" s="4">
        <f>SUM(OSRRefT13x_0)</f>
        <v>3973959.1800000016</v>
      </c>
      <c r="U12" s="4"/>
      <c r="V12" s="12"/>
      <c r="W12" s="4"/>
      <c r="X12" s="4">
        <f t="shared" ref="X12:X91" si="2">+P12-T12</f>
        <v>653821.00999999885</v>
      </c>
      <c r="Y12" s="4"/>
      <c r="Z12" s="12">
        <f t="shared" ref="Z12:Z91" si="3">IF(T12=0,0,X12/T12)</f>
        <v>0.16452635278452926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--614967.72</f>
        <v>614967.72</v>
      </c>
      <c r="E13" s="2"/>
      <c r="F13" s="19"/>
      <c r="G13" s="2"/>
      <c r="H13" s="2">
        <f>-32095.1</f>
        <v>-32095.1</v>
      </c>
      <c r="I13" s="2"/>
      <c r="J13" s="19"/>
      <c r="K13" s="2"/>
      <c r="L13" s="2">
        <f t="shared" si="0"/>
        <v>647062.81999999995</v>
      </c>
      <c r="M13" s="2"/>
      <c r="N13" s="19">
        <f t="shared" si="1"/>
        <v>-20.160797754174311</v>
      </c>
      <c r="O13" s="11"/>
      <c r="P13" s="2">
        <f>--3931182.46</f>
        <v>3931182.46</v>
      </c>
      <c r="Q13" s="2"/>
      <c r="R13" s="19"/>
      <c r="S13" s="2"/>
      <c r="T13" s="2">
        <f>-91137.86</f>
        <v>-91137.86</v>
      </c>
      <c r="U13" s="2"/>
      <c r="V13" s="19"/>
      <c r="W13" s="2"/>
      <c r="X13" s="2">
        <f t="shared" si="2"/>
        <v>4022320.32</v>
      </c>
      <c r="Y13" s="2"/>
      <c r="Z13" s="19">
        <f t="shared" si="3"/>
        <v>-44.134460914487128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6" si="4">0</f>
        <v>0</v>
      </c>
      <c r="E14" s="2"/>
      <c r="F14" s="19"/>
      <c r="G14" s="2"/>
      <c r="H14" s="2">
        <f>--11522</f>
        <v>11522</v>
      </c>
      <c r="I14" s="2"/>
      <c r="J14" s="19"/>
      <c r="K14" s="2"/>
      <c r="L14" s="2">
        <f t="shared" si="0"/>
        <v>-11522</v>
      </c>
      <c r="M14" s="2"/>
      <c r="N14" s="19">
        <f t="shared" si="1"/>
        <v>-1</v>
      </c>
      <c r="O14" s="11"/>
      <c r="P14" s="2">
        <f t="shared" ref="P14:P36" si="5">0</f>
        <v>0</v>
      </c>
      <c r="Q14" s="2"/>
      <c r="R14" s="19"/>
      <c r="S14" s="2"/>
      <c r="T14" s="2">
        <f>--730666.02</f>
        <v>730666.02</v>
      </c>
      <c r="U14" s="2"/>
      <c r="V14" s="19"/>
      <c r="W14" s="2"/>
      <c r="X14" s="2">
        <f t="shared" si="2"/>
        <v>-730666.02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--2822.44</f>
        <v>2822.44</v>
      </c>
      <c r="I15" s="2"/>
      <c r="J15" s="19"/>
      <c r="K15" s="2"/>
      <c r="L15" s="2">
        <f t="shared" si="0"/>
        <v>-2822.44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--323454.06</f>
        <v>323454.06</v>
      </c>
      <c r="U15" s="2"/>
      <c r="V15" s="19"/>
      <c r="W15" s="2"/>
      <c r="X15" s="2">
        <f t="shared" si="2"/>
        <v>-323454.06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--10665.63</f>
        <v>10665.63</v>
      </c>
      <c r="U16" s="2"/>
      <c r="V16" s="19"/>
      <c r="W16" s="2"/>
      <c r="X16" s="2">
        <f t="shared" si="2"/>
        <v>-10665.63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5"/>
        <v>0</v>
      </c>
      <c r="Q17" s="2"/>
      <c r="R17" s="19"/>
      <c r="S17" s="2"/>
      <c r="T17" s="2">
        <f>--2459.56</f>
        <v>2459.56</v>
      </c>
      <c r="U17" s="2"/>
      <c r="V17" s="19"/>
      <c r="W17" s="2"/>
      <c r="X17" s="2">
        <f t="shared" si="2"/>
        <v>-2459.56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--78.85</f>
        <v>78.849999999999994</v>
      </c>
      <c r="I18" s="2"/>
      <c r="J18" s="19"/>
      <c r="K18" s="2"/>
      <c r="L18" s="2">
        <f t="shared" si="0"/>
        <v>-78.849999999999994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--583.97</f>
        <v>583.97</v>
      </c>
      <c r="U18" s="2"/>
      <c r="V18" s="19"/>
      <c r="W18" s="2"/>
      <c r="X18" s="2">
        <f t="shared" si="2"/>
        <v>-583.97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--35.82</f>
        <v>35.82</v>
      </c>
      <c r="I19" s="2"/>
      <c r="J19" s="19"/>
      <c r="K19" s="2"/>
      <c r="L19" s="2">
        <f t="shared" si="0"/>
        <v>-35.82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--376.06</f>
        <v>376.06</v>
      </c>
      <c r="U19" s="2"/>
      <c r="V19" s="19"/>
      <c r="W19" s="2"/>
      <c r="X19" s="2">
        <f t="shared" si="2"/>
        <v>-376.06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--6.95</f>
        <v>6.95</v>
      </c>
      <c r="I20" s="2"/>
      <c r="J20" s="19"/>
      <c r="K20" s="2"/>
      <c r="L20" s="2">
        <f t="shared" si="0"/>
        <v>-6.95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--190.84</f>
        <v>190.84</v>
      </c>
      <c r="U20" s="2"/>
      <c r="V20" s="19"/>
      <c r="W20" s="2"/>
      <c r="X20" s="2">
        <f t="shared" si="2"/>
        <v>-190.84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--75.18</f>
        <v>75.180000000000007</v>
      </c>
      <c r="I21" s="2"/>
      <c r="J21" s="19"/>
      <c r="K21" s="2"/>
      <c r="L21" s="2">
        <f t="shared" si="0"/>
        <v>-75.180000000000007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--372.38</f>
        <v>372.38</v>
      </c>
      <c r="U21" s="2"/>
      <c r="V21" s="19"/>
      <c r="W21" s="2"/>
      <c r="X21" s="2">
        <f t="shared" si="2"/>
        <v>-372.38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--3253.96</f>
        <v>3253.96</v>
      </c>
      <c r="I22" s="2"/>
      <c r="J22" s="19"/>
      <c r="K22" s="2"/>
      <c r="L22" s="2">
        <f t="shared" si="0"/>
        <v>-3253.96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--39974.43</f>
        <v>39974.43</v>
      </c>
      <c r="U22" s="2"/>
      <c r="V22" s="19"/>
      <c r="W22" s="2"/>
      <c r="X22" s="2">
        <f t="shared" si="2"/>
        <v>-39974.43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--1179.23</f>
        <v>1179.23</v>
      </c>
      <c r="I23" s="2"/>
      <c r="J23" s="19"/>
      <c r="K23" s="2"/>
      <c r="L23" s="2">
        <f t="shared" si="0"/>
        <v>-1179.23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--17178.81</f>
        <v>17178.810000000001</v>
      </c>
      <c r="U23" s="2"/>
      <c r="V23" s="19"/>
      <c r="W23" s="2"/>
      <c r="X23" s="2">
        <f t="shared" si="2"/>
        <v>-17178.810000000001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--247.04</f>
        <v>247.04</v>
      </c>
      <c r="I24" s="2"/>
      <c r="J24" s="19"/>
      <c r="K24" s="2"/>
      <c r="L24" s="2">
        <f t="shared" si="0"/>
        <v>-247.04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--2109.65</f>
        <v>2109.65</v>
      </c>
      <c r="U24" s="2"/>
      <c r="V24" s="19"/>
      <c r="W24" s="2"/>
      <c r="X24" s="2">
        <f t="shared" si="2"/>
        <v>-2109.65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"4034", " - ", "TAXABLE SALES-SODA")</f>
        <v xml:space="preserve">          4034 - TAXABLE SALES-SODA</v>
      </c>
      <c r="C25" s="11"/>
      <c r="D25" s="2">
        <f t="shared" si="4"/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5"/>
        <v>0</v>
      </c>
      <c r="Q25" s="2"/>
      <c r="R25" s="19"/>
      <c r="S25" s="2"/>
      <c r="T25" s="2">
        <f>--6.78</f>
        <v>6.78</v>
      </c>
      <c r="U25" s="2"/>
      <c r="V25" s="19"/>
      <c r="W25" s="2"/>
      <c r="X25" s="2">
        <f t="shared" si="2"/>
        <v>-6.78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"4040", " - ", "TAXABLE SALES-LOGO CLOTHING")</f>
        <v xml:space="preserve">          4040 - TAXABLE SALES-LOGO CLOTHING</v>
      </c>
      <c r="C26" s="11"/>
      <c r="D26" s="2">
        <f t="shared" si="4"/>
        <v>0</v>
      </c>
      <c r="E26" s="2"/>
      <c r="F26" s="19"/>
      <c r="G26" s="2"/>
      <c r="H26" s="2">
        <f>--84378.29</f>
        <v>84378.29</v>
      </c>
      <c r="I26" s="2"/>
      <c r="J26" s="19"/>
      <c r="K26" s="2"/>
      <c r="L26" s="2">
        <f t="shared" si="0"/>
        <v>-84378.29</v>
      </c>
      <c r="M26" s="2"/>
      <c r="N26" s="19">
        <f t="shared" si="1"/>
        <v>-1</v>
      </c>
      <c r="O26" s="11"/>
      <c r="P26" s="2">
        <f t="shared" si="5"/>
        <v>0</v>
      </c>
      <c r="Q26" s="2"/>
      <c r="R26" s="19"/>
      <c r="S26" s="2"/>
      <c r="T26" s="2">
        <f>--508110.99</f>
        <v>508110.99</v>
      </c>
      <c r="U26" s="2"/>
      <c r="V26" s="19"/>
      <c r="W26" s="2"/>
      <c r="X26" s="2">
        <f t="shared" si="2"/>
        <v>-508110.99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"4041", " - ", "TAXABLE SALES-LOGO GIFTS")</f>
        <v xml:space="preserve">          4041 - TAXABLE SALES-LOGO GIFTS</v>
      </c>
      <c r="C27" s="11"/>
      <c r="D27" s="2">
        <f t="shared" si="4"/>
        <v>0</v>
      </c>
      <c r="E27" s="2"/>
      <c r="F27" s="19"/>
      <c r="G27" s="2"/>
      <c r="H27" s="2">
        <f>--32217.83</f>
        <v>32217.83</v>
      </c>
      <c r="I27" s="2"/>
      <c r="J27" s="19"/>
      <c r="K27" s="2"/>
      <c r="L27" s="2">
        <f t="shared" si="0"/>
        <v>-32217.83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--197618.32</f>
        <v>197618.32</v>
      </c>
      <c r="U27" s="2"/>
      <c r="V27" s="19"/>
      <c r="W27" s="2"/>
      <c r="X27" s="2">
        <f t="shared" si="2"/>
        <v>-197618.32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"4042", " - ", "TAXABLE SALES-EVERYDAY GIFTS")</f>
        <v xml:space="preserve">          4042 - TAXABLE SALES-EVERYDAY GIFTS</v>
      </c>
      <c r="C28" s="11"/>
      <c r="D28" s="2">
        <f t="shared" si="4"/>
        <v>0</v>
      </c>
      <c r="E28" s="2"/>
      <c r="F28" s="19"/>
      <c r="G28" s="2"/>
      <c r="H28" s="2">
        <f>--8018.58</f>
        <v>8018.58</v>
      </c>
      <c r="I28" s="2"/>
      <c r="J28" s="19"/>
      <c r="K28" s="2"/>
      <c r="L28" s="2">
        <f t="shared" si="0"/>
        <v>-8018.58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--64897.7</f>
        <v>64897.7</v>
      </c>
      <c r="U28" s="2"/>
      <c r="V28" s="19"/>
      <c r="W28" s="2"/>
      <c r="X28" s="2">
        <f t="shared" si="2"/>
        <v>-64897.7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"4043", " - ", "TAXABLE SALES-CARDS")</f>
        <v xml:space="preserve">          4043 - TAXABLE SALES-CARDS</v>
      </c>
      <c r="C29" s="11"/>
      <c r="D29" s="2">
        <f t="shared" si="4"/>
        <v>0</v>
      </c>
      <c r="E29" s="2"/>
      <c r="F29" s="19"/>
      <c r="G29" s="2"/>
      <c r="H29" s="2">
        <f>--35930.93</f>
        <v>35930.93</v>
      </c>
      <c r="I29" s="2"/>
      <c r="J29" s="19"/>
      <c r="K29" s="2"/>
      <c r="L29" s="2">
        <f t="shared" si="0"/>
        <v>-35930.93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--93109.15</f>
        <v>93109.15</v>
      </c>
      <c r="U29" s="2"/>
      <c r="V29" s="19"/>
      <c r="W29" s="2"/>
      <c r="X29" s="2">
        <f t="shared" si="2"/>
        <v>-93109.15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"4044", " - ", "TAXABLE SALES-ACCESSORIES")</f>
        <v xml:space="preserve">          4044 - TAXABLE SALES-ACCESSORIES</v>
      </c>
      <c r="C30" s="11"/>
      <c r="D30" s="2">
        <f t="shared" si="4"/>
        <v>0</v>
      </c>
      <c r="E30" s="2"/>
      <c r="F30" s="19"/>
      <c r="G30" s="2"/>
      <c r="H30" s="2">
        <f>--11267.16</f>
        <v>11267.16</v>
      </c>
      <c r="I30" s="2"/>
      <c r="J30" s="19"/>
      <c r="K30" s="2"/>
      <c r="L30" s="2">
        <f t="shared" si="0"/>
        <v>-11267.16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--26273.67</f>
        <v>26273.67</v>
      </c>
      <c r="U30" s="2"/>
      <c r="V30" s="19"/>
      <c r="W30" s="2"/>
      <c r="X30" s="2">
        <f t="shared" si="2"/>
        <v>-26273.67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"4045", " - ", "TAXABLE SALES-SPECIAL ORDERS")</f>
        <v xml:space="preserve">          4045 - TAXABLE SALES-SPECIAL ORDERS</v>
      </c>
      <c r="C31" s="11"/>
      <c r="D31" s="2">
        <f t="shared" si="4"/>
        <v>0</v>
      </c>
      <c r="E31" s="2"/>
      <c r="F31" s="19"/>
      <c r="G31" s="2"/>
      <c r="H31" s="2">
        <f>--13848.98</f>
        <v>13848.98</v>
      </c>
      <c r="I31" s="2"/>
      <c r="J31" s="19"/>
      <c r="K31" s="2"/>
      <c r="L31" s="2">
        <f t="shared" si="0"/>
        <v>-13848.98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--122061.15</f>
        <v>122061.15</v>
      </c>
      <c r="U31" s="2"/>
      <c r="V31" s="19"/>
      <c r="W31" s="2"/>
      <c r="X31" s="2">
        <f t="shared" si="2"/>
        <v>-122061.15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"4081", " - ", "TAXABLE SALES-ELECTRONICS")</f>
        <v xml:space="preserve">          4081 - TAXABLE SALES-ELECTRONICS</v>
      </c>
      <c r="C32" s="11"/>
      <c r="D32" s="2">
        <f t="shared" si="4"/>
        <v>0</v>
      </c>
      <c r="E32" s="2"/>
      <c r="F32" s="19"/>
      <c r="G32" s="2"/>
      <c r="H32" s="2">
        <f>--860.25</f>
        <v>860.25</v>
      </c>
      <c r="I32" s="2"/>
      <c r="J32" s="19"/>
      <c r="K32" s="2"/>
      <c r="L32" s="2">
        <f t="shared" si="0"/>
        <v>-860.25</v>
      </c>
      <c r="M32" s="2"/>
      <c r="N32" s="19">
        <f t="shared" si="1"/>
        <v>-1</v>
      </c>
      <c r="O32" s="11"/>
      <c r="P32" s="2">
        <f t="shared" si="5"/>
        <v>0</v>
      </c>
      <c r="Q32" s="2"/>
      <c r="R32" s="19"/>
      <c r="S32" s="2"/>
      <c r="T32" s="2">
        <f>--56951.47</f>
        <v>56951.47</v>
      </c>
      <c r="U32" s="2"/>
      <c r="V32" s="19"/>
      <c r="W32" s="2"/>
      <c r="X32" s="2">
        <f t="shared" si="2"/>
        <v>-56951.47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"4082", " - ", "TAXABLE SALES-COMPUTER HARDWAR")</f>
        <v xml:space="preserve">          4082 - TAXABLE SALES-COMPUTER HARDWAR</v>
      </c>
      <c r="C33" s="11"/>
      <c r="D33" s="2">
        <f t="shared" si="4"/>
        <v>0</v>
      </c>
      <c r="E33" s="2"/>
      <c r="F33" s="19"/>
      <c r="G33" s="2"/>
      <c r="H33" s="2">
        <f>--43662</f>
        <v>43662</v>
      </c>
      <c r="I33" s="2"/>
      <c r="J33" s="19"/>
      <c r="K33" s="2"/>
      <c r="L33" s="2">
        <f t="shared" si="0"/>
        <v>-43662</v>
      </c>
      <c r="M33" s="2"/>
      <c r="N33" s="19">
        <f t="shared" si="1"/>
        <v>-1</v>
      </c>
      <c r="O33" s="11"/>
      <c r="P33" s="2">
        <f t="shared" si="5"/>
        <v>0</v>
      </c>
      <c r="Q33" s="2"/>
      <c r="R33" s="19"/>
      <c r="S33" s="2"/>
      <c r="T33" s="2">
        <f>--993256.89</f>
        <v>993256.89</v>
      </c>
      <c r="U33" s="2"/>
      <c r="V33" s="19"/>
      <c r="W33" s="2"/>
      <c r="X33" s="2">
        <f t="shared" si="2"/>
        <v>-993256.89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 t="shared" si="4"/>
        <v>0</v>
      </c>
      <c r="E34" s="2"/>
      <c r="F34" s="19"/>
      <c r="G34" s="2"/>
      <c r="H34" s="2">
        <f>--7787.03</f>
        <v>7787.03</v>
      </c>
      <c r="I34" s="2"/>
      <c r="J34" s="19"/>
      <c r="K34" s="2"/>
      <c r="L34" s="2">
        <f t="shared" si="0"/>
        <v>-7787.03</v>
      </c>
      <c r="M34" s="2"/>
      <c r="N34" s="19">
        <f t="shared" si="1"/>
        <v>-1</v>
      </c>
      <c r="O34" s="11"/>
      <c r="P34" s="2">
        <f t="shared" si="5"/>
        <v>0</v>
      </c>
      <c r="Q34" s="2"/>
      <c r="R34" s="19"/>
      <c r="S34" s="2"/>
      <c r="T34" s="2">
        <f>--84647.97</f>
        <v>84647.97</v>
      </c>
      <c r="U34" s="2"/>
      <c r="V34" s="19"/>
      <c r="W34" s="2"/>
      <c r="X34" s="2">
        <f t="shared" si="2"/>
        <v>-84647.97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"4085", " - ", "TAXABLE SALES-SOFTWARE")</f>
        <v xml:space="preserve">          4085 - TAXABLE SALES-SOFTWARE</v>
      </c>
      <c r="C35" s="11"/>
      <c r="D35" s="2">
        <f t="shared" si="4"/>
        <v>0</v>
      </c>
      <c r="E35" s="2"/>
      <c r="F35" s="19"/>
      <c r="G35" s="2"/>
      <c r="H35" s="2">
        <f>--1228.99</f>
        <v>1228.99</v>
      </c>
      <c r="I35" s="2"/>
      <c r="J35" s="19"/>
      <c r="K35" s="2"/>
      <c r="L35" s="2">
        <f t="shared" si="0"/>
        <v>-1228.99</v>
      </c>
      <c r="M35" s="2"/>
      <c r="N35" s="19">
        <f t="shared" si="1"/>
        <v>-1</v>
      </c>
      <c r="O35" s="11"/>
      <c r="P35" s="2">
        <f t="shared" si="5"/>
        <v>0</v>
      </c>
      <c r="Q35" s="2"/>
      <c r="R35" s="19"/>
      <c r="S35" s="2"/>
      <c r="T35" s="2">
        <f>--2728.94</f>
        <v>2728.94</v>
      </c>
      <c r="U35" s="2"/>
      <c r="V35" s="19"/>
      <c r="W35" s="2"/>
      <c r="X35" s="2">
        <f t="shared" si="2"/>
        <v>-2728.94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"4086", " - ", "TAXABLE SALES-COMPUTER SUPPLIE")</f>
        <v xml:space="preserve">          4086 - TAXABLE SALES-COMPUTER SUPPLIE</v>
      </c>
      <c r="C36" s="11"/>
      <c r="D36" s="2">
        <f t="shared" si="4"/>
        <v>0</v>
      </c>
      <c r="E36" s="2"/>
      <c r="F36" s="19"/>
      <c r="G36" s="2"/>
      <c r="H36" s="2">
        <f>--27507.98</f>
        <v>27507.98</v>
      </c>
      <c r="I36" s="2"/>
      <c r="J36" s="19"/>
      <c r="K36" s="2"/>
      <c r="L36" s="2">
        <f t="shared" si="0"/>
        <v>-27507.98</v>
      </c>
      <c r="M36" s="2"/>
      <c r="N36" s="19">
        <f t="shared" si="1"/>
        <v>-1</v>
      </c>
      <c r="O36" s="11"/>
      <c r="P36" s="2">
        <f t="shared" si="5"/>
        <v>0</v>
      </c>
      <c r="Q36" s="2"/>
      <c r="R36" s="19"/>
      <c r="S36" s="2"/>
      <c r="T36" s="2">
        <f>--57135.58</f>
        <v>57135.58</v>
      </c>
      <c r="U36" s="2"/>
      <c r="V36" s="19"/>
      <c r="W36" s="2"/>
      <c r="X36" s="2">
        <f t="shared" si="2"/>
        <v>-57135.58</v>
      </c>
      <c r="Y36" s="2"/>
      <c r="Z36" s="19">
        <f t="shared" si="3"/>
        <v>-1</v>
      </c>
    </row>
    <row r="37" spans="1:26" s="24" customFormat="1" hidden="1" outlineLevel="1" x14ac:dyDescent="0.3">
      <c r="A37" s="44"/>
      <c r="B37" s="11" t="str">
        <f>CONCATENATE("          ", "4100", " - ", "NON-TAXABLE SALES")</f>
        <v xml:space="preserve">          4100 - NON-TAXABLE SALES</v>
      </c>
      <c r="C37" s="11"/>
      <c r="D37" s="2">
        <f>--121671.8</f>
        <v>121671.8</v>
      </c>
      <c r="E37" s="2"/>
      <c r="F37" s="19"/>
      <c r="G37" s="2"/>
      <c r="H37" s="2">
        <f>-225.75</f>
        <v>-225.75</v>
      </c>
      <c r="I37" s="2"/>
      <c r="J37" s="19"/>
      <c r="K37" s="2"/>
      <c r="L37" s="2">
        <f t="shared" si="0"/>
        <v>121897.55</v>
      </c>
      <c r="M37" s="2"/>
      <c r="N37" s="19">
        <f t="shared" si="1"/>
        <v>-539.96699889258025</v>
      </c>
      <c r="O37" s="11"/>
      <c r="P37" s="2">
        <f>--1067366.52</f>
        <v>1067366.52</v>
      </c>
      <c r="Q37" s="2"/>
      <c r="R37" s="19"/>
      <c r="S37" s="2"/>
      <c r="T37" s="2">
        <f>--165587.67</f>
        <v>165587.67000000001</v>
      </c>
      <c r="U37" s="2"/>
      <c r="V37" s="19"/>
      <c r="W37" s="2"/>
      <c r="X37" s="2">
        <f t="shared" si="2"/>
        <v>901778.85</v>
      </c>
      <c r="Y37" s="2"/>
      <c r="Z37" s="19">
        <f t="shared" si="3"/>
        <v>5.4459299415228193</v>
      </c>
    </row>
    <row r="38" spans="1:26" s="24" customFormat="1" hidden="1" outlineLevel="1" x14ac:dyDescent="0.3">
      <c r="A38" s="44"/>
      <c r="B38" s="11" t="str">
        <f>CONCATENATE("          ", "4101", " - ", "NON-TAXABLE SALES-NEW TEXT")</f>
        <v xml:space="preserve">          4101 - NON-TAXABLE SALES-NEW TEXT</v>
      </c>
      <c r="C38" s="11"/>
      <c r="D38" s="2">
        <f t="shared" ref="D38:D64" si="7">0</f>
        <v>0</v>
      </c>
      <c r="E38" s="2"/>
      <c r="F38" s="19"/>
      <c r="G38" s="2"/>
      <c r="H38" s="2">
        <f>--3205.21</f>
        <v>3205.21</v>
      </c>
      <c r="I38" s="2"/>
      <c r="J38" s="19"/>
      <c r="K38" s="2"/>
      <c r="L38" s="2">
        <f t="shared" si="0"/>
        <v>-3205.21</v>
      </c>
      <c r="M38" s="2"/>
      <c r="N38" s="19">
        <f t="shared" si="1"/>
        <v>-1</v>
      </c>
      <c r="O38" s="11"/>
      <c r="P38" s="2">
        <f t="shared" ref="P38:P64" si="8">0</f>
        <v>0</v>
      </c>
      <c r="Q38" s="2"/>
      <c r="R38" s="19"/>
      <c r="S38" s="2"/>
      <c r="T38" s="2">
        <f>--82140.93</f>
        <v>82140.929999999993</v>
      </c>
      <c r="U38" s="2"/>
      <c r="V38" s="19"/>
      <c r="W38" s="2"/>
      <c r="X38" s="2">
        <f t="shared" si="2"/>
        <v>-82140.929999999993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"4102", " - ", "NON-TAXABLE SALES-USED TEXT")</f>
        <v xml:space="preserve">          4102 - NON-TAXABLE SALES-USED TEXT</v>
      </c>
      <c r="C39" s="11"/>
      <c r="D39" s="2">
        <f t="shared" si="7"/>
        <v>0</v>
      </c>
      <c r="E39" s="2"/>
      <c r="F39" s="19"/>
      <c r="G39" s="2"/>
      <c r="H39" s="2">
        <f>--598.12</f>
        <v>598.12</v>
      </c>
      <c r="I39" s="2"/>
      <c r="J39" s="19"/>
      <c r="K39" s="2"/>
      <c r="L39" s="2">
        <f t="shared" si="0"/>
        <v>-598.12</v>
      </c>
      <c r="M39" s="2"/>
      <c r="N39" s="19">
        <f t="shared" si="1"/>
        <v>-1</v>
      </c>
      <c r="O39" s="11"/>
      <c r="P39" s="2">
        <f t="shared" si="8"/>
        <v>0</v>
      </c>
      <c r="Q39" s="2"/>
      <c r="R39" s="19"/>
      <c r="S39" s="2"/>
      <c r="T39" s="2">
        <f>--33631.31</f>
        <v>33631.31</v>
      </c>
      <c r="U39" s="2"/>
      <c r="V39" s="19"/>
      <c r="W39" s="2"/>
      <c r="X39" s="2">
        <f t="shared" si="2"/>
        <v>-33631.31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"4103", " - ", "NON-TAXABLE SALES-RENTAL TEXT")</f>
        <v xml:space="preserve">          4103 - NON-TAXABLE SALES-RENTAL TEXT</v>
      </c>
      <c r="C40" s="11"/>
      <c r="D40" s="2">
        <f t="shared" si="7"/>
        <v>0</v>
      </c>
      <c r="E40" s="2"/>
      <c r="F40" s="19"/>
      <c r="G40" s="2"/>
      <c r="H40" s="2">
        <f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 t="shared" si="8"/>
        <v>0</v>
      </c>
      <c r="Q40" s="2"/>
      <c r="R40" s="19"/>
      <c r="S40" s="2"/>
      <c r="T40" s="2">
        <f>--284.97</f>
        <v>284.97000000000003</v>
      </c>
      <c r="U40" s="2"/>
      <c r="V40" s="19"/>
      <c r="W40" s="2"/>
      <c r="X40" s="2">
        <f t="shared" si="2"/>
        <v>-284.97000000000003</v>
      </c>
      <c r="Y40" s="2"/>
      <c r="Z40" s="19">
        <f t="shared" si="3"/>
        <v>-1</v>
      </c>
    </row>
    <row r="41" spans="1:26" s="24" customFormat="1" hidden="1" outlineLevel="1" x14ac:dyDescent="0.3">
      <c r="A41" s="44"/>
      <c r="B41" s="11" t="str">
        <f>CONCATENATE("          ", "4104", " - ", "NON-TAXABLE SALES-DIGITAL TEXT")</f>
        <v xml:space="preserve">          4104 - NON-TAXABLE SALES-DIGITAL TEXT</v>
      </c>
      <c r="C41" s="11"/>
      <c r="D41" s="2">
        <f t="shared" si="7"/>
        <v>0</v>
      </c>
      <c r="E41" s="2"/>
      <c r="F41" s="19"/>
      <c r="G41" s="2"/>
      <c r="H41" s="2">
        <f>--1301.3</f>
        <v>1301.3</v>
      </c>
      <c r="I41" s="2"/>
      <c r="J41" s="19"/>
      <c r="K41" s="2"/>
      <c r="L41" s="2">
        <f t="shared" si="0"/>
        <v>-1301.3</v>
      </c>
      <c r="M41" s="2"/>
      <c r="N41" s="19">
        <f t="shared" si="1"/>
        <v>-1</v>
      </c>
      <c r="O41" s="11"/>
      <c r="P41" s="2">
        <f t="shared" si="8"/>
        <v>0</v>
      </c>
      <c r="Q41" s="2"/>
      <c r="R41" s="19"/>
      <c r="S41" s="2"/>
      <c r="T41" s="2">
        <f>--296191.01</f>
        <v>296191.01</v>
      </c>
      <c r="U41" s="2"/>
      <c r="V41" s="19"/>
      <c r="W41" s="2"/>
      <c r="X41" s="2">
        <f t="shared" si="2"/>
        <v>-296191.01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"4113", " - ", "NON-TAXABLE SALES-TRADE BOOKS")</f>
        <v xml:space="preserve">          4113 - NON-TAXABLE SALES-TRADE BOOKS</v>
      </c>
      <c r="C42" s="11"/>
      <c r="D42" s="2">
        <f t="shared" si="7"/>
        <v>0</v>
      </c>
      <c r="E42" s="2"/>
      <c r="F42" s="19"/>
      <c r="G42" s="2"/>
      <c r="H42" s="2">
        <f>--41.55</f>
        <v>41.55</v>
      </c>
      <c r="I42" s="2"/>
      <c r="J42" s="19"/>
      <c r="K42" s="2"/>
      <c r="L42" s="2">
        <f t="shared" si="0"/>
        <v>-41.55</v>
      </c>
      <c r="M42" s="2"/>
      <c r="N42" s="19">
        <f t="shared" si="1"/>
        <v>-1</v>
      </c>
      <c r="O42" s="11"/>
      <c r="P42" s="2">
        <f t="shared" si="8"/>
        <v>0</v>
      </c>
      <c r="Q42" s="2"/>
      <c r="R42" s="19"/>
      <c r="S42" s="2"/>
      <c r="T42" s="2">
        <f>--2327.5</f>
        <v>2327.5</v>
      </c>
      <c r="U42" s="2"/>
      <c r="V42" s="19"/>
      <c r="W42" s="2"/>
      <c r="X42" s="2">
        <f t="shared" si="2"/>
        <v>-2327.5</v>
      </c>
      <c r="Y42" s="2"/>
      <c r="Z42" s="19">
        <f t="shared" si="3"/>
        <v>-1</v>
      </c>
    </row>
    <row r="43" spans="1:26" s="24" customFormat="1" hidden="1" outlineLevel="1" x14ac:dyDescent="0.3">
      <c r="A43" s="44"/>
      <c r="B43" s="11" t="str">
        <f>CONCATENATE("          ", "4118", " - ", "NON-TAXABLE SALES-STUDY GUIDES")</f>
        <v xml:space="preserve">          4118 - NON-TAXABLE SALES-STUDY GUIDES</v>
      </c>
      <c r="C43" s="11"/>
      <c r="D43" s="2">
        <f t="shared" si="7"/>
        <v>0</v>
      </c>
      <c r="E43" s="2"/>
      <c r="F43" s="19"/>
      <c r="G43" s="2"/>
      <c r="H43" s="2">
        <f t="shared" ref="H43:H44" si="9"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 t="shared" si="8"/>
        <v>0</v>
      </c>
      <c r="Q43" s="2"/>
      <c r="R43" s="19"/>
      <c r="S43" s="2"/>
      <c r="T43" s="2">
        <f>--233.43</f>
        <v>233.43</v>
      </c>
      <c r="U43" s="2"/>
      <c r="V43" s="19"/>
      <c r="W43" s="2"/>
      <c r="X43" s="2">
        <f t="shared" si="2"/>
        <v>-233.43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"4126", " - ", "NON-TAXABLE SALES-WRITING INST")</f>
        <v xml:space="preserve">          4126 - NON-TAXABLE SALES-WRITING INST</v>
      </c>
      <c r="C44" s="11"/>
      <c r="D44" s="2">
        <f t="shared" si="7"/>
        <v>0</v>
      </c>
      <c r="E44" s="2"/>
      <c r="F44" s="19"/>
      <c r="G44" s="2"/>
      <c r="H44" s="2">
        <f t="shared" si="9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 t="shared" si="8"/>
        <v>0</v>
      </c>
      <c r="Q44" s="2"/>
      <c r="R44" s="19"/>
      <c r="S44" s="2"/>
      <c r="T44" s="2">
        <f>--52.68</f>
        <v>52.68</v>
      </c>
      <c r="U44" s="2"/>
      <c r="V44" s="19"/>
      <c r="W44" s="2"/>
      <c r="X44" s="2">
        <f t="shared" si="2"/>
        <v>-52.68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"4127", " - ", "NON-TAXABLE SALES-SCHOOL SUPPL")</f>
        <v xml:space="preserve">          4127 - NON-TAXABLE SALES-SCHOOL SUPPL</v>
      </c>
      <c r="C45" s="11"/>
      <c r="D45" s="2">
        <f t="shared" si="7"/>
        <v>0</v>
      </c>
      <c r="E45" s="2"/>
      <c r="F45" s="19"/>
      <c r="G45" s="2"/>
      <c r="H45" s="2">
        <f>--259.53</f>
        <v>259.52999999999997</v>
      </c>
      <c r="I45" s="2"/>
      <c r="J45" s="19"/>
      <c r="K45" s="2"/>
      <c r="L45" s="2">
        <f t="shared" si="0"/>
        <v>-259.52999999999997</v>
      </c>
      <c r="M45" s="2"/>
      <c r="N45" s="19">
        <f t="shared" si="1"/>
        <v>-1</v>
      </c>
      <c r="O45" s="11"/>
      <c r="P45" s="2">
        <f t="shared" si="8"/>
        <v>0</v>
      </c>
      <c r="Q45" s="2"/>
      <c r="R45" s="19"/>
      <c r="S45" s="2"/>
      <c r="T45" s="2">
        <f>--3206.11</f>
        <v>3206.11</v>
      </c>
      <c r="U45" s="2"/>
      <c r="V45" s="19"/>
      <c r="W45" s="2"/>
      <c r="X45" s="2">
        <f t="shared" si="2"/>
        <v>-3206.11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"4128", " - ", "NON-TAXABLE SALES-ART/TECH")</f>
        <v xml:space="preserve">          4128 - NON-TAXABLE SALES-ART/TECH</v>
      </c>
      <c r="C46" s="11"/>
      <c r="D46" s="2">
        <f t="shared" si="7"/>
        <v>0</v>
      </c>
      <c r="E46" s="2"/>
      <c r="F46" s="19"/>
      <c r="G46" s="2"/>
      <c r="H46" s="2">
        <f>0</f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 t="shared" si="8"/>
        <v>0</v>
      </c>
      <c r="Q46" s="2"/>
      <c r="R46" s="19"/>
      <c r="S46" s="2"/>
      <c r="T46" s="2">
        <f>--24.78</f>
        <v>24.78</v>
      </c>
      <c r="U46" s="2"/>
      <c r="V46" s="19"/>
      <c r="W46" s="2"/>
      <c r="X46" s="2">
        <f t="shared" si="2"/>
        <v>-24.78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"4131", " - ", "NON-TAXABLE SALES-FOOD")</f>
        <v xml:space="preserve">          4131 - NON-TAXABLE SALES-FOOD</v>
      </c>
      <c r="C47" s="11"/>
      <c r="D47" s="2">
        <f t="shared" si="7"/>
        <v>0</v>
      </c>
      <c r="E47" s="2"/>
      <c r="F47" s="19"/>
      <c r="G47" s="2"/>
      <c r="H47" s="2">
        <f>--1032.82</f>
        <v>1032.82</v>
      </c>
      <c r="I47" s="2"/>
      <c r="J47" s="19"/>
      <c r="K47" s="2"/>
      <c r="L47" s="2">
        <f t="shared" si="0"/>
        <v>-1032.82</v>
      </c>
      <c r="M47" s="2"/>
      <c r="N47" s="19">
        <f t="shared" si="1"/>
        <v>-1</v>
      </c>
      <c r="O47" s="11"/>
      <c r="P47" s="2">
        <f t="shared" si="8"/>
        <v>0</v>
      </c>
      <c r="Q47" s="2"/>
      <c r="R47" s="19"/>
      <c r="S47" s="2"/>
      <c r="T47" s="2">
        <f>--7542.15</f>
        <v>7542.15</v>
      </c>
      <c r="U47" s="2"/>
      <c r="V47" s="19"/>
      <c r="W47" s="2"/>
      <c r="X47" s="2">
        <f t="shared" si="2"/>
        <v>-7542.15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"4132", " - ", "NON-TAXABLE SALES-JUICE")</f>
        <v xml:space="preserve">          4132 - NON-TAXABLE SALES-JUICE</v>
      </c>
      <c r="C48" s="11"/>
      <c r="D48" s="2">
        <f t="shared" si="7"/>
        <v>0</v>
      </c>
      <c r="E48" s="2"/>
      <c r="F48" s="19"/>
      <c r="G48" s="2"/>
      <c r="H48" s="2">
        <f t="shared" ref="H48:H51" si="10">0</f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 t="shared" si="8"/>
        <v>0</v>
      </c>
      <c r="Q48" s="2"/>
      <c r="R48" s="19"/>
      <c r="S48" s="2"/>
      <c r="T48" s="2">
        <f>--22.49</f>
        <v>22.49</v>
      </c>
      <c r="U48" s="2"/>
      <c r="V48" s="19"/>
      <c r="W48" s="2"/>
      <c r="X48" s="2">
        <f t="shared" si="2"/>
        <v>-22.49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"4133", " - ", "NON-TAXABLE SALES-CANDY")</f>
        <v xml:space="preserve">          4133 - NON-TAXABLE SALES-CANDY</v>
      </c>
      <c r="C49" s="11"/>
      <c r="D49" s="2">
        <f t="shared" si="7"/>
        <v>0</v>
      </c>
      <c r="E49" s="2"/>
      <c r="F49" s="19"/>
      <c r="G49" s="2"/>
      <c r="H49" s="2">
        <f t="shared" si="10"/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 t="shared" si="8"/>
        <v>0</v>
      </c>
      <c r="Q49" s="2"/>
      <c r="R49" s="19"/>
      <c r="S49" s="2"/>
      <c r="T49" s="2">
        <f>--80.71</f>
        <v>80.709999999999994</v>
      </c>
      <c r="U49" s="2"/>
      <c r="V49" s="19"/>
      <c r="W49" s="2"/>
      <c r="X49" s="2">
        <f t="shared" si="2"/>
        <v>-80.709999999999994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"4134", " - ", "NON-TAXABLE SALES-SODA")</f>
        <v xml:space="preserve">          4134 - NON-TAXABLE SALES-SODA</v>
      </c>
      <c r="C50" s="11"/>
      <c r="D50" s="2">
        <f t="shared" si="7"/>
        <v>0</v>
      </c>
      <c r="E50" s="2"/>
      <c r="F50" s="19"/>
      <c r="G50" s="2"/>
      <c r="H50" s="2">
        <f t="shared" si="10"/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 t="shared" si="8"/>
        <v>0</v>
      </c>
      <c r="Q50" s="2"/>
      <c r="R50" s="19"/>
      <c r="S50" s="2"/>
      <c r="T50" s="2">
        <f>--45.53</f>
        <v>45.53</v>
      </c>
      <c r="U50" s="2"/>
      <c r="V50" s="19"/>
      <c r="W50" s="2"/>
      <c r="X50" s="2">
        <f t="shared" si="2"/>
        <v>-45.53</v>
      </c>
      <c r="Y50" s="2"/>
      <c r="Z50" s="19">
        <f t="shared" si="3"/>
        <v>-1</v>
      </c>
    </row>
    <row r="51" spans="1:26" s="24" customFormat="1" hidden="1" outlineLevel="1" x14ac:dyDescent="0.3">
      <c r="A51" s="44"/>
      <c r="B51" s="11" t="str">
        <f>CONCATENATE("          ", "4137", " - ", "NON-TAXABLE SALES-WATER")</f>
        <v xml:space="preserve">          4137 - NON-TAXABLE SALES-WATER</v>
      </c>
      <c r="C51" s="11"/>
      <c r="D51" s="2">
        <f t="shared" si="7"/>
        <v>0</v>
      </c>
      <c r="E51" s="2"/>
      <c r="F51" s="19"/>
      <c r="G51" s="2"/>
      <c r="H51" s="2">
        <f t="shared" si="10"/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 t="shared" si="8"/>
        <v>0</v>
      </c>
      <c r="Q51" s="2"/>
      <c r="R51" s="19"/>
      <c r="S51" s="2"/>
      <c r="T51" s="2">
        <f>--68.25</f>
        <v>68.25</v>
      </c>
      <c r="U51" s="2"/>
      <c r="V51" s="19"/>
      <c r="W51" s="2"/>
      <c r="X51" s="2">
        <f t="shared" si="2"/>
        <v>-68.25</v>
      </c>
      <c r="Y51" s="2"/>
      <c r="Z51" s="19">
        <f t="shared" si="3"/>
        <v>-1</v>
      </c>
    </row>
    <row r="52" spans="1:26" s="24" customFormat="1" hidden="1" outlineLevel="1" x14ac:dyDescent="0.3">
      <c r="A52" s="44"/>
      <c r="B52" s="11" t="str">
        <f>CONCATENATE("          ", "4140", " - ", "NON-TAXABLE SALES-LOGO CLOTHIN")</f>
        <v xml:space="preserve">          4140 - NON-TAXABLE SALES-LOGO CLOTHIN</v>
      </c>
      <c r="C52" s="11"/>
      <c r="D52" s="2">
        <f t="shared" si="7"/>
        <v>0</v>
      </c>
      <c r="E52" s="2"/>
      <c r="F52" s="19"/>
      <c r="G52" s="2"/>
      <c r="H52" s="2">
        <f>--53650.7</f>
        <v>53650.7</v>
      </c>
      <c r="I52" s="2"/>
      <c r="J52" s="19"/>
      <c r="K52" s="2"/>
      <c r="L52" s="2">
        <f t="shared" si="0"/>
        <v>-53650.7</v>
      </c>
      <c r="M52" s="2"/>
      <c r="N52" s="19">
        <f t="shared" si="1"/>
        <v>-1</v>
      </c>
      <c r="O52" s="11"/>
      <c r="P52" s="2">
        <f t="shared" si="8"/>
        <v>0</v>
      </c>
      <c r="Q52" s="2"/>
      <c r="R52" s="19"/>
      <c r="S52" s="2"/>
      <c r="T52" s="2">
        <f>--103970.97</f>
        <v>103970.97</v>
      </c>
      <c r="U52" s="2"/>
      <c r="V52" s="19"/>
      <c r="W52" s="2"/>
      <c r="X52" s="2">
        <f t="shared" si="2"/>
        <v>-103970.97</v>
      </c>
      <c r="Y52" s="2"/>
      <c r="Z52" s="19">
        <f t="shared" si="3"/>
        <v>-1</v>
      </c>
    </row>
    <row r="53" spans="1:26" s="24" customFormat="1" hidden="1" outlineLevel="1" x14ac:dyDescent="0.3">
      <c r="A53" s="44"/>
      <c r="B53" s="11" t="str">
        <f>CONCATENATE("          ", "4141", " - ", "NON-TAXABLE SALES-LOGO GIFTS")</f>
        <v xml:space="preserve">          4141 - NON-TAXABLE SALES-LOGO GIFTS</v>
      </c>
      <c r="C53" s="11"/>
      <c r="D53" s="2">
        <f t="shared" si="7"/>
        <v>0</v>
      </c>
      <c r="E53" s="2"/>
      <c r="F53" s="19"/>
      <c r="G53" s="2"/>
      <c r="H53" s="2">
        <f>--1780.23</f>
        <v>1780.23</v>
      </c>
      <c r="I53" s="2"/>
      <c r="J53" s="19"/>
      <c r="K53" s="2"/>
      <c r="L53" s="2">
        <f t="shared" si="0"/>
        <v>-1780.23</v>
      </c>
      <c r="M53" s="2"/>
      <c r="N53" s="19">
        <f t="shared" si="1"/>
        <v>-1</v>
      </c>
      <c r="O53" s="11"/>
      <c r="P53" s="2">
        <f t="shared" si="8"/>
        <v>0</v>
      </c>
      <c r="Q53" s="2"/>
      <c r="R53" s="19"/>
      <c r="S53" s="2"/>
      <c r="T53" s="2">
        <f>--5969.25</f>
        <v>5969.25</v>
      </c>
      <c r="U53" s="2"/>
      <c r="V53" s="19"/>
      <c r="W53" s="2"/>
      <c r="X53" s="2">
        <f t="shared" si="2"/>
        <v>-5969.25</v>
      </c>
      <c r="Y53" s="2"/>
      <c r="Z53" s="19">
        <f t="shared" si="3"/>
        <v>-1</v>
      </c>
    </row>
    <row r="54" spans="1:26" s="24" customFormat="1" hidden="1" outlineLevel="1" x14ac:dyDescent="0.3">
      <c r="A54" s="44"/>
      <c r="B54" s="11" t="str">
        <f>CONCATENATE("          ", "4142", " - ", "NON-TAXABLE SALES-EVERYDAY GIF")</f>
        <v xml:space="preserve">          4142 - NON-TAXABLE SALES-EVERYDAY GIF</v>
      </c>
      <c r="C54" s="11"/>
      <c r="D54" s="2">
        <f t="shared" si="7"/>
        <v>0</v>
      </c>
      <c r="E54" s="2"/>
      <c r="F54" s="19"/>
      <c r="G54" s="2"/>
      <c r="H54" s="2">
        <f>0</f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 t="shared" si="8"/>
        <v>0</v>
      </c>
      <c r="Q54" s="2"/>
      <c r="R54" s="19"/>
      <c r="S54" s="2"/>
      <c r="T54" s="2">
        <f>--2208.19</f>
        <v>2208.19</v>
      </c>
      <c r="U54" s="2"/>
      <c r="V54" s="19"/>
      <c r="W54" s="2"/>
      <c r="X54" s="2">
        <f t="shared" si="2"/>
        <v>-2208.19</v>
      </c>
      <c r="Y54" s="2"/>
      <c r="Z54" s="19">
        <f t="shared" si="3"/>
        <v>-1</v>
      </c>
    </row>
    <row r="55" spans="1:26" s="24" customFormat="1" hidden="1" outlineLevel="1" x14ac:dyDescent="0.3">
      <c r="A55" s="44"/>
      <c r="B55" s="11" t="str">
        <f>CONCATENATE("          ", "4143", " - ", "NON-TAXABLE SALES-CARDS")</f>
        <v xml:space="preserve">          4143 - NON-TAXABLE SALES-CARDS</v>
      </c>
      <c r="C55" s="11"/>
      <c r="D55" s="2">
        <f t="shared" si="7"/>
        <v>0</v>
      </c>
      <c r="E55" s="2"/>
      <c r="F55" s="19"/>
      <c r="G55" s="2"/>
      <c r="H55" s="2">
        <f>--1697.07</f>
        <v>1697.07</v>
      </c>
      <c r="I55" s="2"/>
      <c r="J55" s="19"/>
      <c r="K55" s="2"/>
      <c r="L55" s="2">
        <f t="shared" si="0"/>
        <v>-1697.07</v>
      </c>
      <c r="M55" s="2"/>
      <c r="N55" s="19">
        <f t="shared" si="1"/>
        <v>-1</v>
      </c>
      <c r="O55" s="11"/>
      <c r="P55" s="2">
        <f t="shared" si="8"/>
        <v>0</v>
      </c>
      <c r="Q55" s="2"/>
      <c r="R55" s="19"/>
      <c r="S55" s="2"/>
      <c r="T55" s="2">
        <f>--1737.03</f>
        <v>1737.03</v>
      </c>
      <c r="U55" s="2"/>
      <c r="V55" s="19"/>
      <c r="W55" s="2"/>
      <c r="X55" s="2">
        <f t="shared" si="2"/>
        <v>-1737.03</v>
      </c>
      <c r="Y55" s="2"/>
      <c r="Z55" s="19">
        <f t="shared" si="3"/>
        <v>-1</v>
      </c>
    </row>
    <row r="56" spans="1:26" s="24" customFormat="1" hidden="1" outlineLevel="1" x14ac:dyDescent="0.3">
      <c r="A56" s="44"/>
      <c r="B56" s="11" t="str">
        <f>CONCATENATE("          ", "4144", " - ", "NON-TAXABLE SALES-ACCESSORIES")</f>
        <v xml:space="preserve">          4144 - NON-TAXABLE SALES-ACCESSORIES</v>
      </c>
      <c r="C56" s="11"/>
      <c r="D56" s="2">
        <f t="shared" si="7"/>
        <v>0</v>
      </c>
      <c r="E56" s="2"/>
      <c r="F56" s="19"/>
      <c r="G56" s="2"/>
      <c r="H56" s="2">
        <f>--99.8</f>
        <v>99.8</v>
      </c>
      <c r="I56" s="2"/>
      <c r="J56" s="19"/>
      <c r="K56" s="2"/>
      <c r="L56" s="2">
        <f t="shared" si="0"/>
        <v>-99.8</v>
      </c>
      <c r="M56" s="2"/>
      <c r="N56" s="19">
        <f t="shared" si="1"/>
        <v>-1</v>
      </c>
      <c r="O56" s="11"/>
      <c r="P56" s="2">
        <f t="shared" si="8"/>
        <v>0</v>
      </c>
      <c r="Q56" s="2"/>
      <c r="R56" s="19"/>
      <c r="S56" s="2"/>
      <c r="T56" s="2">
        <f>--489.5</f>
        <v>489.5</v>
      </c>
      <c r="U56" s="2"/>
      <c r="V56" s="19"/>
      <c r="W56" s="2"/>
      <c r="X56" s="2">
        <f t="shared" si="2"/>
        <v>-489.5</v>
      </c>
      <c r="Y56" s="2"/>
      <c r="Z56" s="19">
        <f t="shared" si="3"/>
        <v>-1</v>
      </c>
    </row>
    <row r="57" spans="1:26" s="24" customFormat="1" hidden="1" outlineLevel="1" x14ac:dyDescent="0.3">
      <c r="A57" s="44"/>
      <c r="B57" s="11" t="str">
        <f>CONCATENATE("          ", "4145", " - ", "NON-TAXABLE SALES-SPECIAL ORDE")</f>
        <v xml:space="preserve">          4145 - NON-TAXABLE SALES-SPECIAL ORDE</v>
      </c>
      <c r="C57" s="11"/>
      <c r="D57" s="2">
        <f t="shared" si="7"/>
        <v>0</v>
      </c>
      <c r="E57" s="2"/>
      <c r="F57" s="19"/>
      <c r="G57" s="2"/>
      <c r="H57" s="2">
        <f>--16747.77</f>
        <v>16747.77</v>
      </c>
      <c r="I57" s="2"/>
      <c r="J57" s="19"/>
      <c r="K57" s="2"/>
      <c r="L57" s="2">
        <f t="shared" si="0"/>
        <v>-16747.77</v>
      </c>
      <c r="M57" s="2"/>
      <c r="N57" s="19">
        <f t="shared" si="1"/>
        <v>-1</v>
      </c>
      <c r="O57" s="11"/>
      <c r="P57" s="2">
        <f t="shared" si="8"/>
        <v>0</v>
      </c>
      <c r="Q57" s="2"/>
      <c r="R57" s="19"/>
      <c r="S57" s="2"/>
      <c r="T57" s="2">
        <f>--55393.77</f>
        <v>55393.77</v>
      </c>
      <c r="U57" s="2"/>
      <c r="V57" s="19"/>
      <c r="W57" s="2"/>
      <c r="X57" s="2">
        <f t="shared" si="2"/>
        <v>-55393.77</v>
      </c>
      <c r="Y57" s="2"/>
      <c r="Z57" s="19">
        <f t="shared" si="3"/>
        <v>-1</v>
      </c>
    </row>
    <row r="58" spans="1:26" s="24" customFormat="1" hidden="1" outlineLevel="1" x14ac:dyDescent="0.3">
      <c r="A58" s="44"/>
      <c r="B58" s="11" t="str">
        <f>CONCATENATE("          ", "4146", " - ", "NON-TAXABLE SALES-COIN OP MACH")</f>
        <v xml:space="preserve">          4146 - NON-TAXABLE SALES-COIN OP MACH</v>
      </c>
      <c r="C58" s="11"/>
      <c r="D58" s="2">
        <f t="shared" si="7"/>
        <v>0</v>
      </c>
      <c r="E58" s="2"/>
      <c r="F58" s="19"/>
      <c r="G58" s="2"/>
      <c r="H58" s="2">
        <f>--19.9</f>
        <v>19.899999999999999</v>
      </c>
      <c r="I58" s="2"/>
      <c r="J58" s="19"/>
      <c r="K58" s="2"/>
      <c r="L58" s="2">
        <f t="shared" si="0"/>
        <v>-19.899999999999999</v>
      </c>
      <c r="M58" s="2"/>
      <c r="N58" s="19">
        <f t="shared" si="1"/>
        <v>-1</v>
      </c>
      <c r="O58" s="11"/>
      <c r="P58" s="2">
        <f t="shared" si="8"/>
        <v>0</v>
      </c>
      <c r="Q58" s="2"/>
      <c r="R58" s="19"/>
      <c r="S58" s="2"/>
      <c r="T58" s="2">
        <f>--127.9</f>
        <v>127.9</v>
      </c>
      <c r="U58" s="2"/>
      <c r="V58" s="19"/>
      <c r="W58" s="2"/>
      <c r="X58" s="2">
        <f t="shared" si="2"/>
        <v>-127.9</v>
      </c>
      <c r="Y58" s="2"/>
      <c r="Z58" s="19">
        <f t="shared" si="3"/>
        <v>-1</v>
      </c>
    </row>
    <row r="59" spans="1:26" s="24" customFormat="1" hidden="1" outlineLevel="1" x14ac:dyDescent="0.3">
      <c r="A59" s="44"/>
      <c r="B59" s="11" t="str">
        <f>CONCATENATE("          ", "4147", " - ", "NON-TAXABLE SALES-MISC")</f>
        <v xml:space="preserve">          4147 - NON-TAXABLE SALES-MISC</v>
      </c>
      <c r="C59" s="11"/>
      <c r="D59" s="2">
        <f t="shared" si="7"/>
        <v>0</v>
      </c>
      <c r="E59" s="2"/>
      <c r="F59" s="19"/>
      <c r="G59" s="2"/>
      <c r="H59" s="2">
        <f>--13</f>
        <v>13</v>
      </c>
      <c r="I59" s="2"/>
      <c r="J59" s="19"/>
      <c r="K59" s="2"/>
      <c r="L59" s="2">
        <f t="shared" si="0"/>
        <v>-13</v>
      </c>
      <c r="M59" s="2"/>
      <c r="N59" s="19">
        <f t="shared" si="1"/>
        <v>-1</v>
      </c>
      <c r="O59" s="11"/>
      <c r="P59" s="2">
        <f t="shared" si="8"/>
        <v>0</v>
      </c>
      <c r="Q59" s="2"/>
      <c r="R59" s="19"/>
      <c r="S59" s="2"/>
      <c r="T59" s="2">
        <f>--104.5</f>
        <v>104.5</v>
      </c>
      <c r="U59" s="2"/>
      <c r="V59" s="19"/>
      <c r="W59" s="2"/>
      <c r="X59" s="2">
        <f t="shared" si="2"/>
        <v>-104.5</v>
      </c>
      <c r="Y59" s="2"/>
      <c r="Z59" s="19">
        <f t="shared" si="3"/>
        <v>-1</v>
      </c>
    </row>
    <row r="60" spans="1:26" s="24" customFormat="1" hidden="1" outlineLevel="1" x14ac:dyDescent="0.3">
      <c r="A60" s="44"/>
      <c r="B60" s="11" t="str">
        <f>CONCATENATE("          ", "4181", " - ", "NON-TAXABLE SALES-ELECTRONICS")</f>
        <v xml:space="preserve">          4181 - NON-TAXABLE SALES-ELECTRONICS</v>
      </c>
      <c r="C60" s="11"/>
      <c r="D60" s="2">
        <f t="shared" si="7"/>
        <v>0</v>
      </c>
      <c r="E60" s="2"/>
      <c r="F60" s="19"/>
      <c r="G60" s="2"/>
      <c r="H60" s="2">
        <f>0</f>
        <v>0</v>
      </c>
      <c r="I60" s="2"/>
      <c r="J60" s="19"/>
      <c r="K60" s="2"/>
      <c r="L60" s="2">
        <f t="shared" si="0"/>
        <v>0</v>
      </c>
      <c r="M60" s="2"/>
      <c r="N60" s="19">
        <f t="shared" si="1"/>
        <v>0</v>
      </c>
      <c r="O60" s="11"/>
      <c r="P60" s="2">
        <f t="shared" si="8"/>
        <v>0</v>
      </c>
      <c r="Q60" s="2"/>
      <c r="R60" s="19"/>
      <c r="S60" s="2"/>
      <c r="T60" s="2">
        <f>--3534.12</f>
        <v>3534.12</v>
      </c>
      <c r="U60" s="2"/>
      <c r="V60" s="19"/>
      <c r="W60" s="2"/>
      <c r="X60" s="2">
        <f t="shared" si="2"/>
        <v>-3534.12</v>
      </c>
      <c r="Y60" s="2"/>
      <c r="Z60" s="19">
        <f t="shared" si="3"/>
        <v>-1</v>
      </c>
    </row>
    <row r="61" spans="1:26" s="24" customFormat="1" hidden="1" outlineLevel="1" x14ac:dyDescent="0.3">
      <c r="A61" s="44"/>
      <c r="B61" s="11" t="str">
        <f>CONCATENATE("          ", "4182", " - ", "NON-TAXABLE SALES-COMPUTER HAR")</f>
        <v xml:space="preserve">          4182 - NON-TAXABLE SALES-COMPUTER HAR</v>
      </c>
      <c r="C61" s="11"/>
      <c r="D61" s="2">
        <f t="shared" si="7"/>
        <v>0</v>
      </c>
      <c r="E61" s="2"/>
      <c r="F61" s="19"/>
      <c r="G61" s="2"/>
      <c r="H61" s="2">
        <f>--9513.96</f>
        <v>9513.9599999999991</v>
      </c>
      <c r="I61" s="2"/>
      <c r="J61" s="19"/>
      <c r="K61" s="2"/>
      <c r="L61" s="2">
        <f t="shared" si="0"/>
        <v>-9513.9599999999991</v>
      </c>
      <c r="M61" s="2"/>
      <c r="N61" s="19">
        <f t="shared" si="1"/>
        <v>-1</v>
      </c>
      <c r="O61" s="11"/>
      <c r="P61" s="2">
        <f t="shared" si="8"/>
        <v>0</v>
      </c>
      <c r="Q61" s="2"/>
      <c r="R61" s="19"/>
      <c r="S61" s="2"/>
      <c r="T61" s="2">
        <f>--164308.31</f>
        <v>164308.31</v>
      </c>
      <c r="U61" s="2"/>
      <c r="V61" s="19"/>
      <c r="W61" s="2"/>
      <c r="X61" s="2">
        <f t="shared" si="2"/>
        <v>-164308.31</v>
      </c>
      <c r="Y61" s="2"/>
      <c r="Z61" s="19">
        <f t="shared" si="3"/>
        <v>-1</v>
      </c>
    </row>
    <row r="62" spans="1:26" s="24" customFormat="1" hidden="1" outlineLevel="1" x14ac:dyDescent="0.3">
      <c r="A62" s="44"/>
      <c r="B62" s="11" t="str">
        <f>CONCATENATE("          ", "4183", " - ", "NON-TAXABLE SALES-COMPUTER EQU")</f>
        <v xml:space="preserve">          4183 - NON-TAXABLE SALES-COMPUTER EQU</v>
      </c>
      <c r="C62" s="11"/>
      <c r="D62" s="2">
        <f t="shared" si="7"/>
        <v>0</v>
      </c>
      <c r="E62" s="2"/>
      <c r="F62" s="19"/>
      <c r="G62" s="2"/>
      <c r="H62" s="2">
        <f>--258.91</f>
        <v>258.91000000000003</v>
      </c>
      <c r="I62" s="2"/>
      <c r="J62" s="19"/>
      <c r="K62" s="2"/>
      <c r="L62" s="2">
        <f t="shared" si="0"/>
        <v>-258.91000000000003</v>
      </c>
      <c r="M62" s="2"/>
      <c r="N62" s="19">
        <f t="shared" si="1"/>
        <v>-1</v>
      </c>
      <c r="O62" s="11"/>
      <c r="P62" s="2">
        <f t="shared" si="8"/>
        <v>0</v>
      </c>
      <c r="Q62" s="2"/>
      <c r="R62" s="19"/>
      <c r="S62" s="2"/>
      <c r="T62" s="2">
        <f>--7629.19</f>
        <v>7629.19</v>
      </c>
      <c r="U62" s="2"/>
      <c r="V62" s="19"/>
      <c r="W62" s="2"/>
      <c r="X62" s="2">
        <f t="shared" si="2"/>
        <v>-7629.19</v>
      </c>
      <c r="Y62" s="2"/>
      <c r="Z62" s="19">
        <f t="shared" si="3"/>
        <v>-1</v>
      </c>
    </row>
    <row r="63" spans="1:26" s="24" customFormat="1" hidden="1" outlineLevel="1" x14ac:dyDescent="0.3">
      <c r="A63" s="44"/>
      <c r="B63" s="11" t="str">
        <f>CONCATENATE("          ", "4185", " - ", "NON-TAXABLE SALES-SOFTWARE")</f>
        <v xml:space="preserve">          4185 - NON-TAXABLE SALES-SOFTWARE</v>
      </c>
      <c r="C63" s="11"/>
      <c r="D63" s="2">
        <f t="shared" si="7"/>
        <v>0</v>
      </c>
      <c r="E63" s="2"/>
      <c r="F63" s="19"/>
      <c r="G63" s="2"/>
      <c r="H63" s="2">
        <f>--873.93</f>
        <v>873.93</v>
      </c>
      <c r="I63" s="2"/>
      <c r="J63" s="19"/>
      <c r="K63" s="2"/>
      <c r="L63" s="2">
        <f t="shared" si="0"/>
        <v>-873.93</v>
      </c>
      <c r="M63" s="2"/>
      <c r="N63" s="19">
        <f t="shared" si="1"/>
        <v>-1</v>
      </c>
      <c r="O63" s="11"/>
      <c r="P63" s="2">
        <f t="shared" si="8"/>
        <v>0</v>
      </c>
      <c r="Q63" s="2"/>
      <c r="R63" s="19"/>
      <c r="S63" s="2"/>
      <c r="T63" s="2">
        <f>--26680.67</f>
        <v>26680.67</v>
      </c>
      <c r="U63" s="2"/>
      <c r="V63" s="19"/>
      <c r="W63" s="2"/>
      <c r="X63" s="2">
        <f t="shared" si="2"/>
        <v>-26680.67</v>
      </c>
      <c r="Y63" s="2"/>
      <c r="Z63" s="19">
        <f t="shared" si="3"/>
        <v>-1</v>
      </c>
    </row>
    <row r="64" spans="1:26" s="24" customFormat="1" hidden="1" outlineLevel="1" x14ac:dyDescent="0.3">
      <c r="A64" s="44"/>
      <c r="B64" s="11" t="str">
        <f>CONCATENATE("          ", "4186", " - ", "NON-TAXABLE SALES-COMPUTER SUP")</f>
        <v xml:space="preserve">          4186 - NON-TAXABLE SALES-COMPUTER SUP</v>
      </c>
      <c r="C64" s="11"/>
      <c r="D64" s="2">
        <f t="shared" si="7"/>
        <v>0</v>
      </c>
      <c r="E64" s="2"/>
      <c r="F64" s="19"/>
      <c r="G64" s="2"/>
      <c r="H64" s="2">
        <f>--176.22</f>
        <v>176.22</v>
      </c>
      <c r="I64" s="2"/>
      <c r="J64" s="19"/>
      <c r="K64" s="2"/>
      <c r="L64" s="2">
        <f t="shared" si="0"/>
        <v>-176.22</v>
      </c>
      <c r="M64" s="2"/>
      <c r="N64" s="19">
        <f t="shared" si="1"/>
        <v>-1</v>
      </c>
      <c r="O64" s="11"/>
      <c r="P64" s="2">
        <f t="shared" si="8"/>
        <v>0</v>
      </c>
      <c r="Q64" s="2"/>
      <c r="R64" s="19"/>
      <c r="S64" s="2"/>
      <c r="T64" s="2">
        <f>--1949.99</f>
        <v>1949.99</v>
      </c>
      <c r="U64" s="2"/>
      <c r="V64" s="19"/>
      <c r="W64" s="2"/>
      <c r="X64" s="2">
        <f t="shared" si="2"/>
        <v>-1949.99</v>
      </c>
      <c r="Y64" s="2"/>
      <c r="Z64" s="19">
        <f t="shared" si="3"/>
        <v>-1</v>
      </c>
    </row>
    <row r="65" spans="1:26" s="24" customFormat="1" hidden="1" outlineLevel="1" x14ac:dyDescent="0.3">
      <c r="A65" s="44"/>
      <c r="B65" s="11" t="str">
        <f>CONCATENATE("          ", "4200", " - ", "TAXABLE RETURNS")</f>
        <v xml:space="preserve">          4200 - TAXABLE RETURNS</v>
      </c>
      <c r="C65" s="11"/>
      <c r="D65" s="2">
        <f>-53893.38</f>
        <v>-53893.38</v>
      </c>
      <c r="E65" s="2"/>
      <c r="F65" s="19"/>
      <c r="G65" s="2"/>
      <c r="H65" s="2">
        <f>0</f>
        <v>0</v>
      </c>
      <c r="I65" s="2"/>
      <c r="J65" s="19"/>
      <c r="K65" s="2"/>
      <c r="L65" s="2">
        <f t="shared" si="0"/>
        <v>-53893.38</v>
      </c>
      <c r="M65" s="2"/>
      <c r="N65" s="19">
        <f t="shared" si="1"/>
        <v>0</v>
      </c>
      <c r="O65" s="11"/>
      <c r="P65" s="2">
        <f>-278401.22</f>
        <v>-278401.21999999997</v>
      </c>
      <c r="Q65" s="2"/>
      <c r="R65" s="19"/>
      <c r="S65" s="2"/>
      <c r="T65" s="2">
        <f>0</f>
        <v>0</v>
      </c>
      <c r="U65" s="2"/>
      <c r="V65" s="19"/>
      <c r="W65" s="2"/>
      <c r="X65" s="2">
        <f t="shared" si="2"/>
        <v>-278401.21999999997</v>
      </c>
      <c r="Y65" s="2"/>
      <c r="Z65" s="19">
        <f t="shared" si="3"/>
        <v>0</v>
      </c>
    </row>
    <row r="66" spans="1:26" s="24" customFormat="1" hidden="1" outlineLevel="1" x14ac:dyDescent="0.3">
      <c r="A66" s="44"/>
      <c r="B66" s="11" t="str">
        <f>CONCATENATE("          ", "4201", " - ", "SALES RETURN TAXABLE-NEW TEXT")</f>
        <v xml:space="preserve">          4201 - SALES RETURN TAXABLE-NEW TEXT</v>
      </c>
      <c r="C66" s="11"/>
      <c r="D66" s="2">
        <f t="shared" ref="D66:D82" si="11">0</f>
        <v>0</v>
      </c>
      <c r="E66" s="2"/>
      <c r="F66" s="19"/>
      <c r="G66" s="2"/>
      <c r="H66" s="2">
        <f>-681.18</f>
        <v>-681.18</v>
      </c>
      <c r="I66" s="2"/>
      <c r="J66" s="19"/>
      <c r="K66" s="2"/>
      <c r="L66" s="2">
        <f t="shared" si="0"/>
        <v>681.18</v>
      </c>
      <c r="M66" s="2"/>
      <c r="N66" s="19">
        <f t="shared" si="1"/>
        <v>-1</v>
      </c>
      <c r="O66" s="11"/>
      <c r="P66" s="2">
        <f t="shared" ref="P66:P82" si="12">0</f>
        <v>0</v>
      </c>
      <c r="Q66" s="2"/>
      <c r="R66" s="19"/>
      <c r="S66" s="2"/>
      <c r="T66" s="2">
        <f>-35775.84</f>
        <v>-35775.839999999997</v>
      </c>
      <c r="U66" s="2"/>
      <c r="V66" s="19"/>
      <c r="W66" s="2"/>
      <c r="X66" s="2">
        <f t="shared" si="2"/>
        <v>35775.839999999997</v>
      </c>
      <c r="Y66" s="2"/>
      <c r="Z66" s="19">
        <f t="shared" si="3"/>
        <v>-1</v>
      </c>
    </row>
    <row r="67" spans="1:26" s="24" customFormat="1" hidden="1" outlineLevel="1" x14ac:dyDescent="0.3">
      <c r="A67" s="44"/>
      <c r="B67" s="11" t="str">
        <f>CONCATENATE("          ", "4202", " - ", "SALES RETURN TAXABLE-USED TEXT")</f>
        <v xml:space="preserve">          4202 - SALES RETURN TAXABLE-USED TEXT</v>
      </c>
      <c r="C67" s="11"/>
      <c r="D67" s="2">
        <f t="shared" si="11"/>
        <v>0</v>
      </c>
      <c r="E67" s="2"/>
      <c r="F67" s="19"/>
      <c r="G67" s="2"/>
      <c r="H67" s="2">
        <f>-62.65</f>
        <v>-62.65</v>
      </c>
      <c r="I67" s="2"/>
      <c r="J67" s="19"/>
      <c r="K67" s="2"/>
      <c r="L67" s="2">
        <f t="shared" si="0"/>
        <v>62.65</v>
      </c>
      <c r="M67" s="2"/>
      <c r="N67" s="19">
        <f t="shared" si="1"/>
        <v>-1</v>
      </c>
      <c r="O67" s="11"/>
      <c r="P67" s="2">
        <f t="shared" si="12"/>
        <v>0</v>
      </c>
      <c r="Q67" s="2"/>
      <c r="R67" s="19"/>
      <c r="S67" s="2"/>
      <c r="T67" s="2">
        <f>-13866</f>
        <v>-13866</v>
      </c>
      <c r="U67" s="2"/>
      <c r="V67" s="19"/>
      <c r="W67" s="2"/>
      <c r="X67" s="2">
        <f t="shared" si="2"/>
        <v>13866</v>
      </c>
      <c r="Y67" s="2"/>
      <c r="Z67" s="19">
        <f t="shared" si="3"/>
        <v>-1</v>
      </c>
    </row>
    <row r="68" spans="1:26" s="24" customFormat="1" hidden="1" outlineLevel="1" x14ac:dyDescent="0.3">
      <c r="A68" s="44"/>
      <c r="B68" s="11" t="str">
        <f>CONCATENATE("          ", "4204", " - ", "SALES RETURN TAXABLE-DIGITAL T")</f>
        <v xml:space="preserve">          4204 - SALES RETURN TAXABLE-DIGITAL T</v>
      </c>
      <c r="C68" s="11"/>
      <c r="D68" s="2">
        <f t="shared" si="11"/>
        <v>0</v>
      </c>
      <c r="E68" s="2"/>
      <c r="F68" s="19"/>
      <c r="G68" s="2"/>
      <c r="H68" s="2">
        <f t="shared" ref="H68:H69" si="13">0</f>
        <v>0</v>
      </c>
      <c r="I68" s="2"/>
      <c r="J68" s="19"/>
      <c r="K68" s="2"/>
      <c r="L68" s="2">
        <f t="shared" si="0"/>
        <v>0</v>
      </c>
      <c r="M68" s="2"/>
      <c r="N68" s="19">
        <f t="shared" si="1"/>
        <v>0</v>
      </c>
      <c r="O68" s="11"/>
      <c r="P68" s="2">
        <f t="shared" si="12"/>
        <v>0</v>
      </c>
      <c r="Q68" s="2"/>
      <c r="R68" s="19"/>
      <c r="S68" s="2"/>
      <c r="T68" s="2">
        <f>-1630.85</f>
        <v>-1630.85</v>
      </c>
      <c r="U68" s="2"/>
      <c r="V68" s="19"/>
      <c r="W68" s="2"/>
      <c r="X68" s="2">
        <f t="shared" si="2"/>
        <v>1630.85</v>
      </c>
      <c r="Y68" s="2"/>
      <c r="Z68" s="19">
        <f t="shared" si="3"/>
        <v>-1</v>
      </c>
    </row>
    <row r="69" spans="1:26" s="24" customFormat="1" hidden="1" outlineLevel="1" x14ac:dyDescent="0.3">
      <c r="A69" s="44"/>
      <c r="B69" s="11" t="str">
        <f>CONCATENATE("          ", "4226", " - ", "SALES RETURN TAXABLE-WRITING I")</f>
        <v xml:space="preserve">          4226 - SALES RETURN TAXABLE-WRITING I</v>
      </c>
      <c r="C69" s="11"/>
      <c r="D69" s="2">
        <f t="shared" si="11"/>
        <v>0</v>
      </c>
      <c r="E69" s="2"/>
      <c r="F69" s="19"/>
      <c r="G69" s="2"/>
      <c r="H69" s="2">
        <f t="shared" si="13"/>
        <v>0</v>
      </c>
      <c r="I69" s="2"/>
      <c r="J69" s="19"/>
      <c r="K69" s="2"/>
      <c r="L69" s="2">
        <f t="shared" si="0"/>
        <v>0</v>
      </c>
      <c r="M69" s="2"/>
      <c r="N69" s="19">
        <f t="shared" si="1"/>
        <v>0</v>
      </c>
      <c r="O69" s="11"/>
      <c r="P69" s="2">
        <f t="shared" si="12"/>
        <v>0</v>
      </c>
      <c r="Q69" s="2"/>
      <c r="R69" s="19"/>
      <c r="S69" s="2"/>
      <c r="T69" s="2">
        <f>-34.23</f>
        <v>-34.229999999999997</v>
      </c>
      <c r="U69" s="2"/>
      <c r="V69" s="19"/>
      <c r="W69" s="2"/>
      <c r="X69" s="2">
        <f t="shared" si="2"/>
        <v>34.229999999999997</v>
      </c>
      <c r="Y69" s="2"/>
      <c r="Z69" s="19">
        <f t="shared" si="3"/>
        <v>-1</v>
      </c>
    </row>
    <row r="70" spans="1:26" s="24" customFormat="1" hidden="1" outlineLevel="1" x14ac:dyDescent="0.3">
      <c r="A70" s="44"/>
      <c r="B70" s="11" t="str">
        <f>CONCATENATE("          ", "4227", " - ", "SALES RETURN TAXABLE-SCHOOL SU")</f>
        <v xml:space="preserve">          4227 - SALES RETURN TAXABLE-SCHOOL SU</v>
      </c>
      <c r="C70" s="11"/>
      <c r="D70" s="2">
        <f t="shared" si="11"/>
        <v>0</v>
      </c>
      <c r="E70" s="2"/>
      <c r="F70" s="19"/>
      <c r="G70" s="2"/>
      <c r="H70" s="2">
        <f>-25.82</f>
        <v>-25.82</v>
      </c>
      <c r="I70" s="2"/>
      <c r="J70" s="19"/>
      <c r="K70" s="2"/>
      <c r="L70" s="2">
        <f t="shared" si="0"/>
        <v>25.82</v>
      </c>
      <c r="M70" s="2"/>
      <c r="N70" s="19">
        <f t="shared" si="1"/>
        <v>-1</v>
      </c>
      <c r="O70" s="11"/>
      <c r="P70" s="2">
        <f t="shared" si="12"/>
        <v>0</v>
      </c>
      <c r="Q70" s="2"/>
      <c r="R70" s="19"/>
      <c r="S70" s="2"/>
      <c r="T70" s="2">
        <f>-636.46</f>
        <v>-636.46</v>
      </c>
      <c r="U70" s="2"/>
      <c r="V70" s="19"/>
      <c r="W70" s="2"/>
      <c r="X70" s="2">
        <f t="shared" si="2"/>
        <v>636.46</v>
      </c>
      <c r="Y70" s="2"/>
      <c r="Z70" s="19">
        <f t="shared" si="3"/>
        <v>-1</v>
      </c>
    </row>
    <row r="71" spans="1:26" s="24" customFormat="1" hidden="1" outlineLevel="1" x14ac:dyDescent="0.3">
      <c r="A71" s="44"/>
      <c r="B71" s="11" t="str">
        <f>CONCATENATE("          ", "4228", " - ", "SALES RETURN TAXABLE-ART/TECH")</f>
        <v xml:space="preserve">          4228 - SALES RETURN TAXABLE-ART/TECH</v>
      </c>
      <c r="C71" s="11"/>
      <c r="D71" s="2">
        <f t="shared" si="11"/>
        <v>0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 t="shared" si="12"/>
        <v>0</v>
      </c>
      <c r="Q71" s="2"/>
      <c r="R71" s="19"/>
      <c r="S71" s="2"/>
      <c r="T71" s="2">
        <f>-254.69</f>
        <v>-254.69</v>
      </c>
      <c r="U71" s="2"/>
      <c r="V71" s="19"/>
      <c r="W71" s="2"/>
      <c r="X71" s="2">
        <f t="shared" si="2"/>
        <v>254.69</v>
      </c>
      <c r="Y71" s="2"/>
      <c r="Z71" s="19">
        <f t="shared" si="3"/>
        <v>-1</v>
      </c>
    </row>
    <row r="72" spans="1:26" s="24" customFormat="1" hidden="1" outlineLevel="1" x14ac:dyDescent="0.3">
      <c r="A72" s="44"/>
      <c r="B72" s="11" t="str">
        <f>CONCATENATE("          ", "4240", " - ", "SALES RETURN TAXABLE-LOGO CLOT")</f>
        <v xml:space="preserve">          4240 - SALES RETURN TAXABLE-LOGO CLOT</v>
      </c>
      <c r="C72" s="11"/>
      <c r="D72" s="2">
        <f t="shared" si="11"/>
        <v>0</v>
      </c>
      <c r="E72" s="2"/>
      <c r="F72" s="19"/>
      <c r="G72" s="2"/>
      <c r="H72" s="2">
        <f>-4840.17</f>
        <v>-4840.17</v>
      </c>
      <c r="I72" s="2"/>
      <c r="J72" s="19"/>
      <c r="K72" s="2"/>
      <c r="L72" s="2">
        <f t="shared" si="0"/>
        <v>4840.17</v>
      </c>
      <c r="M72" s="2"/>
      <c r="N72" s="19">
        <f t="shared" si="1"/>
        <v>-1</v>
      </c>
      <c r="O72" s="11"/>
      <c r="P72" s="2">
        <f t="shared" si="12"/>
        <v>0</v>
      </c>
      <c r="Q72" s="2"/>
      <c r="R72" s="19"/>
      <c r="S72" s="2"/>
      <c r="T72" s="2">
        <f>-20418.84</f>
        <v>-20418.84</v>
      </c>
      <c r="U72" s="2"/>
      <c r="V72" s="19"/>
      <c r="W72" s="2"/>
      <c r="X72" s="2">
        <f t="shared" si="2"/>
        <v>20418.84</v>
      </c>
      <c r="Y72" s="2"/>
      <c r="Z72" s="19">
        <f t="shared" si="3"/>
        <v>-1</v>
      </c>
    </row>
    <row r="73" spans="1:26" s="24" customFormat="1" hidden="1" outlineLevel="1" x14ac:dyDescent="0.3">
      <c r="A73" s="44"/>
      <c r="B73" s="11" t="str">
        <f>CONCATENATE("          ", "4241", " - ", "SALES RETURN TAXABLE-LOGO GIFT")</f>
        <v xml:space="preserve">          4241 - SALES RETURN TAXABLE-LOGO GIFT</v>
      </c>
      <c r="C73" s="11"/>
      <c r="D73" s="2">
        <f t="shared" si="11"/>
        <v>0</v>
      </c>
      <c r="E73" s="2"/>
      <c r="F73" s="19"/>
      <c r="G73" s="2"/>
      <c r="H73" s="2">
        <f>-755.16</f>
        <v>-755.16</v>
      </c>
      <c r="I73" s="2"/>
      <c r="J73" s="19"/>
      <c r="K73" s="2"/>
      <c r="L73" s="2">
        <f t="shared" si="0"/>
        <v>755.16</v>
      </c>
      <c r="M73" s="2"/>
      <c r="N73" s="19">
        <f t="shared" si="1"/>
        <v>-1</v>
      </c>
      <c r="O73" s="11"/>
      <c r="P73" s="2">
        <f t="shared" si="12"/>
        <v>0</v>
      </c>
      <c r="Q73" s="2"/>
      <c r="R73" s="19"/>
      <c r="S73" s="2"/>
      <c r="T73" s="2">
        <f>-3560.01</f>
        <v>-3560.01</v>
      </c>
      <c r="U73" s="2"/>
      <c r="V73" s="19"/>
      <c r="W73" s="2"/>
      <c r="X73" s="2">
        <f t="shared" si="2"/>
        <v>3560.01</v>
      </c>
      <c r="Y73" s="2"/>
      <c r="Z73" s="19">
        <f t="shared" si="3"/>
        <v>-1</v>
      </c>
    </row>
    <row r="74" spans="1:26" s="24" customFormat="1" hidden="1" outlineLevel="1" x14ac:dyDescent="0.3">
      <c r="A74" s="44"/>
      <c r="B74" s="11" t="str">
        <f>CONCATENATE("          ", "4242", " - ", "SALES RETURN TAXABLE-EVERYDAY")</f>
        <v xml:space="preserve">          4242 - SALES RETURN TAXABLE-EVERYDAY</v>
      </c>
      <c r="C74" s="11"/>
      <c r="D74" s="2">
        <f t="shared" si="11"/>
        <v>0</v>
      </c>
      <c r="E74" s="2"/>
      <c r="F74" s="19"/>
      <c r="G74" s="2"/>
      <c r="H74" s="2">
        <f>-287.93</f>
        <v>-287.93</v>
      </c>
      <c r="I74" s="2"/>
      <c r="J74" s="19"/>
      <c r="K74" s="2"/>
      <c r="L74" s="2">
        <f t="shared" si="0"/>
        <v>287.93</v>
      </c>
      <c r="M74" s="2"/>
      <c r="N74" s="19">
        <f t="shared" si="1"/>
        <v>-1</v>
      </c>
      <c r="O74" s="11"/>
      <c r="P74" s="2">
        <f t="shared" si="12"/>
        <v>0</v>
      </c>
      <c r="Q74" s="2"/>
      <c r="R74" s="19"/>
      <c r="S74" s="2"/>
      <c r="T74" s="2">
        <f>-1616.92</f>
        <v>-1616.92</v>
      </c>
      <c r="U74" s="2"/>
      <c r="V74" s="19"/>
      <c r="W74" s="2"/>
      <c r="X74" s="2">
        <f t="shared" si="2"/>
        <v>1616.92</v>
      </c>
      <c r="Y74" s="2"/>
      <c r="Z74" s="19">
        <f t="shared" si="3"/>
        <v>-1</v>
      </c>
    </row>
    <row r="75" spans="1:26" s="24" customFormat="1" hidden="1" outlineLevel="1" x14ac:dyDescent="0.3">
      <c r="A75" s="44"/>
      <c r="B75" s="11" t="str">
        <f>CONCATENATE("          ", "4243", " - ", "SALES RETURN TAXABLE-CARDS")</f>
        <v xml:space="preserve">          4243 - SALES RETURN TAXABLE-CARDS</v>
      </c>
      <c r="C75" s="11"/>
      <c r="D75" s="2">
        <f t="shared" si="11"/>
        <v>0</v>
      </c>
      <c r="E75" s="2"/>
      <c r="F75" s="19"/>
      <c r="G75" s="2"/>
      <c r="H75" s="2">
        <f>-1765.08</f>
        <v>-1765.08</v>
      </c>
      <c r="I75" s="2"/>
      <c r="J75" s="19"/>
      <c r="K75" s="2"/>
      <c r="L75" s="2">
        <f t="shared" si="0"/>
        <v>1765.08</v>
      </c>
      <c r="M75" s="2"/>
      <c r="N75" s="19">
        <f t="shared" si="1"/>
        <v>-1</v>
      </c>
      <c r="O75" s="11"/>
      <c r="P75" s="2">
        <f t="shared" si="12"/>
        <v>0</v>
      </c>
      <c r="Q75" s="2"/>
      <c r="R75" s="19"/>
      <c r="S75" s="2"/>
      <c r="T75" s="2">
        <f>-3577.54</f>
        <v>-3577.54</v>
      </c>
      <c r="U75" s="2"/>
      <c r="V75" s="19"/>
      <c r="W75" s="2"/>
      <c r="X75" s="2">
        <f t="shared" si="2"/>
        <v>3577.54</v>
      </c>
      <c r="Y75" s="2"/>
      <c r="Z75" s="19">
        <f t="shared" si="3"/>
        <v>-1</v>
      </c>
    </row>
    <row r="76" spans="1:26" s="24" customFormat="1" hidden="1" outlineLevel="1" x14ac:dyDescent="0.3">
      <c r="A76" s="44"/>
      <c r="B76" s="11" t="str">
        <f>CONCATENATE("          ", "4244", " - ", "SALES RETURN TAXABLE-ACCESSORI")</f>
        <v xml:space="preserve">          4244 - SALES RETURN TAXABLE-ACCESSORI</v>
      </c>
      <c r="C76" s="11"/>
      <c r="D76" s="2">
        <f t="shared" si="11"/>
        <v>0</v>
      </c>
      <c r="E76" s="2"/>
      <c r="F76" s="19"/>
      <c r="G76" s="2"/>
      <c r="H76" s="2">
        <f>-299.93</f>
        <v>-299.93</v>
      </c>
      <c r="I76" s="2"/>
      <c r="J76" s="19"/>
      <c r="K76" s="2"/>
      <c r="L76" s="2">
        <f t="shared" si="0"/>
        <v>299.93</v>
      </c>
      <c r="M76" s="2"/>
      <c r="N76" s="19">
        <f t="shared" si="1"/>
        <v>-1</v>
      </c>
      <c r="O76" s="11"/>
      <c r="P76" s="2">
        <f t="shared" si="12"/>
        <v>0</v>
      </c>
      <c r="Q76" s="2"/>
      <c r="R76" s="19"/>
      <c r="S76" s="2"/>
      <c r="T76" s="2">
        <f>-890.87</f>
        <v>-890.87</v>
      </c>
      <c r="U76" s="2"/>
      <c r="V76" s="19"/>
      <c r="W76" s="2"/>
      <c r="X76" s="2">
        <f t="shared" si="2"/>
        <v>890.87</v>
      </c>
      <c r="Y76" s="2"/>
      <c r="Z76" s="19">
        <f t="shared" si="3"/>
        <v>-1</v>
      </c>
    </row>
    <row r="77" spans="1:26" s="24" customFormat="1" hidden="1" outlineLevel="1" x14ac:dyDescent="0.3">
      <c r="A77" s="44"/>
      <c r="B77" s="11" t="str">
        <f>CONCATENATE("          ", "4245", " - ", "SALES RETURN TAXABLE-SPECIAL O")</f>
        <v xml:space="preserve">          4245 - SALES RETURN TAXABLE-SPECIAL O</v>
      </c>
      <c r="C77" s="11"/>
      <c r="D77" s="2">
        <f t="shared" si="11"/>
        <v>0</v>
      </c>
      <c r="E77" s="2"/>
      <c r="F77" s="19"/>
      <c r="G77" s="2"/>
      <c r="H77" s="2">
        <f>-9752.79</f>
        <v>-9752.7900000000009</v>
      </c>
      <c r="I77" s="2"/>
      <c r="J77" s="19"/>
      <c r="K77" s="2"/>
      <c r="L77" s="2">
        <f t="shared" si="0"/>
        <v>9752.7900000000009</v>
      </c>
      <c r="M77" s="2"/>
      <c r="N77" s="19">
        <f t="shared" si="1"/>
        <v>-1</v>
      </c>
      <c r="O77" s="11"/>
      <c r="P77" s="2">
        <f t="shared" si="12"/>
        <v>0</v>
      </c>
      <c r="Q77" s="2"/>
      <c r="R77" s="19"/>
      <c r="S77" s="2"/>
      <c r="T77" s="2">
        <f>-11345.61</f>
        <v>-11345.61</v>
      </c>
      <c r="U77" s="2"/>
      <c r="V77" s="19"/>
      <c r="W77" s="2"/>
      <c r="X77" s="2">
        <f t="shared" si="2"/>
        <v>11345.61</v>
      </c>
      <c r="Y77" s="2"/>
      <c r="Z77" s="19">
        <f t="shared" si="3"/>
        <v>-1</v>
      </c>
    </row>
    <row r="78" spans="1:26" s="24" customFormat="1" hidden="1" outlineLevel="1" x14ac:dyDescent="0.3">
      <c r="A78" s="44"/>
      <c r="B78" s="11" t="str">
        <f>CONCATENATE("          ", "4281", " - ", "SALES RETURN TAXABLE-ELECTRONI")</f>
        <v xml:space="preserve">          4281 - SALES RETURN TAXABLE-ELECTRONI</v>
      </c>
      <c r="C78" s="11"/>
      <c r="D78" s="2">
        <f t="shared" si="11"/>
        <v>0</v>
      </c>
      <c r="E78" s="2"/>
      <c r="F78" s="19"/>
      <c r="G78" s="2"/>
      <c r="H78" s="2">
        <f>0</f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 t="shared" si="12"/>
        <v>0</v>
      </c>
      <c r="Q78" s="2"/>
      <c r="R78" s="19"/>
      <c r="S78" s="2"/>
      <c r="T78" s="2">
        <f>-14632.15</f>
        <v>-14632.15</v>
      </c>
      <c r="U78" s="2"/>
      <c r="V78" s="19"/>
      <c r="W78" s="2"/>
      <c r="X78" s="2">
        <f t="shared" si="2"/>
        <v>14632.15</v>
      </c>
      <c r="Y78" s="2"/>
      <c r="Z78" s="19">
        <f t="shared" si="3"/>
        <v>-1</v>
      </c>
    </row>
    <row r="79" spans="1:26" s="24" customFormat="1" hidden="1" outlineLevel="1" x14ac:dyDescent="0.3">
      <c r="A79" s="44"/>
      <c r="B79" s="11" t="str">
        <f>CONCATENATE("          ", "4282", " - ", "SALES RETURN TAXABLE-COMPUTER")</f>
        <v xml:space="preserve">          4282 - SALES RETURN TAXABLE-COMPUTER</v>
      </c>
      <c r="C79" s="11"/>
      <c r="D79" s="2">
        <f t="shared" si="11"/>
        <v>0</v>
      </c>
      <c r="E79" s="2"/>
      <c r="F79" s="19"/>
      <c r="G79" s="2"/>
      <c r="H79" s="2">
        <f>-7936</f>
        <v>-7936</v>
      </c>
      <c r="I79" s="2"/>
      <c r="J79" s="19"/>
      <c r="K79" s="2"/>
      <c r="L79" s="2">
        <f t="shared" si="0"/>
        <v>7936</v>
      </c>
      <c r="M79" s="2"/>
      <c r="N79" s="19">
        <f t="shared" si="1"/>
        <v>-1</v>
      </c>
      <c r="O79" s="11"/>
      <c r="P79" s="2">
        <f t="shared" si="12"/>
        <v>0</v>
      </c>
      <c r="Q79" s="2"/>
      <c r="R79" s="19"/>
      <c r="S79" s="2"/>
      <c r="T79" s="2">
        <f>-92020.01</f>
        <v>-92020.01</v>
      </c>
      <c r="U79" s="2"/>
      <c r="V79" s="19"/>
      <c r="W79" s="2"/>
      <c r="X79" s="2">
        <f t="shared" si="2"/>
        <v>92020.01</v>
      </c>
      <c r="Y79" s="2"/>
      <c r="Z79" s="19">
        <f t="shared" si="3"/>
        <v>-1</v>
      </c>
    </row>
    <row r="80" spans="1:26" s="24" customFormat="1" hidden="1" outlineLevel="1" x14ac:dyDescent="0.3">
      <c r="A80" s="44"/>
      <c r="B80" s="11" t="str">
        <f>CONCATENATE("          ", "4283", " - ", "SALES RETURN TAXABLE-COMPUTER")</f>
        <v xml:space="preserve">          4283 - SALES RETURN TAXABLE-COMPUTER</v>
      </c>
      <c r="C80" s="11"/>
      <c r="D80" s="2">
        <f t="shared" si="11"/>
        <v>0</v>
      </c>
      <c r="E80" s="2"/>
      <c r="F80" s="19"/>
      <c r="G80" s="2"/>
      <c r="H80" s="2">
        <f>-99.99</f>
        <v>-99.99</v>
      </c>
      <c r="I80" s="2"/>
      <c r="J80" s="19"/>
      <c r="K80" s="2"/>
      <c r="L80" s="2">
        <f t="shared" si="0"/>
        <v>99.99</v>
      </c>
      <c r="M80" s="2"/>
      <c r="N80" s="19">
        <f t="shared" si="1"/>
        <v>-1</v>
      </c>
      <c r="O80" s="11"/>
      <c r="P80" s="2">
        <f t="shared" si="12"/>
        <v>0</v>
      </c>
      <c r="Q80" s="2"/>
      <c r="R80" s="19"/>
      <c r="S80" s="2"/>
      <c r="T80" s="2">
        <f>-3411.26</f>
        <v>-3411.26</v>
      </c>
      <c r="U80" s="2"/>
      <c r="V80" s="19"/>
      <c r="W80" s="2"/>
      <c r="X80" s="2">
        <f t="shared" si="2"/>
        <v>3411.26</v>
      </c>
      <c r="Y80" s="2"/>
      <c r="Z80" s="19">
        <f t="shared" si="3"/>
        <v>-1</v>
      </c>
    </row>
    <row r="81" spans="1:26" s="24" customFormat="1" hidden="1" outlineLevel="1" x14ac:dyDescent="0.3">
      <c r="A81" s="44"/>
      <c r="B81" s="11" t="str">
        <f>CONCATENATE("          ", "4285", " - ", "SALES RETURN TAXABLE-SOFTWARE")</f>
        <v xml:space="preserve">          4285 - SALES RETURN TAXABLE-SOFTWARE</v>
      </c>
      <c r="C81" s="11"/>
      <c r="D81" s="2">
        <f t="shared" si="11"/>
        <v>0</v>
      </c>
      <c r="E81" s="2"/>
      <c r="F81" s="19"/>
      <c r="G81" s="2"/>
      <c r="H81" s="2">
        <f>0</f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 t="shared" si="12"/>
        <v>0</v>
      </c>
      <c r="Q81" s="2"/>
      <c r="R81" s="19"/>
      <c r="S81" s="2"/>
      <c r="T81" s="2">
        <f>-691.98</f>
        <v>-691.98</v>
      </c>
      <c r="U81" s="2"/>
      <c r="V81" s="19"/>
      <c r="W81" s="2"/>
      <c r="X81" s="2">
        <f t="shared" si="2"/>
        <v>691.98</v>
      </c>
      <c r="Y81" s="2"/>
      <c r="Z81" s="19">
        <f t="shared" si="3"/>
        <v>-1</v>
      </c>
    </row>
    <row r="82" spans="1:26" s="24" customFormat="1" hidden="1" outlineLevel="1" x14ac:dyDescent="0.3">
      <c r="A82" s="44"/>
      <c r="B82" s="11" t="str">
        <f>CONCATENATE("          ", "4286", " - ", "SALES RETURN TAXABLE-COMPUTER")</f>
        <v xml:space="preserve">          4286 - SALES RETURN TAXABLE-COMPUTER</v>
      </c>
      <c r="C82" s="11"/>
      <c r="D82" s="2">
        <f t="shared" si="11"/>
        <v>0</v>
      </c>
      <c r="E82" s="2"/>
      <c r="F82" s="19"/>
      <c r="G82" s="2"/>
      <c r="H82" s="2">
        <f>-4127</f>
        <v>-4127</v>
      </c>
      <c r="I82" s="2"/>
      <c r="J82" s="19"/>
      <c r="K82" s="2"/>
      <c r="L82" s="2">
        <f t="shared" si="0"/>
        <v>4127</v>
      </c>
      <c r="M82" s="2"/>
      <c r="N82" s="19">
        <f t="shared" si="1"/>
        <v>-1</v>
      </c>
      <c r="O82" s="11"/>
      <c r="P82" s="2">
        <f t="shared" si="12"/>
        <v>0</v>
      </c>
      <c r="Q82" s="2"/>
      <c r="R82" s="19"/>
      <c r="S82" s="2"/>
      <c r="T82" s="2">
        <f>-4708.35</f>
        <v>-4708.3500000000004</v>
      </c>
      <c r="U82" s="2"/>
      <c r="V82" s="19"/>
      <c r="W82" s="2"/>
      <c r="X82" s="2">
        <f t="shared" si="2"/>
        <v>4708.3500000000004</v>
      </c>
      <c r="Y82" s="2"/>
      <c r="Z82" s="19">
        <f t="shared" si="3"/>
        <v>-1</v>
      </c>
    </row>
    <row r="83" spans="1:26" s="24" customFormat="1" hidden="1" outlineLevel="1" x14ac:dyDescent="0.3">
      <c r="A83" s="44"/>
      <c r="B83" s="11" t="str">
        <f>CONCATENATE("          ", "4300", " - ", "NON-TAX RETURNS")</f>
        <v xml:space="preserve">          4300 - NON-TAX RETURNS</v>
      </c>
      <c r="C83" s="11"/>
      <c r="D83" s="2">
        <f>-678.95</f>
        <v>-678.95</v>
      </c>
      <c r="E83" s="2"/>
      <c r="F83" s="19"/>
      <c r="G83" s="2"/>
      <c r="H83" s="2">
        <f>0</f>
        <v>0</v>
      </c>
      <c r="I83" s="2"/>
      <c r="J83" s="19"/>
      <c r="K83" s="2"/>
      <c r="L83" s="2">
        <f t="shared" si="0"/>
        <v>-678.95</v>
      </c>
      <c r="M83" s="2"/>
      <c r="N83" s="19">
        <f t="shared" si="1"/>
        <v>0</v>
      </c>
      <c r="O83" s="11"/>
      <c r="P83" s="2">
        <f>-27884.13</f>
        <v>-27884.13</v>
      </c>
      <c r="Q83" s="2"/>
      <c r="R83" s="19"/>
      <c r="S83" s="2"/>
      <c r="T83" s="2">
        <f>0</f>
        <v>0</v>
      </c>
      <c r="U83" s="2"/>
      <c r="V83" s="19"/>
      <c r="W83" s="2"/>
      <c r="X83" s="2">
        <f t="shared" si="2"/>
        <v>-27884.13</v>
      </c>
      <c r="Y83" s="2"/>
      <c r="Z83" s="19">
        <f t="shared" si="3"/>
        <v>0</v>
      </c>
    </row>
    <row r="84" spans="1:26" s="24" customFormat="1" hidden="1" outlineLevel="1" x14ac:dyDescent="0.3">
      <c r="A84" s="44"/>
      <c r="B84" s="11" t="str">
        <f>CONCATENATE("          ", "4301", " - ", "SALES RETURN NON TAXABLE-NEW T")</f>
        <v xml:space="preserve">          4301 - SALES RETURN NON TAXABLE-NEW T</v>
      </c>
      <c r="C84" s="11"/>
      <c r="D84" s="2">
        <f t="shared" ref="D84:D90" si="14">0</f>
        <v>0</v>
      </c>
      <c r="E84" s="2"/>
      <c r="F84" s="19"/>
      <c r="G84" s="2"/>
      <c r="H84" s="2">
        <f>-372.93</f>
        <v>-372.93</v>
      </c>
      <c r="I84" s="2"/>
      <c r="J84" s="19"/>
      <c r="K84" s="2"/>
      <c r="L84" s="2">
        <f t="shared" si="0"/>
        <v>372.93</v>
      </c>
      <c r="M84" s="2"/>
      <c r="N84" s="19">
        <f t="shared" si="1"/>
        <v>-1</v>
      </c>
      <c r="O84" s="11"/>
      <c r="P84" s="2">
        <f t="shared" ref="P84:P90" si="15">0</f>
        <v>0</v>
      </c>
      <c r="Q84" s="2"/>
      <c r="R84" s="19"/>
      <c r="S84" s="2"/>
      <c r="T84" s="2">
        <f>-2749.1</f>
        <v>-2749.1</v>
      </c>
      <c r="U84" s="2"/>
      <c r="V84" s="19"/>
      <c r="W84" s="2"/>
      <c r="X84" s="2">
        <f t="shared" si="2"/>
        <v>2749.1</v>
      </c>
      <c r="Y84" s="2"/>
      <c r="Z84" s="19">
        <f t="shared" si="3"/>
        <v>-1</v>
      </c>
    </row>
    <row r="85" spans="1:26" s="24" customFormat="1" hidden="1" outlineLevel="1" x14ac:dyDescent="0.3">
      <c r="A85" s="44"/>
      <c r="B85" s="11" t="str">
        <f>CONCATENATE("          ", "4302", " - ", "SALES RETURN NON TAXABLE-TEXT")</f>
        <v xml:space="preserve">          4302 - SALES RETURN NON TAXABLE-TEXT</v>
      </c>
      <c r="C85" s="11"/>
      <c r="D85" s="2">
        <f t="shared" si="14"/>
        <v>0</v>
      </c>
      <c r="E85" s="2"/>
      <c r="F85" s="19"/>
      <c r="G85" s="2"/>
      <c r="H85" s="2">
        <f>-77.35</f>
        <v>-77.349999999999994</v>
      </c>
      <c r="I85" s="2"/>
      <c r="J85" s="19"/>
      <c r="K85" s="2"/>
      <c r="L85" s="2">
        <f t="shared" si="0"/>
        <v>77.349999999999994</v>
      </c>
      <c r="M85" s="2"/>
      <c r="N85" s="19">
        <f t="shared" si="1"/>
        <v>-1</v>
      </c>
      <c r="O85" s="11"/>
      <c r="P85" s="2">
        <f t="shared" si="15"/>
        <v>0</v>
      </c>
      <c r="Q85" s="2"/>
      <c r="R85" s="19"/>
      <c r="S85" s="2"/>
      <c r="T85" s="2">
        <f>-1470.2</f>
        <v>-1470.2</v>
      </c>
      <c r="U85" s="2"/>
      <c r="V85" s="19"/>
      <c r="W85" s="2"/>
      <c r="X85" s="2">
        <f t="shared" si="2"/>
        <v>1470.2</v>
      </c>
      <c r="Y85" s="2"/>
      <c r="Z85" s="19">
        <f t="shared" si="3"/>
        <v>-1</v>
      </c>
    </row>
    <row r="86" spans="1:26" s="24" customFormat="1" hidden="1" outlineLevel="1" x14ac:dyDescent="0.3">
      <c r="A86" s="44"/>
      <c r="B86" s="11" t="str">
        <f>CONCATENATE("          ", "4304", " - ", "SALES RETURN NON TAXABLE-DIGIT")</f>
        <v xml:space="preserve">          4304 - SALES RETURN NON TAXABLE-DIGIT</v>
      </c>
      <c r="C86" s="11"/>
      <c r="D86" s="2">
        <f t="shared" si="14"/>
        <v>0</v>
      </c>
      <c r="E86" s="2"/>
      <c r="F86" s="19"/>
      <c r="G86" s="2"/>
      <c r="H86" s="2">
        <f>-144.23</f>
        <v>-144.22999999999999</v>
      </c>
      <c r="I86" s="2"/>
      <c r="J86" s="19"/>
      <c r="K86" s="2"/>
      <c r="L86" s="2">
        <f t="shared" si="0"/>
        <v>144.22999999999999</v>
      </c>
      <c r="M86" s="2"/>
      <c r="N86" s="19">
        <f t="shared" si="1"/>
        <v>-1</v>
      </c>
      <c r="O86" s="11"/>
      <c r="P86" s="2">
        <f t="shared" si="15"/>
        <v>0</v>
      </c>
      <c r="Q86" s="2"/>
      <c r="R86" s="19"/>
      <c r="S86" s="2"/>
      <c r="T86" s="2">
        <f>-14422.77</f>
        <v>-14422.77</v>
      </c>
      <c r="U86" s="2"/>
      <c r="V86" s="19"/>
      <c r="W86" s="2"/>
      <c r="X86" s="2">
        <f t="shared" si="2"/>
        <v>14422.77</v>
      </c>
      <c r="Y86" s="2"/>
      <c r="Z86" s="19">
        <f t="shared" si="3"/>
        <v>-1</v>
      </c>
    </row>
    <row r="87" spans="1:26" s="24" customFormat="1" hidden="1" outlineLevel="1" x14ac:dyDescent="0.3">
      <c r="A87" s="44"/>
      <c r="B87" s="11" t="str">
        <f>CONCATENATE("          ", "4340", " - ", "SALES RETURN NON TAXABLE-LOGO")</f>
        <v xml:space="preserve">          4340 - SALES RETURN NON TAXABLE-LOGO</v>
      </c>
      <c r="C87" s="11"/>
      <c r="D87" s="2">
        <f t="shared" si="14"/>
        <v>0</v>
      </c>
      <c r="E87" s="2"/>
      <c r="F87" s="19"/>
      <c r="G87" s="2"/>
      <c r="H87" s="2">
        <f>-543.24</f>
        <v>-543.24</v>
      </c>
      <c r="I87" s="2"/>
      <c r="J87" s="19"/>
      <c r="K87" s="2"/>
      <c r="L87" s="2">
        <f t="shared" si="0"/>
        <v>543.24</v>
      </c>
      <c r="M87" s="2"/>
      <c r="N87" s="19">
        <f t="shared" si="1"/>
        <v>-1</v>
      </c>
      <c r="O87" s="11"/>
      <c r="P87" s="2">
        <f t="shared" si="15"/>
        <v>0</v>
      </c>
      <c r="Q87" s="2"/>
      <c r="R87" s="19"/>
      <c r="S87" s="2"/>
      <c r="T87" s="2">
        <f>-1483.72</f>
        <v>-1483.72</v>
      </c>
      <c r="U87" s="2"/>
      <c r="V87" s="19"/>
      <c r="W87" s="2"/>
      <c r="X87" s="2">
        <f t="shared" si="2"/>
        <v>1483.72</v>
      </c>
      <c r="Y87" s="2"/>
      <c r="Z87" s="19">
        <f t="shared" si="3"/>
        <v>-1</v>
      </c>
    </row>
    <row r="88" spans="1:26" s="24" customFormat="1" hidden="1" outlineLevel="1" x14ac:dyDescent="0.3">
      <c r="A88" s="44"/>
      <c r="B88" s="11" t="str">
        <f>CONCATENATE("          ", "4341", " - ", "SALES RETURN NON TAXABLE-LOGO")</f>
        <v xml:space="preserve">          4341 - SALES RETURN NON TAXABLE-LOGO</v>
      </c>
      <c r="C88" s="11"/>
      <c r="D88" s="2">
        <f t="shared" si="14"/>
        <v>0</v>
      </c>
      <c r="E88" s="2"/>
      <c r="F88" s="19"/>
      <c r="G88" s="2"/>
      <c r="H88" s="2">
        <f>-33.85</f>
        <v>-33.85</v>
      </c>
      <c r="I88" s="2"/>
      <c r="J88" s="19"/>
      <c r="K88" s="2"/>
      <c r="L88" s="2">
        <f t="shared" si="0"/>
        <v>33.85</v>
      </c>
      <c r="M88" s="2"/>
      <c r="N88" s="19">
        <f t="shared" si="1"/>
        <v>-1</v>
      </c>
      <c r="O88" s="11"/>
      <c r="P88" s="2">
        <f t="shared" si="15"/>
        <v>0</v>
      </c>
      <c r="Q88" s="2"/>
      <c r="R88" s="19"/>
      <c r="S88" s="2"/>
      <c r="T88" s="2">
        <f>-335.64</f>
        <v>-335.64</v>
      </c>
      <c r="U88" s="2"/>
      <c r="V88" s="19"/>
      <c r="W88" s="2"/>
      <c r="X88" s="2">
        <f t="shared" si="2"/>
        <v>335.64</v>
      </c>
      <c r="Y88" s="2"/>
      <c r="Z88" s="19">
        <f t="shared" si="3"/>
        <v>-1</v>
      </c>
    </row>
    <row r="89" spans="1:26" s="24" customFormat="1" hidden="1" outlineLevel="1" x14ac:dyDescent="0.3">
      <c r="A89" s="44"/>
      <c r="B89" s="11" t="str">
        <f>CONCATENATE("          ", "4342", " - ", "SALES RETURN NON TAXABLE-EVERY")</f>
        <v xml:space="preserve">          4342 - SALES RETURN NON TAXABLE-EVERY</v>
      </c>
      <c r="C89" s="11"/>
      <c r="D89" s="2">
        <f t="shared" si="14"/>
        <v>0</v>
      </c>
      <c r="E89" s="2"/>
      <c r="F89" s="19"/>
      <c r="G89" s="2"/>
      <c r="H89" s="2">
        <f t="shared" ref="H89:H91" si="16"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 t="shared" si="15"/>
        <v>0</v>
      </c>
      <c r="Q89" s="2"/>
      <c r="R89" s="19"/>
      <c r="S89" s="2"/>
      <c r="T89" s="2">
        <f>-118.7</f>
        <v>-118.7</v>
      </c>
      <c r="U89" s="2"/>
      <c r="V89" s="19"/>
      <c r="W89" s="2"/>
      <c r="X89" s="2">
        <f t="shared" si="2"/>
        <v>118.7</v>
      </c>
      <c r="Y89" s="2"/>
      <c r="Z89" s="19">
        <f t="shared" si="3"/>
        <v>-1</v>
      </c>
    </row>
    <row r="90" spans="1:26" s="24" customFormat="1" hidden="1" outlineLevel="1" x14ac:dyDescent="0.3">
      <c r="A90" s="44"/>
      <c r="B90" s="11" t="str">
        <f>CONCATENATE("          ", "4381", " - ", "SALES RETURN NON TAXABLE-ELECT")</f>
        <v xml:space="preserve">          4381 - SALES RETURN NON TAXABLE-ELECT</v>
      </c>
      <c r="C90" s="11"/>
      <c r="D90" s="2">
        <f t="shared" si="14"/>
        <v>0</v>
      </c>
      <c r="E90" s="2"/>
      <c r="F90" s="19"/>
      <c r="G90" s="2"/>
      <c r="H90" s="2">
        <f t="shared" si="16"/>
        <v>0</v>
      </c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 t="shared" si="15"/>
        <v>0</v>
      </c>
      <c r="Q90" s="2"/>
      <c r="R90" s="19"/>
      <c r="S90" s="2"/>
      <c r="T90" s="2">
        <f>-5624.15</f>
        <v>-5624.15</v>
      </c>
      <c r="U90" s="2"/>
      <c r="V90" s="19"/>
      <c r="W90" s="2"/>
      <c r="X90" s="2">
        <f t="shared" si="2"/>
        <v>5624.15</v>
      </c>
      <c r="Y90" s="2"/>
      <c r="Z90" s="19">
        <f t="shared" si="3"/>
        <v>-1</v>
      </c>
    </row>
    <row r="91" spans="1:26" s="24" customFormat="1" hidden="1" outlineLevel="1" x14ac:dyDescent="0.3">
      <c r="A91" s="44"/>
      <c r="B91" s="11" t="str">
        <f>CONCATENATE("          ", "4500", " - ", "SALES DISCOUNT")</f>
        <v xml:space="preserve">          4500 - SALES DISCOUNT</v>
      </c>
      <c r="C91" s="11"/>
      <c r="D91" s="2">
        <f>-50302.02</f>
        <v>-50302.02</v>
      </c>
      <c r="E91" s="2"/>
      <c r="F91" s="19"/>
      <c r="G91" s="2"/>
      <c r="H91" s="2">
        <f t="shared" si="16"/>
        <v>0</v>
      </c>
      <c r="I91" s="2"/>
      <c r="J91" s="19"/>
      <c r="K91" s="2"/>
      <c r="L91" s="2">
        <f t="shared" si="0"/>
        <v>-50302.02</v>
      </c>
      <c r="M91" s="2"/>
      <c r="N91" s="19">
        <f t="shared" si="1"/>
        <v>0</v>
      </c>
      <c r="O91" s="11"/>
      <c r="P91" s="2">
        <f>-64483.44</f>
        <v>-64483.44</v>
      </c>
      <c r="Q91" s="2"/>
      <c r="R91" s="19"/>
      <c r="S91" s="2"/>
      <c r="T91" s="2">
        <f>0</f>
        <v>0</v>
      </c>
      <c r="U91" s="2"/>
      <c r="V91" s="19"/>
      <c r="W91" s="2"/>
      <c r="X91" s="2">
        <f t="shared" si="2"/>
        <v>-64483.44</v>
      </c>
      <c r="Y91" s="2"/>
      <c r="Z91" s="19">
        <f t="shared" si="3"/>
        <v>0</v>
      </c>
    </row>
    <row r="92" spans="1:26" x14ac:dyDescent="0.3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collapsed="1" x14ac:dyDescent="0.3">
      <c r="A93" s="10"/>
      <c r="B93" s="25" t="s">
        <v>256</v>
      </c>
      <c r="C93" s="10"/>
      <c r="D93" s="4">
        <f>SUM(OSRRefD16x_0)</f>
        <v>377927.83999999997</v>
      </c>
      <c r="E93" s="4"/>
      <c r="F93" s="12">
        <f t="shared" ref="F93:F142" si="17">IF(D$12=0,0,D93/D$12)</f>
        <v>0.59820936314042117</v>
      </c>
      <c r="G93" s="4"/>
      <c r="H93" s="4">
        <f>SUM(OSRRefH16x_0)</f>
        <v>207177.40000000002</v>
      </c>
      <c r="I93" s="4"/>
      <c r="J93" s="12">
        <f t="shared" ref="J93:J142" si="18">IF(H$12=0,0,H93/H$12)</f>
        <v>0.66175352639394147</v>
      </c>
      <c r="K93" s="4"/>
      <c r="L93" s="4">
        <f t="shared" ref="L93:L142" si="19">+D93-H93</f>
        <v>170750.43999999994</v>
      </c>
      <c r="M93" s="4"/>
      <c r="N93" s="12">
        <f t="shared" ref="N93:N142" si="20">IF(H93=0,0,L93/H93)</f>
        <v>0.82417503067419484</v>
      </c>
      <c r="O93" s="10"/>
      <c r="P93" s="4">
        <f>SUM(OSRRefP16x_0)</f>
        <v>3034414.56</v>
      </c>
      <c r="Q93" s="4"/>
      <c r="R93" s="12">
        <f t="shared" ref="R93:R142" si="21">IF(P$12=0,0,P93/P$12)</f>
        <v>0.6556954815090299</v>
      </c>
      <c r="S93" s="4"/>
      <c r="T93" s="4">
        <f>SUM(OSRRefT16x_0)</f>
        <v>2950590.2699999996</v>
      </c>
      <c r="U93" s="4"/>
      <c r="V93" s="12">
        <f t="shared" ref="V93:V142" si="22">IF(T$12=0,0,T93/T$12)</f>
        <v>0.74248127279455312</v>
      </c>
      <c r="W93" s="4"/>
      <c r="X93" s="4">
        <f t="shared" ref="X93:X142" si="23">+P93-T93</f>
        <v>83824.290000000503</v>
      </c>
      <c r="Y93" s="4"/>
      <c r="Z93" s="12">
        <f t="shared" ref="Z93:Z142" si="24">IF(T93=0,0,X93/T93)</f>
        <v>2.8409329093327659E-2</v>
      </c>
    </row>
    <row r="94" spans="1:26" s="24" customFormat="1" hidden="1" outlineLevel="1" x14ac:dyDescent="0.3">
      <c r="A94" s="44"/>
      <c r="B94" s="11" t="str">
        <f>CONCATENATE("          ", "5000", " - ", "PURCHASES @ COST")</f>
        <v xml:space="preserve">          5000 - PURCHASES @ COST</v>
      </c>
      <c r="C94" s="11"/>
      <c r="D94" s="2">
        <v>467393.3</v>
      </c>
      <c r="E94" s="2"/>
      <c r="F94" s="19">
        <f t="shared" si="17"/>
        <v>0.73982125352051298</v>
      </c>
      <c r="G94" s="2"/>
      <c r="H94" s="2"/>
      <c r="I94" s="2"/>
      <c r="J94" s="19">
        <f t="shared" si="18"/>
        <v>0</v>
      </c>
      <c r="K94" s="2"/>
      <c r="L94" s="2">
        <f t="shared" si="19"/>
        <v>467393.3</v>
      </c>
      <c r="M94" s="2"/>
      <c r="N94" s="19">
        <f t="shared" si="20"/>
        <v>0</v>
      </c>
      <c r="O94" s="11"/>
      <c r="P94" s="2">
        <v>3459162.59</v>
      </c>
      <c r="Q94" s="2"/>
      <c r="R94" s="19">
        <f t="shared" si="21"/>
        <v>0.74747772106263322</v>
      </c>
      <c r="S94" s="2"/>
      <c r="T94" s="2">
        <v>0</v>
      </c>
      <c r="U94" s="2"/>
      <c r="V94" s="19">
        <f t="shared" si="22"/>
        <v>0</v>
      </c>
      <c r="W94" s="2"/>
      <c r="X94" s="2">
        <f t="shared" si="23"/>
        <v>3459162.59</v>
      </c>
      <c r="Y94" s="2"/>
      <c r="Z94" s="19">
        <f t="shared" si="24"/>
        <v>0</v>
      </c>
    </row>
    <row r="95" spans="1:26" s="24" customFormat="1" hidden="1" outlineLevel="1" x14ac:dyDescent="0.3">
      <c r="A95" s="44"/>
      <c r="B95" s="11" t="str">
        <f>CONCATENATE("          ", "5001", " - ", "PURCHASES @ COST-NEW TEXT")</f>
        <v xml:space="preserve">          5001 - PURCHASES @ COST-NEW TEXT</v>
      </c>
      <c r="C95" s="11"/>
      <c r="D95" s="2"/>
      <c r="E95" s="2"/>
      <c r="F95" s="19">
        <f t="shared" si="17"/>
        <v>0</v>
      </c>
      <c r="G95" s="2"/>
      <c r="H95" s="2">
        <v>37317.56</v>
      </c>
      <c r="I95" s="2"/>
      <c r="J95" s="19">
        <f t="shared" si="18"/>
        <v>0.11919749415919638</v>
      </c>
      <c r="K95" s="2"/>
      <c r="L95" s="2">
        <f t="shared" si="19"/>
        <v>-37317.56</v>
      </c>
      <c r="M95" s="2"/>
      <c r="N95" s="19">
        <f t="shared" si="20"/>
        <v>-1</v>
      </c>
      <c r="O95" s="11"/>
      <c r="P95" s="2">
        <v>0</v>
      </c>
      <c r="Q95" s="2"/>
      <c r="R95" s="19">
        <f t="shared" si="21"/>
        <v>0</v>
      </c>
      <c r="S95" s="2"/>
      <c r="T95" s="2">
        <v>1277913.04</v>
      </c>
      <c r="U95" s="2"/>
      <c r="V95" s="19">
        <f t="shared" si="22"/>
        <v>0.32157175806722793</v>
      </c>
      <c r="W95" s="2"/>
      <c r="X95" s="2">
        <f t="shared" si="23"/>
        <v>-1277913.04</v>
      </c>
      <c r="Y95" s="2"/>
      <c r="Z95" s="19">
        <f t="shared" si="24"/>
        <v>-1</v>
      </c>
    </row>
    <row r="96" spans="1:26" s="24" customFormat="1" hidden="1" outlineLevel="1" x14ac:dyDescent="0.3">
      <c r="A96" s="44"/>
      <c r="B96" s="11" t="str">
        <f>CONCATENATE("          ", "5002", " - ", "PURCHASES @ COST-USED TEXT")</f>
        <v xml:space="preserve">          5002 - PURCHASES @ COST-USED TEXT</v>
      </c>
      <c r="C96" s="11"/>
      <c r="D96" s="2"/>
      <c r="E96" s="2"/>
      <c r="F96" s="19">
        <f t="shared" si="17"/>
        <v>0</v>
      </c>
      <c r="G96" s="2"/>
      <c r="H96" s="2">
        <v>70238.87</v>
      </c>
      <c r="I96" s="2"/>
      <c r="J96" s="19">
        <f t="shared" si="18"/>
        <v>0.22435275233894053</v>
      </c>
      <c r="K96" s="2"/>
      <c r="L96" s="2">
        <f t="shared" si="19"/>
        <v>-70238.87</v>
      </c>
      <c r="M96" s="2"/>
      <c r="N96" s="19">
        <f t="shared" si="20"/>
        <v>-1</v>
      </c>
      <c r="O96" s="11"/>
      <c r="P96" s="2">
        <v>0</v>
      </c>
      <c r="Q96" s="2"/>
      <c r="R96" s="19">
        <f t="shared" si="21"/>
        <v>0</v>
      </c>
      <c r="S96" s="2"/>
      <c r="T96" s="2">
        <v>164472.92000000001</v>
      </c>
      <c r="U96" s="2"/>
      <c r="V96" s="19">
        <f t="shared" si="22"/>
        <v>4.1387672230694617E-2</v>
      </c>
      <c r="W96" s="2"/>
      <c r="X96" s="2">
        <f t="shared" si="23"/>
        <v>-164472.92000000001</v>
      </c>
      <c r="Y96" s="2"/>
      <c r="Z96" s="19">
        <f t="shared" si="24"/>
        <v>-1</v>
      </c>
    </row>
    <row r="97" spans="1:26" s="24" customFormat="1" hidden="1" outlineLevel="1" x14ac:dyDescent="0.3">
      <c r="A97" s="44"/>
      <c r="B97" s="11" t="str">
        <f>CONCATENATE("          ", "5003", " - ", "PURCHASES @ COST-RENTAL TEXT")</f>
        <v xml:space="preserve">          5003 - PURCHASES @ COST-RENTAL TEXT</v>
      </c>
      <c r="C97" s="11"/>
      <c r="D97" s="2"/>
      <c r="E97" s="2"/>
      <c r="F97" s="19">
        <f t="shared" si="17"/>
        <v>0</v>
      </c>
      <c r="G97" s="2"/>
      <c r="H97" s="2"/>
      <c r="I97" s="2"/>
      <c r="J97" s="19">
        <f t="shared" si="18"/>
        <v>0</v>
      </c>
      <c r="K97" s="2"/>
      <c r="L97" s="2">
        <f t="shared" si="19"/>
        <v>0</v>
      </c>
      <c r="M97" s="2"/>
      <c r="N97" s="19">
        <f t="shared" si="20"/>
        <v>0</v>
      </c>
      <c r="O97" s="11"/>
      <c r="P97" s="2"/>
      <c r="Q97" s="2"/>
      <c r="R97" s="19">
        <f t="shared" si="21"/>
        <v>0</v>
      </c>
      <c r="S97" s="2"/>
      <c r="T97" s="2">
        <v>32.520000000000003</v>
      </c>
      <c r="U97" s="2"/>
      <c r="V97" s="19">
        <f t="shared" si="22"/>
        <v>8.1832747964965228E-6</v>
      </c>
      <c r="W97" s="2"/>
      <c r="X97" s="2">
        <f t="shared" si="23"/>
        <v>-32.520000000000003</v>
      </c>
      <c r="Y97" s="2"/>
      <c r="Z97" s="19">
        <f t="shared" si="24"/>
        <v>-1</v>
      </c>
    </row>
    <row r="98" spans="1:26" s="24" customFormat="1" hidden="1" outlineLevel="1" x14ac:dyDescent="0.3">
      <c r="A98" s="44"/>
      <c r="B98" s="11" t="str">
        <f>CONCATENATE("          ", "5004", " - ", "PURCHASES @ COST-DIGITAL TEXT")</f>
        <v xml:space="preserve">          5004 - PURCHASES @ COST-DIGITAL TEXT</v>
      </c>
      <c r="C98" s="11"/>
      <c r="D98" s="2"/>
      <c r="E98" s="2"/>
      <c r="F98" s="19">
        <f t="shared" si="17"/>
        <v>0</v>
      </c>
      <c r="G98" s="2"/>
      <c r="H98" s="2">
        <v>900</v>
      </c>
      <c r="I98" s="2"/>
      <c r="J98" s="19">
        <f t="shared" si="18"/>
        <v>2.8747255914715955E-3</v>
      </c>
      <c r="K98" s="2"/>
      <c r="L98" s="2">
        <f t="shared" si="19"/>
        <v>-900</v>
      </c>
      <c r="M98" s="2"/>
      <c r="N98" s="19">
        <f t="shared" si="20"/>
        <v>-1</v>
      </c>
      <c r="O98" s="11"/>
      <c r="P98" s="2">
        <v>0</v>
      </c>
      <c r="Q98" s="2"/>
      <c r="R98" s="19">
        <f t="shared" si="21"/>
        <v>0</v>
      </c>
      <c r="S98" s="2"/>
      <c r="T98" s="2">
        <v>197838.11</v>
      </c>
      <c r="U98" s="2"/>
      <c r="V98" s="19">
        <f t="shared" si="22"/>
        <v>4.9783629131288636E-2</v>
      </c>
      <c r="W98" s="2"/>
      <c r="X98" s="2">
        <f t="shared" si="23"/>
        <v>-197838.11</v>
      </c>
      <c r="Y98" s="2"/>
      <c r="Z98" s="19">
        <f t="shared" si="24"/>
        <v>-1</v>
      </c>
    </row>
    <row r="99" spans="1:26" s="24" customFormat="1" hidden="1" outlineLevel="1" x14ac:dyDescent="0.3">
      <c r="A99" s="44"/>
      <c r="B99" s="11" t="str">
        <f>CONCATENATE("          ", "5011", " - ", "PURCHASES @ COST-NO VALUE TEXT")</f>
        <v xml:space="preserve">          5011 - PURCHASES @ COST-NO VALUE TEXT</v>
      </c>
      <c r="C99" s="11"/>
      <c r="D99" s="2"/>
      <c r="E99" s="2"/>
      <c r="F99" s="19">
        <f t="shared" si="17"/>
        <v>0</v>
      </c>
      <c r="G99" s="2"/>
      <c r="H99" s="2"/>
      <c r="I99" s="2"/>
      <c r="J99" s="19">
        <f t="shared" si="18"/>
        <v>0</v>
      </c>
      <c r="K99" s="2"/>
      <c r="L99" s="2">
        <f t="shared" si="19"/>
        <v>0</v>
      </c>
      <c r="M99" s="2"/>
      <c r="N99" s="19">
        <f t="shared" si="20"/>
        <v>0</v>
      </c>
      <c r="O99" s="11"/>
      <c r="P99" s="2"/>
      <c r="Q99" s="2"/>
      <c r="R99" s="19">
        <f t="shared" si="21"/>
        <v>0</v>
      </c>
      <c r="S99" s="2"/>
      <c r="T99" s="2">
        <v>67.17</v>
      </c>
      <c r="U99" s="2"/>
      <c r="V99" s="19">
        <f t="shared" si="22"/>
        <v>1.6902538993870585E-5</v>
      </c>
      <c r="W99" s="2"/>
      <c r="X99" s="2">
        <f t="shared" si="23"/>
        <v>-67.17</v>
      </c>
      <c r="Y99" s="2"/>
      <c r="Z99" s="19">
        <f t="shared" si="24"/>
        <v>-1</v>
      </c>
    </row>
    <row r="100" spans="1:26" s="24" customFormat="1" hidden="1" outlineLevel="1" x14ac:dyDescent="0.3">
      <c r="A100" s="44"/>
      <c r="B100" s="11" t="str">
        <f>CONCATENATE("          ", "5013", " - ", "PURCHASES @ COST-TRADE BOOKS")</f>
        <v xml:space="preserve">          5013 - PURCHASES @ COST-TRADE BOOKS</v>
      </c>
      <c r="C100" s="11"/>
      <c r="D100" s="2"/>
      <c r="E100" s="2"/>
      <c r="F100" s="19">
        <f t="shared" si="17"/>
        <v>0</v>
      </c>
      <c r="G100" s="2"/>
      <c r="H100" s="2">
        <v>31.11</v>
      </c>
      <c r="I100" s="2"/>
      <c r="J100" s="19">
        <f t="shared" si="18"/>
        <v>9.9369681278534811E-5</v>
      </c>
      <c r="K100" s="2"/>
      <c r="L100" s="2">
        <f t="shared" si="19"/>
        <v>-31.11</v>
      </c>
      <c r="M100" s="2"/>
      <c r="N100" s="19">
        <f t="shared" si="20"/>
        <v>-1</v>
      </c>
      <c r="O100" s="11"/>
      <c r="P100" s="2"/>
      <c r="Q100" s="2"/>
      <c r="R100" s="19">
        <f t="shared" si="21"/>
        <v>0</v>
      </c>
      <c r="S100" s="2"/>
      <c r="T100" s="2">
        <v>2125.85</v>
      </c>
      <c r="U100" s="2"/>
      <c r="V100" s="19">
        <f t="shared" si="22"/>
        <v>5.3494510227958584E-4</v>
      </c>
      <c r="W100" s="2"/>
      <c r="X100" s="2">
        <f t="shared" si="23"/>
        <v>-2125.85</v>
      </c>
      <c r="Y100" s="2"/>
      <c r="Z100" s="19">
        <f t="shared" si="24"/>
        <v>-1</v>
      </c>
    </row>
    <row r="101" spans="1:26" s="24" customFormat="1" hidden="1" outlineLevel="1" x14ac:dyDescent="0.3">
      <c r="A101" s="44"/>
      <c r="B101" s="11" t="str">
        <f>CONCATENATE("          ", "5014", " - ", "PURCHASES @ COST-REMAINDERS")</f>
        <v xml:space="preserve">          5014 - PURCHASES @ COST-REMAINDERS</v>
      </c>
      <c r="C101" s="11"/>
      <c r="D101" s="2"/>
      <c r="E101" s="2"/>
      <c r="F101" s="19">
        <f t="shared" si="17"/>
        <v>0</v>
      </c>
      <c r="G101" s="2"/>
      <c r="H101" s="2"/>
      <c r="I101" s="2"/>
      <c r="J101" s="19">
        <f t="shared" si="18"/>
        <v>0</v>
      </c>
      <c r="K101" s="2"/>
      <c r="L101" s="2">
        <f t="shared" si="19"/>
        <v>0</v>
      </c>
      <c r="M101" s="2"/>
      <c r="N101" s="19">
        <f t="shared" si="20"/>
        <v>0</v>
      </c>
      <c r="O101" s="11"/>
      <c r="P101" s="2"/>
      <c r="Q101" s="2"/>
      <c r="R101" s="19">
        <f t="shared" si="21"/>
        <v>0</v>
      </c>
      <c r="S101" s="2"/>
      <c r="T101" s="2">
        <v>90.41</v>
      </c>
      <c r="U101" s="2"/>
      <c r="V101" s="19">
        <f t="shared" si="22"/>
        <v>2.275061114241238E-5</v>
      </c>
      <c r="W101" s="2"/>
      <c r="X101" s="2">
        <f t="shared" si="23"/>
        <v>-90.41</v>
      </c>
      <c r="Y101" s="2"/>
      <c r="Z101" s="19">
        <f t="shared" si="24"/>
        <v>-1</v>
      </c>
    </row>
    <row r="102" spans="1:26" s="24" customFormat="1" hidden="1" outlineLevel="1" x14ac:dyDescent="0.3">
      <c r="A102" s="44"/>
      <c r="B102" s="11" t="str">
        <f>CONCATENATE("          ", "5018", " - ", "PURCHASES @ COST-STUDY GUIDES")</f>
        <v xml:space="preserve">          5018 - PURCHASES @ COST-STUDY GUIDES</v>
      </c>
      <c r="C102" s="11"/>
      <c r="D102" s="2"/>
      <c r="E102" s="2"/>
      <c r="F102" s="19">
        <f t="shared" si="17"/>
        <v>0</v>
      </c>
      <c r="G102" s="2"/>
      <c r="H102" s="2"/>
      <c r="I102" s="2"/>
      <c r="J102" s="19">
        <f t="shared" si="18"/>
        <v>0</v>
      </c>
      <c r="K102" s="2"/>
      <c r="L102" s="2">
        <f t="shared" si="19"/>
        <v>0</v>
      </c>
      <c r="M102" s="2"/>
      <c r="N102" s="19">
        <f t="shared" si="20"/>
        <v>0</v>
      </c>
      <c r="O102" s="11"/>
      <c r="P102" s="2"/>
      <c r="Q102" s="2"/>
      <c r="R102" s="19">
        <f t="shared" si="21"/>
        <v>0</v>
      </c>
      <c r="S102" s="2"/>
      <c r="T102" s="2">
        <v>106.34</v>
      </c>
      <c r="U102" s="2"/>
      <c r="V102" s="19">
        <f t="shared" si="22"/>
        <v>2.675920792925708E-5</v>
      </c>
      <c r="W102" s="2"/>
      <c r="X102" s="2">
        <f t="shared" si="23"/>
        <v>-106.34</v>
      </c>
      <c r="Y102" s="2"/>
      <c r="Z102" s="19">
        <f t="shared" si="24"/>
        <v>-1</v>
      </c>
    </row>
    <row r="103" spans="1:26" s="24" customFormat="1" hidden="1" outlineLevel="1" x14ac:dyDescent="0.3">
      <c r="A103" s="44"/>
      <c r="B103" s="11" t="str">
        <f>CONCATENATE("          ", "5025", " - ", "PURCHASES @ COST-TEST FORMS")</f>
        <v xml:space="preserve">          5025 - PURCHASES @ COST-TEST FORMS</v>
      </c>
      <c r="C103" s="11"/>
      <c r="D103" s="2"/>
      <c r="E103" s="2"/>
      <c r="F103" s="19">
        <f t="shared" si="17"/>
        <v>0</v>
      </c>
      <c r="G103" s="2"/>
      <c r="H103" s="2"/>
      <c r="I103" s="2"/>
      <c r="J103" s="19">
        <f t="shared" si="18"/>
        <v>0</v>
      </c>
      <c r="K103" s="2"/>
      <c r="L103" s="2">
        <f t="shared" si="19"/>
        <v>0</v>
      </c>
      <c r="M103" s="2"/>
      <c r="N103" s="19">
        <f t="shared" si="20"/>
        <v>0</v>
      </c>
      <c r="O103" s="11"/>
      <c r="P103" s="2"/>
      <c r="Q103" s="2"/>
      <c r="R103" s="19">
        <f t="shared" si="21"/>
        <v>0</v>
      </c>
      <c r="S103" s="2"/>
      <c r="T103" s="2">
        <v>599.29</v>
      </c>
      <c r="U103" s="2"/>
      <c r="V103" s="19">
        <f t="shared" si="22"/>
        <v>1.5080426669103323E-4</v>
      </c>
      <c r="W103" s="2"/>
      <c r="X103" s="2">
        <f t="shared" si="23"/>
        <v>-599.29</v>
      </c>
      <c r="Y103" s="2"/>
      <c r="Z103" s="19">
        <f t="shared" si="24"/>
        <v>-1</v>
      </c>
    </row>
    <row r="104" spans="1:26" s="24" customFormat="1" hidden="1" outlineLevel="1" x14ac:dyDescent="0.3">
      <c r="A104" s="44"/>
      <c r="B104" s="11" t="str">
        <f>CONCATENATE("          ", "5026", " - ", "PURCHASES @ COST-WRITING INSTR")</f>
        <v xml:space="preserve">          5026 - PURCHASES @ COST-WRITING INSTR</v>
      </c>
      <c r="C104" s="11"/>
      <c r="D104" s="2"/>
      <c r="E104" s="2"/>
      <c r="F104" s="19">
        <f t="shared" si="17"/>
        <v>0</v>
      </c>
      <c r="G104" s="2"/>
      <c r="H104" s="2">
        <v>-5.1100000000000003</v>
      </c>
      <c r="I104" s="2"/>
      <c r="J104" s="19">
        <f t="shared" si="18"/>
        <v>-1.6322053080466503E-5</v>
      </c>
      <c r="K104" s="2"/>
      <c r="L104" s="2">
        <f t="shared" si="19"/>
        <v>5.1100000000000003</v>
      </c>
      <c r="M104" s="2"/>
      <c r="N104" s="19">
        <f t="shared" si="20"/>
        <v>-1</v>
      </c>
      <c r="O104" s="11"/>
      <c r="P104" s="2">
        <v>0</v>
      </c>
      <c r="Q104" s="2"/>
      <c r="R104" s="19">
        <f t="shared" si="21"/>
        <v>0</v>
      </c>
      <c r="S104" s="2"/>
      <c r="T104" s="2">
        <v>374.91</v>
      </c>
      <c r="U104" s="2"/>
      <c r="V104" s="19">
        <f t="shared" si="22"/>
        <v>9.4341683700938241E-5</v>
      </c>
      <c r="W104" s="2"/>
      <c r="X104" s="2">
        <f t="shared" si="23"/>
        <v>-374.91</v>
      </c>
      <c r="Y104" s="2"/>
      <c r="Z104" s="19">
        <f t="shared" si="24"/>
        <v>-1</v>
      </c>
    </row>
    <row r="105" spans="1:26" s="24" customFormat="1" hidden="1" outlineLevel="1" x14ac:dyDescent="0.3">
      <c r="A105" s="44"/>
      <c r="B105" s="11" t="str">
        <f>CONCATENATE("          ", "5027", " - ", "PURCHASES @ COST-SCHOOL SUPPLI")</f>
        <v xml:space="preserve">          5027 - PURCHASES @ COST-SCHOOL SUPPLI</v>
      </c>
      <c r="C105" s="11"/>
      <c r="D105" s="2"/>
      <c r="E105" s="2"/>
      <c r="F105" s="19">
        <f t="shared" si="17"/>
        <v>0</v>
      </c>
      <c r="G105" s="2"/>
      <c r="H105" s="2"/>
      <c r="I105" s="2"/>
      <c r="J105" s="19">
        <f t="shared" si="18"/>
        <v>0</v>
      </c>
      <c r="K105" s="2"/>
      <c r="L105" s="2">
        <f t="shared" si="19"/>
        <v>0</v>
      </c>
      <c r="M105" s="2"/>
      <c r="N105" s="19">
        <f t="shared" si="20"/>
        <v>0</v>
      </c>
      <c r="O105" s="11"/>
      <c r="P105" s="2">
        <v>0</v>
      </c>
      <c r="Q105" s="2"/>
      <c r="R105" s="19">
        <f t="shared" si="21"/>
        <v>0</v>
      </c>
      <c r="S105" s="2"/>
      <c r="T105" s="2">
        <v>19071.349999999999</v>
      </c>
      <c r="U105" s="2"/>
      <c r="V105" s="19">
        <f t="shared" si="22"/>
        <v>4.7990804978525195E-3</v>
      </c>
      <c r="W105" s="2"/>
      <c r="X105" s="2">
        <f t="shared" si="23"/>
        <v>-19071.349999999999</v>
      </c>
      <c r="Y105" s="2"/>
      <c r="Z105" s="19">
        <f t="shared" si="24"/>
        <v>-1</v>
      </c>
    </row>
    <row r="106" spans="1:26" s="24" customFormat="1" hidden="1" outlineLevel="1" x14ac:dyDescent="0.3">
      <c r="A106" s="44"/>
      <c r="B106" s="11" t="str">
        <f>CONCATENATE("          ", "5028", " - ", "PURCHASES @ COST-ART/TECH")</f>
        <v xml:space="preserve">          5028 - PURCHASES @ COST-ART/TECH</v>
      </c>
      <c r="C106" s="11"/>
      <c r="D106" s="2"/>
      <c r="E106" s="2"/>
      <c r="F106" s="19">
        <f t="shared" si="17"/>
        <v>0</v>
      </c>
      <c r="G106" s="2"/>
      <c r="H106" s="2"/>
      <c r="I106" s="2"/>
      <c r="J106" s="19">
        <f t="shared" si="18"/>
        <v>0</v>
      </c>
      <c r="K106" s="2"/>
      <c r="L106" s="2">
        <f t="shared" si="19"/>
        <v>0</v>
      </c>
      <c r="M106" s="2"/>
      <c r="N106" s="19">
        <f t="shared" si="20"/>
        <v>0</v>
      </c>
      <c r="O106" s="11"/>
      <c r="P106" s="2">
        <v>0</v>
      </c>
      <c r="Q106" s="2"/>
      <c r="R106" s="19">
        <f t="shared" si="21"/>
        <v>0</v>
      </c>
      <c r="S106" s="2"/>
      <c r="T106" s="2">
        <v>41358.449999999997</v>
      </c>
      <c r="U106" s="2"/>
      <c r="V106" s="19">
        <f t="shared" si="22"/>
        <v>1.0407366590011119E-2</v>
      </c>
      <c r="W106" s="2"/>
      <c r="X106" s="2">
        <f t="shared" si="23"/>
        <v>-41358.449999999997</v>
      </c>
      <c r="Y106" s="2"/>
      <c r="Z106" s="19">
        <f t="shared" si="24"/>
        <v>-1</v>
      </c>
    </row>
    <row r="107" spans="1:26" s="24" customFormat="1" hidden="1" outlineLevel="1" x14ac:dyDescent="0.3">
      <c r="A107" s="44"/>
      <c r="B107" s="11" t="str">
        <f>CONCATENATE("          ", "5031", " - ", "PURCHASES @ COST-FOOD")</f>
        <v xml:space="preserve">          5031 - PURCHASES @ COST-FOOD</v>
      </c>
      <c r="C107" s="11"/>
      <c r="D107" s="2"/>
      <c r="E107" s="2"/>
      <c r="F107" s="19">
        <f t="shared" si="17"/>
        <v>0</v>
      </c>
      <c r="G107" s="2"/>
      <c r="H107" s="2">
        <v>-1260</v>
      </c>
      <c r="I107" s="2"/>
      <c r="J107" s="19">
        <f t="shared" si="18"/>
        <v>-4.0246158280602337E-3</v>
      </c>
      <c r="K107" s="2"/>
      <c r="L107" s="2">
        <f t="shared" si="19"/>
        <v>1260</v>
      </c>
      <c r="M107" s="2"/>
      <c r="N107" s="19">
        <f t="shared" si="20"/>
        <v>-1</v>
      </c>
      <c r="O107" s="11"/>
      <c r="P107" s="2">
        <v>0</v>
      </c>
      <c r="Q107" s="2"/>
      <c r="R107" s="19">
        <f t="shared" si="21"/>
        <v>0</v>
      </c>
      <c r="S107" s="2"/>
      <c r="T107" s="2">
        <v>7275.1</v>
      </c>
      <c r="U107" s="2"/>
      <c r="V107" s="19">
        <f t="shared" si="22"/>
        <v>1.8306931879456289E-3</v>
      </c>
      <c r="W107" s="2"/>
      <c r="X107" s="2">
        <f t="shared" si="23"/>
        <v>-7275.1</v>
      </c>
      <c r="Y107" s="2"/>
      <c r="Z107" s="19">
        <f t="shared" si="24"/>
        <v>-1</v>
      </c>
    </row>
    <row r="108" spans="1:26" s="24" customFormat="1" hidden="1" outlineLevel="1" x14ac:dyDescent="0.3">
      <c r="A108" s="44"/>
      <c r="B108" s="11" t="str">
        <f>CONCATENATE("          ", "5040", " - ", "PURCHASES @ COST-LOGO CLOTHING")</f>
        <v xml:space="preserve">          5040 - PURCHASES @ COST-LOGO CLOTHING</v>
      </c>
      <c r="C108" s="11"/>
      <c r="D108" s="2"/>
      <c r="E108" s="2"/>
      <c r="F108" s="19">
        <f t="shared" si="17"/>
        <v>0</v>
      </c>
      <c r="G108" s="2"/>
      <c r="H108" s="2">
        <v>38175.120000000003</v>
      </c>
      <c r="I108" s="2"/>
      <c r="J108" s="19">
        <f t="shared" si="18"/>
        <v>0.12193666046833238</v>
      </c>
      <c r="K108" s="2"/>
      <c r="L108" s="2">
        <f t="shared" si="19"/>
        <v>-38175.120000000003</v>
      </c>
      <c r="M108" s="2"/>
      <c r="N108" s="19">
        <f t="shared" si="20"/>
        <v>-1</v>
      </c>
      <c r="O108" s="11"/>
      <c r="P108" s="2">
        <v>0</v>
      </c>
      <c r="Q108" s="2"/>
      <c r="R108" s="19">
        <f t="shared" si="21"/>
        <v>0</v>
      </c>
      <c r="S108" s="2"/>
      <c r="T108" s="2">
        <v>132470.39999999999</v>
      </c>
      <c r="U108" s="2"/>
      <c r="V108" s="19">
        <f t="shared" si="22"/>
        <v>3.333461517840753E-2</v>
      </c>
      <c r="W108" s="2"/>
      <c r="X108" s="2">
        <f t="shared" si="23"/>
        <v>-132470.39999999999</v>
      </c>
      <c r="Y108" s="2"/>
      <c r="Z108" s="19">
        <f t="shared" si="24"/>
        <v>-1</v>
      </c>
    </row>
    <row r="109" spans="1:26" s="24" customFormat="1" hidden="1" outlineLevel="1" x14ac:dyDescent="0.3">
      <c r="A109" s="44"/>
      <c r="B109" s="11" t="str">
        <f>CONCATENATE("          ", "5041", " - ", "PURCHASES @ COST-LOGO GIFTS")</f>
        <v xml:space="preserve">          5041 - PURCHASES @ COST-LOGO GIFTS</v>
      </c>
      <c r="C109" s="11"/>
      <c r="D109" s="2"/>
      <c r="E109" s="2"/>
      <c r="F109" s="19">
        <f t="shared" si="17"/>
        <v>0</v>
      </c>
      <c r="G109" s="2"/>
      <c r="H109" s="2">
        <v>5559.99</v>
      </c>
      <c r="I109" s="2"/>
      <c r="J109" s="19">
        <f t="shared" si="18"/>
        <v>1.775938393480684E-2</v>
      </c>
      <c r="K109" s="2"/>
      <c r="L109" s="2">
        <f t="shared" si="19"/>
        <v>-5559.99</v>
      </c>
      <c r="M109" s="2"/>
      <c r="N109" s="19">
        <f t="shared" si="20"/>
        <v>-1</v>
      </c>
      <c r="O109" s="11"/>
      <c r="P109" s="2">
        <v>0</v>
      </c>
      <c r="Q109" s="2"/>
      <c r="R109" s="19">
        <f t="shared" si="21"/>
        <v>0</v>
      </c>
      <c r="S109" s="2"/>
      <c r="T109" s="2">
        <v>32201.759999999998</v>
      </c>
      <c r="U109" s="2"/>
      <c r="V109" s="19">
        <f t="shared" si="22"/>
        <v>8.1031934505175224E-3</v>
      </c>
      <c r="W109" s="2"/>
      <c r="X109" s="2">
        <f t="shared" si="23"/>
        <v>-32201.759999999998</v>
      </c>
      <c r="Y109" s="2"/>
      <c r="Z109" s="19">
        <f t="shared" si="24"/>
        <v>-1</v>
      </c>
    </row>
    <row r="110" spans="1:26" s="24" customFormat="1" hidden="1" outlineLevel="1" x14ac:dyDescent="0.3">
      <c r="A110" s="44"/>
      <c r="B110" s="11" t="str">
        <f>CONCATENATE("          ", "5042", " - ", "PURCHASES @ COST-EVERYDAY GIFT")</f>
        <v xml:space="preserve">          5042 - PURCHASES @ COST-EVERYDAY GIFT</v>
      </c>
      <c r="C110" s="11"/>
      <c r="D110" s="2"/>
      <c r="E110" s="2"/>
      <c r="F110" s="19">
        <f t="shared" si="17"/>
        <v>0</v>
      </c>
      <c r="G110" s="2"/>
      <c r="H110" s="2">
        <v>148.6</v>
      </c>
      <c r="I110" s="2"/>
      <c r="J110" s="19">
        <f t="shared" si="18"/>
        <v>4.7464913654742116E-4</v>
      </c>
      <c r="K110" s="2"/>
      <c r="L110" s="2">
        <f t="shared" si="19"/>
        <v>-148.6</v>
      </c>
      <c r="M110" s="2"/>
      <c r="N110" s="19">
        <f t="shared" si="20"/>
        <v>-1</v>
      </c>
      <c r="O110" s="11"/>
      <c r="P110" s="2">
        <v>0</v>
      </c>
      <c r="Q110" s="2"/>
      <c r="R110" s="19">
        <f t="shared" si="21"/>
        <v>0</v>
      </c>
      <c r="S110" s="2"/>
      <c r="T110" s="2">
        <v>11061.28</v>
      </c>
      <c r="U110" s="2"/>
      <c r="V110" s="19">
        <f t="shared" si="22"/>
        <v>2.7834407700181754E-3</v>
      </c>
      <c r="W110" s="2"/>
      <c r="X110" s="2">
        <f t="shared" si="23"/>
        <v>-11061.28</v>
      </c>
      <c r="Y110" s="2"/>
      <c r="Z110" s="19">
        <f t="shared" si="24"/>
        <v>-1</v>
      </c>
    </row>
    <row r="111" spans="1:26" s="24" customFormat="1" hidden="1" outlineLevel="1" x14ac:dyDescent="0.3">
      <c r="A111" s="44"/>
      <c r="B111" s="11" t="str">
        <f>CONCATENATE("          ", "5043", " - ", "PURCHASES @ COST-CARDS")</f>
        <v xml:space="preserve">          5043 - PURCHASES @ COST-CARDS</v>
      </c>
      <c r="C111" s="11"/>
      <c r="D111" s="2"/>
      <c r="E111" s="2"/>
      <c r="F111" s="19">
        <f t="shared" si="17"/>
        <v>0</v>
      </c>
      <c r="G111" s="2"/>
      <c r="H111" s="2">
        <v>2448</v>
      </c>
      <c r="I111" s="2"/>
      <c r="J111" s="19">
        <f t="shared" si="18"/>
        <v>7.8192536088027391E-3</v>
      </c>
      <c r="K111" s="2"/>
      <c r="L111" s="2">
        <f t="shared" si="19"/>
        <v>-2448</v>
      </c>
      <c r="M111" s="2"/>
      <c r="N111" s="19">
        <f t="shared" si="20"/>
        <v>-1</v>
      </c>
      <c r="O111" s="11"/>
      <c r="P111" s="2">
        <v>0</v>
      </c>
      <c r="Q111" s="2"/>
      <c r="R111" s="19">
        <f t="shared" si="21"/>
        <v>0</v>
      </c>
      <c r="S111" s="2"/>
      <c r="T111" s="2">
        <v>46621.23</v>
      </c>
      <c r="U111" s="2"/>
      <c r="V111" s="19">
        <f t="shared" si="22"/>
        <v>1.1731683162382153E-2</v>
      </c>
      <c r="W111" s="2"/>
      <c r="X111" s="2">
        <f t="shared" si="23"/>
        <v>-46621.23</v>
      </c>
      <c r="Y111" s="2"/>
      <c r="Z111" s="19">
        <f t="shared" si="24"/>
        <v>-1</v>
      </c>
    </row>
    <row r="112" spans="1:26" s="24" customFormat="1" hidden="1" outlineLevel="1" x14ac:dyDescent="0.3">
      <c r="A112" s="44"/>
      <c r="B112" s="11" t="str">
        <f>CONCATENATE("          ", "5044", " - ", "PURCHASES @ COST-ACCESSORIES")</f>
        <v xml:space="preserve">          5044 - PURCHASES @ COST-ACCESSORIES</v>
      </c>
      <c r="C112" s="11"/>
      <c r="D112" s="2"/>
      <c r="E112" s="2"/>
      <c r="F112" s="19">
        <f t="shared" si="17"/>
        <v>0</v>
      </c>
      <c r="G112" s="2"/>
      <c r="H112" s="2"/>
      <c r="I112" s="2"/>
      <c r="J112" s="19">
        <f t="shared" si="18"/>
        <v>0</v>
      </c>
      <c r="K112" s="2"/>
      <c r="L112" s="2">
        <f t="shared" si="19"/>
        <v>0</v>
      </c>
      <c r="M112" s="2"/>
      <c r="N112" s="19">
        <f t="shared" si="20"/>
        <v>0</v>
      </c>
      <c r="O112" s="11"/>
      <c r="P112" s="2">
        <v>0</v>
      </c>
      <c r="Q112" s="2"/>
      <c r="R112" s="19">
        <f t="shared" si="21"/>
        <v>0</v>
      </c>
      <c r="S112" s="2"/>
      <c r="T112" s="2">
        <v>282.33</v>
      </c>
      <c r="U112" s="2"/>
      <c r="V112" s="19">
        <f t="shared" si="22"/>
        <v>7.1045017628993326E-5</v>
      </c>
      <c r="W112" s="2"/>
      <c r="X112" s="2">
        <f t="shared" si="23"/>
        <v>-282.33</v>
      </c>
      <c r="Y112" s="2"/>
      <c r="Z112" s="19">
        <f t="shared" si="24"/>
        <v>-1</v>
      </c>
    </row>
    <row r="113" spans="1:26" s="24" customFormat="1" hidden="1" outlineLevel="1" x14ac:dyDescent="0.3">
      <c r="A113" s="44"/>
      <c r="B113" s="11" t="str">
        <f>CONCATENATE("          ", "5045", " - ", "PURCHASES @ COST-SPECIAL ORDER")</f>
        <v xml:space="preserve">          5045 - PURCHASES @ COST-SPECIAL ORDER</v>
      </c>
      <c r="C113" s="11"/>
      <c r="D113" s="2"/>
      <c r="E113" s="2"/>
      <c r="F113" s="19">
        <f t="shared" si="17"/>
        <v>0</v>
      </c>
      <c r="G113" s="2"/>
      <c r="H113" s="2">
        <v>10676.48</v>
      </c>
      <c r="I113" s="2"/>
      <c r="J113" s="19">
        <f t="shared" si="18"/>
        <v>3.4102166980927398E-2</v>
      </c>
      <c r="K113" s="2"/>
      <c r="L113" s="2">
        <f t="shared" si="19"/>
        <v>-10676.48</v>
      </c>
      <c r="M113" s="2"/>
      <c r="N113" s="19">
        <f t="shared" si="20"/>
        <v>-1</v>
      </c>
      <c r="O113" s="11"/>
      <c r="P113" s="2">
        <v>0</v>
      </c>
      <c r="Q113" s="2"/>
      <c r="R113" s="19">
        <f t="shared" si="21"/>
        <v>0</v>
      </c>
      <c r="S113" s="2"/>
      <c r="T113" s="2">
        <v>87609</v>
      </c>
      <c r="U113" s="2"/>
      <c r="V113" s="19">
        <f t="shared" si="22"/>
        <v>2.2045772498347598E-2</v>
      </c>
      <c r="W113" s="2"/>
      <c r="X113" s="2">
        <f t="shared" si="23"/>
        <v>-87609</v>
      </c>
      <c r="Y113" s="2"/>
      <c r="Z113" s="19">
        <f t="shared" si="24"/>
        <v>-1</v>
      </c>
    </row>
    <row r="114" spans="1:26" s="24" customFormat="1" hidden="1" outlineLevel="1" x14ac:dyDescent="0.3">
      <c r="A114" s="44"/>
      <c r="B114" s="11" t="str">
        <f>CONCATENATE("          ", "5081", " - ", "PURCHASES @ COST-ELECTRONICS")</f>
        <v xml:space="preserve">          5081 - PURCHASES @ COST-ELECTRONICS</v>
      </c>
      <c r="C114" s="11"/>
      <c r="D114" s="2"/>
      <c r="E114" s="2"/>
      <c r="F114" s="19">
        <f t="shared" si="17"/>
        <v>0</v>
      </c>
      <c r="G114" s="2"/>
      <c r="H114" s="2">
        <v>945.44</v>
      </c>
      <c r="I114" s="2"/>
      <c r="J114" s="19">
        <f t="shared" si="18"/>
        <v>3.0198672924454501E-3</v>
      </c>
      <c r="K114" s="2"/>
      <c r="L114" s="2">
        <f t="shared" si="19"/>
        <v>-945.44</v>
      </c>
      <c r="M114" s="2"/>
      <c r="N114" s="19">
        <f t="shared" si="20"/>
        <v>-1</v>
      </c>
      <c r="O114" s="11"/>
      <c r="P114" s="2">
        <v>0</v>
      </c>
      <c r="Q114" s="2"/>
      <c r="R114" s="19">
        <f t="shared" si="21"/>
        <v>0</v>
      </c>
      <c r="S114" s="2"/>
      <c r="T114" s="2">
        <v>25260.51</v>
      </c>
      <c r="U114" s="2"/>
      <c r="V114" s="19">
        <f t="shared" si="22"/>
        <v>6.3565096811084984E-3</v>
      </c>
      <c r="W114" s="2"/>
      <c r="X114" s="2">
        <f t="shared" si="23"/>
        <v>-25260.51</v>
      </c>
      <c r="Y114" s="2"/>
      <c r="Z114" s="19">
        <f t="shared" si="24"/>
        <v>-1</v>
      </c>
    </row>
    <row r="115" spans="1:26" s="24" customFormat="1" hidden="1" outlineLevel="1" x14ac:dyDescent="0.3">
      <c r="A115" s="44"/>
      <c r="B115" s="11" t="str">
        <f>CONCATENATE("          ", "5082", " - ", "PURCHASES @ COST-COMPUTER HARD")</f>
        <v xml:space="preserve">          5082 - PURCHASES @ COST-COMPUTER HARD</v>
      </c>
      <c r="C115" s="11"/>
      <c r="D115" s="2">
        <v>-6160.03</v>
      </c>
      <c r="E115" s="2"/>
      <c r="F115" s="19">
        <f t="shared" si="17"/>
        <v>-9.7505058723006202E-3</v>
      </c>
      <c r="G115" s="2"/>
      <c r="H115" s="2">
        <v>20916.71</v>
      </c>
      <c r="I115" s="2"/>
      <c r="J115" s="19">
        <f t="shared" si="18"/>
        <v>6.6810890584877589E-2</v>
      </c>
      <c r="K115" s="2"/>
      <c r="L115" s="2">
        <f t="shared" si="19"/>
        <v>-27076.739999999998</v>
      </c>
      <c r="M115" s="2"/>
      <c r="N115" s="19">
        <f t="shared" si="20"/>
        <v>-1.2945028161694645</v>
      </c>
      <c r="O115" s="11"/>
      <c r="P115" s="2">
        <v>-86869.48</v>
      </c>
      <c r="Q115" s="2"/>
      <c r="R115" s="19">
        <f t="shared" si="21"/>
        <v>-1.8771306421967286E-2</v>
      </c>
      <c r="S115" s="2"/>
      <c r="T115" s="2">
        <v>980936.82</v>
      </c>
      <c r="U115" s="2"/>
      <c r="V115" s="19">
        <f t="shared" si="22"/>
        <v>0.24684119176080704</v>
      </c>
      <c r="W115" s="2"/>
      <c r="X115" s="2">
        <f t="shared" si="23"/>
        <v>-1067806.3</v>
      </c>
      <c r="Y115" s="2"/>
      <c r="Z115" s="19">
        <f t="shared" si="24"/>
        <v>-1.0885576708192073</v>
      </c>
    </row>
    <row r="116" spans="1:26" s="24" customFormat="1" hidden="1" outlineLevel="1" x14ac:dyDescent="0.3">
      <c r="A116" s="44"/>
      <c r="B116" s="11" t="str">
        <f>CONCATENATE("          ", "5083", " - ", "PURCHASES @ COST-COMPUTER EQUI")</f>
        <v xml:space="preserve">          5083 - PURCHASES @ COST-COMPUTER EQUI</v>
      </c>
      <c r="C116" s="11"/>
      <c r="D116" s="2"/>
      <c r="E116" s="2"/>
      <c r="F116" s="19">
        <f t="shared" si="17"/>
        <v>0</v>
      </c>
      <c r="G116" s="2"/>
      <c r="H116" s="2">
        <v>5833.72</v>
      </c>
      <c r="I116" s="2"/>
      <c r="J116" s="19">
        <f t="shared" si="18"/>
        <v>1.8633715752755197E-2</v>
      </c>
      <c r="K116" s="2"/>
      <c r="L116" s="2">
        <f t="shared" si="19"/>
        <v>-5833.72</v>
      </c>
      <c r="M116" s="2"/>
      <c r="N116" s="19">
        <f t="shared" si="20"/>
        <v>-1</v>
      </c>
      <c r="O116" s="11"/>
      <c r="P116" s="2">
        <v>0</v>
      </c>
      <c r="Q116" s="2"/>
      <c r="R116" s="19">
        <f t="shared" si="21"/>
        <v>0</v>
      </c>
      <c r="S116" s="2"/>
      <c r="T116" s="2">
        <v>81726.84</v>
      </c>
      <c r="U116" s="2"/>
      <c r="V116" s="19">
        <f t="shared" si="22"/>
        <v>2.0565596247518567E-2</v>
      </c>
      <c r="W116" s="2"/>
      <c r="X116" s="2">
        <f t="shared" si="23"/>
        <v>-81726.84</v>
      </c>
      <c r="Y116" s="2"/>
      <c r="Z116" s="19">
        <f t="shared" si="24"/>
        <v>-1</v>
      </c>
    </row>
    <row r="117" spans="1:26" s="24" customFormat="1" hidden="1" outlineLevel="1" x14ac:dyDescent="0.3">
      <c r="A117" s="44"/>
      <c r="B117" s="11" t="str">
        <f>CONCATENATE("          ", "5085", " - ", "PURCHASES @ COST-SOFTWARE")</f>
        <v xml:space="preserve">          5085 - PURCHASES @ COST-SOFTWARE</v>
      </c>
      <c r="C117" s="11"/>
      <c r="D117" s="2"/>
      <c r="E117" s="2"/>
      <c r="F117" s="19">
        <f t="shared" si="17"/>
        <v>0</v>
      </c>
      <c r="G117" s="2"/>
      <c r="H117" s="2">
        <v>496.16</v>
      </c>
      <c r="I117" s="2"/>
      <c r="J117" s="19">
        <f t="shared" si="18"/>
        <v>1.5848042771828298E-3</v>
      </c>
      <c r="K117" s="2"/>
      <c r="L117" s="2">
        <f t="shared" si="19"/>
        <v>-496.16</v>
      </c>
      <c r="M117" s="2"/>
      <c r="N117" s="19">
        <f t="shared" si="20"/>
        <v>-1</v>
      </c>
      <c r="O117" s="11"/>
      <c r="P117" s="2">
        <v>0</v>
      </c>
      <c r="Q117" s="2"/>
      <c r="R117" s="19">
        <f t="shared" si="21"/>
        <v>0</v>
      </c>
      <c r="S117" s="2"/>
      <c r="T117" s="2">
        <v>24572.080000000002</v>
      </c>
      <c r="U117" s="2"/>
      <c r="V117" s="19">
        <f t="shared" si="22"/>
        <v>6.1832743838098492E-3</v>
      </c>
      <c r="W117" s="2"/>
      <c r="X117" s="2">
        <f t="shared" si="23"/>
        <v>-24572.080000000002</v>
      </c>
      <c r="Y117" s="2"/>
      <c r="Z117" s="19">
        <f t="shared" si="24"/>
        <v>-1</v>
      </c>
    </row>
    <row r="118" spans="1:26" s="24" customFormat="1" hidden="1" outlineLevel="1" x14ac:dyDescent="0.3">
      <c r="A118" s="44"/>
      <c r="B118" s="11" t="str">
        <f>CONCATENATE("          ", "5086", " - ", "PURCHASES @ COST-COMPUTER SUPP")</f>
        <v xml:space="preserve">          5086 - PURCHASES @ COST-COMPUTER SUPP</v>
      </c>
      <c r="C118" s="11"/>
      <c r="D118" s="2"/>
      <c r="E118" s="2"/>
      <c r="F118" s="19">
        <f t="shared" si="17"/>
        <v>0</v>
      </c>
      <c r="G118" s="2"/>
      <c r="H118" s="2"/>
      <c r="I118" s="2"/>
      <c r="J118" s="19">
        <f t="shared" si="18"/>
        <v>0</v>
      </c>
      <c r="K118" s="2"/>
      <c r="L118" s="2">
        <f t="shared" si="19"/>
        <v>0</v>
      </c>
      <c r="M118" s="2"/>
      <c r="N118" s="19">
        <f t="shared" si="20"/>
        <v>0</v>
      </c>
      <c r="O118" s="11"/>
      <c r="P118" s="2">
        <v>0</v>
      </c>
      <c r="Q118" s="2"/>
      <c r="R118" s="19">
        <f t="shared" si="21"/>
        <v>0</v>
      </c>
      <c r="S118" s="2"/>
      <c r="T118" s="2">
        <v>22718.61</v>
      </c>
      <c r="U118" s="2"/>
      <c r="V118" s="19">
        <f t="shared" si="22"/>
        <v>5.7168704989063301E-3</v>
      </c>
      <c r="W118" s="2"/>
      <c r="X118" s="2">
        <f t="shared" si="23"/>
        <v>-22718.61</v>
      </c>
      <c r="Y118" s="2"/>
      <c r="Z118" s="19">
        <f t="shared" si="24"/>
        <v>-1</v>
      </c>
    </row>
    <row r="119" spans="1:26" s="24" customFormat="1" hidden="1" outlineLevel="1" x14ac:dyDescent="0.3">
      <c r="A119" s="44"/>
      <c r="B119" s="11" t="str">
        <f>CONCATENATE("          ", "5092", " - ", "PURCHASES @ COST-GRAD MERCH")</f>
        <v xml:space="preserve">          5092 - PURCHASES @ COST-GRAD MERCH</v>
      </c>
      <c r="C119" s="11"/>
      <c r="D119" s="2"/>
      <c r="E119" s="2"/>
      <c r="F119" s="19">
        <f t="shared" si="17"/>
        <v>0</v>
      </c>
      <c r="G119" s="2"/>
      <c r="H119" s="2"/>
      <c r="I119" s="2"/>
      <c r="J119" s="19">
        <f t="shared" si="18"/>
        <v>0</v>
      </c>
      <c r="K119" s="2"/>
      <c r="L119" s="2">
        <f t="shared" si="19"/>
        <v>0</v>
      </c>
      <c r="M119" s="2"/>
      <c r="N119" s="19">
        <f t="shared" si="20"/>
        <v>0</v>
      </c>
      <c r="O119" s="11"/>
      <c r="P119" s="2"/>
      <c r="Q119" s="2"/>
      <c r="R119" s="19">
        <f t="shared" si="21"/>
        <v>0</v>
      </c>
      <c r="S119" s="2"/>
      <c r="T119" s="2">
        <v>0</v>
      </c>
      <c r="U119" s="2"/>
      <c r="V119" s="19">
        <f t="shared" si="22"/>
        <v>0</v>
      </c>
      <c r="W119" s="2"/>
      <c r="X119" s="2">
        <f t="shared" si="23"/>
        <v>0</v>
      </c>
      <c r="Y119" s="2"/>
      <c r="Z119" s="19">
        <f t="shared" si="24"/>
        <v>0</v>
      </c>
    </row>
    <row r="120" spans="1:26" s="24" customFormat="1" hidden="1" outlineLevel="1" x14ac:dyDescent="0.3">
      <c r="A120" s="44"/>
      <c r="B120" s="11" t="str">
        <f>CONCATENATE("          ", "5200", " - ", "PURCHASES OFFSET")</f>
        <v xml:space="preserve">          5200 - PURCHASES OFFSET</v>
      </c>
      <c r="C120" s="11"/>
      <c r="D120" s="2">
        <v>-479454</v>
      </c>
      <c r="E120" s="2"/>
      <c r="F120" s="19">
        <f t="shared" si="17"/>
        <v>-0.75891173297825198</v>
      </c>
      <c r="G120" s="2"/>
      <c r="H120" s="2">
        <v>-200857.41</v>
      </c>
      <c r="I120" s="2"/>
      <c r="J120" s="19">
        <f t="shared" si="18"/>
        <v>-0.64156659640411418</v>
      </c>
      <c r="K120" s="2"/>
      <c r="L120" s="2">
        <f t="shared" si="19"/>
        <v>-278596.58999999997</v>
      </c>
      <c r="M120" s="2"/>
      <c r="N120" s="19">
        <f t="shared" si="20"/>
        <v>1.3870366545102815</v>
      </c>
      <c r="O120" s="11"/>
      <c r="P120" s="2">
        <v>-3278277.91</v>
      </c>
      <c r="Q120" s="2"/>
      <c r="R120" s="19">
        <f t="shared" si="21"/>
        <v>-0.70839101586629161</v>
      </c>
      <c r="S120" s="2"/>
      <c r="T120" s="2">
        <v>-2876672.97</v>
      </c>
      <c r="U120" s="2"/>
      <c r="V120" s="19">
        <f t="shared" si="22"/>
        <v>-0.72388085526333945</v>
      </c>
      <c r="W120" s="2"/>
      <c r="X120" s="2">
        <f t="shared" si="23"/>
        <v>-401604.93999999994</v>
      </c>
      <c r="Y120" s="2"/>
      <c r="Z120" s="19">
        <f t="shared" si="24"/>
        <v>0.13960743685091181</v>
      </c>
    </row>
    <row r="121" spans="1:26" s="24" customFormat="1" hidden="1" outlineLevel="1" x14ac:dyDescent="0.3">
      <c r="A121" s="44"/>
      <c r="B121" s="11" t="str">
        <f>CONCATENATE("          ", "5300", " - ", "COG$ OFFSET")</f>
        <v xml:space="preserve">          5300 - COG$ OFFSET</v>
      </c>
      <c r="C121" s="11"/>
      <c r="D121" s="2">
        <v>386623.33</v>
      </c>
      <c r="E121" s="2"/>
      <c r="F121" s="19">
        <f t="shared" si="17"/>
        <v>0.61197316401599033</v>
      </c>
      <c r="G121" s="2"/>
      <c r="H121" s="2">
        <v>208821</v>
      </c>
      <c r="I121" s="2"/>
      <c r="J121" s="19">
        <f t="shared" si="18"/>
        <v>0.6670034141518778</v>
      </c>
      <c r="K121" s="2"/>
      <c r="L121" s="2">
        <f t="shared" si="19"/>
        <v>177802.33000000002</v>
      </c>
      <c r="M121" s="2"/>
      <c r="N121" s="19">
        <f t="shared" si="20"/>
        <v>0.85145809090081948</v>
      </c>
      <c r="O121" s="11"/>
      <c r="P121" s="2">
        <v>2870072.87</v>
      </c>
      <c r="Q121" s="2"/>
      <c r="R121" s="19">
        <f t="shared" si="21"/>
        <v>0.62018349017566454</v>
      </c>
      <c r="S121" s="2"/>
      <c r="T121" s="2">
        <v>2603154</v>
      </c>
      <c r="U121" s="2"/>
      <c r="V121" s="19">
        <f t="shared" si="22"/>
        <v>0.65505302950796762</v>
      </c>
      <c r="W121" s="2"/>
      <c r="X121" s="2">
        <f t="shared" si="23"/>
        <v>266918.87000000011</v>
      </c>
      <c r="Y121" s="2"/>
      <c r="Z121" s="19">
        <f t="shared" si="24"/>
        <v>0.10253671891866563</v>
      </c>
    </row>
    <row r="122" spans="1:26" s="24" customFormat="1" hidden="1" outlineLevel="1" x14ac:dyDescent="0.3">
      <c r="A122" s="44"/>
      <c r="B122" s="11" t="str">
        <f>CONCATENATE("          ", "5500", " - ", "FREIGHT-IN")</f>
        <v xml:space="preserve">          5500 - FREIGHT-IN</v>
      </c>
      <c r="C122" s="11"/>
      <c r="D122" s="2">
        <v>9525.24</v>
      </c>
      <c r="E122" s="2"/>
      <c r="F122" s="19">
        <f t="shared" si="17"/>
        <v>1.5077184454470637E-2</v>
      </c>
      <c r="G122" s="2"/>
      <c r="H122" s="2">
        <v>0</v>
      </c>
      <c r="I122" s="2"/>
      <c r="J122" s="19">
        <f t="shared" si="18"/>
        <v>0</v>
      </c>
      <c r="K122" s="2"/>
      <c r="L122" s="2">
        <f t="shared" si="19"/>
        <v>9525.24</v>
      </c>
      <c r="M122" s="2"/>
      <c r="N122" s="19">
        <f t="shared" si="20"/>
        <v>0</v>
      </c>
      <c r="O122" s="11"/>
      <c r="P122" s="2">
        <v>70326.490000000005</v>
      </c>
      <c r="Q122" s="2"/>
      <c r="R122" s="19">
        <f t="shared" si="21"/>
        <v>1.519659255899101E-2</v>
      </c>
      <c r="S122" s="2"/>
      <c r="T122" s="2">
        <v>0</v>
      </c>
      <c r="U122" s="2"/>
      <c r="V122" s="19">
        <f t="shared" si="22"/>
        <v>0</v>
      </c>
      <c r="W122" s="2"/>
      <c r="X122" s="2">
        <f t="shared" si="23"/>
        <v>70326.490000000005</v>
      </c>
      <c r="Y122" s="2"/>
      <c r="Z122" s="19">
        <f t="shared" si="24"/>
        <v>0</v>
      </c>
    </row>
    <row r="123" spans="1:26" s="24" customFormat="1" hidden="1" outlineLevel="1" x14ac:dyDescent="0.3">
      <c r="A123" s="44"/>
      <c r="B123" s="11" t="str">
        <f>CONCATENATE("          ", "5501", " - ", "FREIGHT-IN-NEW TEXT")</f>
        <v xml:space="preserve">          5501 - FREIGHT-IN-NEW TEXT</v>
      </c>
      <c r="C123" s="11"/>
      <c r="D123" s="2"/>
      <c r="E123" s="2"/>
      <c r="F123" s="19">
        <f t="shared" si="17"/>
        <v>0</v>
      </c>
      <c r="G123" s="2"/>
      <c r="H123" s="2">
        <v>2414.77</v>
      </c>
      <c r="I123" s="2"/>
      <c r="J123" s="19">
        <f t="shared" si="18"/>
        <v>7.7131123516865161E-3</v>
      </c>
      <c r="K123" s="2"/>
      <c r="L123" s="2">
        <f t="shared" si="19"/>
        <v>-2414.77</v>
      </c>
      <c r="M123" s="2"/>
      <c r="N123" s="19">
        <f t="shared" si="20"/>
        <v>-1</v>
      </c>
      <c r="O123" s="11"/>
      <c r="P123" s="2">
        <v>0</v>
      </c>
      <c r="Q123" s="2"/>
      <c r="R123" s="19">
        <f t="shared" si="21"/>
        <v>0</v>
      </c>
      <c r="S123" s="2"/>
      <c r="T123" s="2">
        <v>37463.58</v>
      </c>
      <c r="U123" s="2"/>
      <c r="V123" s="19">
        <f t="shared" si="22"/>
        <v>9.4272684502008357E-3</v>
      </c>
      <c r="W123" s="2"/>
      <c r="X123" s="2">
        <f t="shared" si="23"/>
        <v>-37463.58</v>
      </c>
      <c r="Y123" s="2"/>
      <c r="Z123" s="19">
        <f t="shared" si="24"/>
        <v>-1</v>
      </c>
    </row>
    <row r="124" spans="1:26" s="24" customFormat="1" hidden="1" outlineLevel="1" x14ac:dyDescent="0.3">
      <c r="A124" s="44"/>
      <c r="B124" s="11" t="str">
        <f>CONCATENATE("          ", "5502", " - ", "FREIGHT-IN-USED TEXT")</f>
        <v xml:space="preserve">          5502 - FREIGHT-IN-USED TEXT</v>
      </c>
      <c r="C124" s="11"/>
      <c r="D124" s="2"/>
      <c r="E124" s="2"/>
      <c r="F124" s="19">
        <f t="shared" si="17"/>
        <v>0</v>
      </c>
      <c r="G124" s="2"/>
      <c r="H124" s="2">
        <v>2389.48</v>
      </c>
      <c r="I124" s="2"/>
      <c r="J124" s="19">
        <f t="shared" si="18"/>
        <v>7.6323325625661641E-3</v>
      </c>
      <c r="K124" s="2"/>
      <c r="L124" s="2">
        <f t="shared" si="19"/>
        <v>-2389.48</v>
      </c>
      <c r="M124" s="2"/>
      <c r="N124" s="19">
        <f t="shared" si="20"/>
        <v>-1</v>
      </c>
      <c r="O124" s="11"/>
      <c r="P124" s="2">
        <v>0</v>
      </c>
      <c r="Q124" s="2"/>
      <c r="R124" s="19">
        <f t="shared" si="21"/>
        <v>0</v>
      </c>
      <c r="S124" s="2"/>
      <c r="T124" s="2">
        <v>13522.57</v>
      </c>
      <c r="U124" s="2"/>
      <c r="V124" s="19">
        <f t="shared" si="22"/>
        <v>3.4027953955984001E-3</v>
      </c>
      <c r="W124" s="2"/>
      <c r="X124" s="2">
        <f t="shared" si="23"/>
        <v>-13522.57</v>
      </c>
      <c r="Y124" s="2"/>
      <c r="Z124" s="19">
        <f t="shared" si="24"/>
        <v>-1</v>
      </c>
    </row>
    <row r="125" spans="1:26" s="24" customFormat="1" hidden="1" outlineLevel="1" x14ac:dyDescent="0.3">
      <c r="A125" s="44"/>
      <c r="B125" s="11" t="str">
        <f>CONCATENATE("          ", "5504", " - ", "FREIGHT-IN-DIGITAL TEXT")</f>
        <v xml:space="preserve">          5504 - FREIGHT-IN-DIGITAL TEXT</v>
      </c>
      <c r="C125" s="11"/>
      <c r="D125" s="2"/>
      <c r="E125" s="2"/>
      <c r="F125" s="19">
        <f t="shared" si="17"/>
        <v>0</v>
      </c>
      <c r="G125" s="2"/>
      <c r="H125" s="2"/>
      <c r="I125" s="2"/>
      <c r="J125" s="19">
        <f t="shared" si="18"/>
        <v>0</v>
      </c>
      <c r="K125" s="2"/>
      <c r="L125" s="2">
        <f t="shared" si="19"/>
        <v>0</v>
      </c>
      <c r="M125" s="2"/>
      <c r="N125" s="19">
        <f t="shared" si="20"/>
        <v>0</v>
      </c>
      <c r="O125" s="11"/>
      <c r="P125" s="2"/>
      <c r="Q125" s="2"/>
      <c r="R125" s="19">
        <f t="shared" si="21"/>
        <v>0</v>
      </c>
      <c r="S125" s="2"/>
      <c r="T125" s="2">
        <v>21.98</v>
      </c>
      <c r="U125" s="2"/>
      <c r="V125" s="19">
        <f t="shared" si="22"/>
        <v>5.5310079959100111E-6</v>
      </c>
      <c r="W125" s="2"/>
      <c r="X125" s="2">
        <f t="shared" si="23"/>
        <v>-21.98</v>
      </c>
      <c r="Y125" s="2"/>
      <c r="Z125" s="19">
        <f t="shared" si="24"/>
        <v>-1</v>
      </c>
    </row>
    <row r="126" spans="1:26" s="24" customFormat="1" hidden="1" outlineLevel="1" x14ac:dyDescent="0.3">
      <c r="A126" s="44"/>
      <c r="B126" s="11" t="str">
        <f>CONCATENATE("          ", "5513", " - ", "FREIGHT-IN-TRADE BOOKS")</f>
        <v xml:space="preserve">          5513 - FREIGHT-IN-TRADE BOOKS</v>
      </c>
      <c r="C126" s="11"/>
      <c r="D126" s="2"/>
      <c r="E126" s="2"/>
      <c r="F126" s="19">
        <f t="shared" si="17"/>
        <v>0</v>
      </c>
      <c r="G126" s="2"/>
      <c r="H126" s="2"/>
      <c r="I126" s="2"/>
      <c r="J126" s="19">
        <f t="shared" si="18"/>
        <v>0</v>
      </c>
      <c r="K126" s="2"/>
      <c r="L126" s="2">
        <f t="shared" si="19"/>
        <v>0</v>
      </c>
      <c r="M126" s="2"/>
      <c r="N126" s="19">
        <f t="shared" si="20"/>
        <v>0</v>
      </c>
      <c r="O126" s="11"/>
      <c r="P126" s="2"/>
      <c r="Q126" s="2"/>
      <c r="R126" s="19">
        <f t="shared" si="21"/>
        <v>0</v>
      </c>
      <c r="S126" s="2"/>
      <c r="T126" s="2">
        <v>26.46</v>
      </c>
      <c r="U126" s="2"/>
      <c r="V126" s="19">
        <f t="shared" si="22"/>
        <v>6.6583472052674662E-6</v>
      </c>
      <c r="W126" s="2"/>
      <c r="X126" s="2">
        <f t="shared" si="23"/>
        <v>-26.46</v>
      </c>
      <c r="Y126" s="2"/>
      <c r="Z126" s="19">
        <f t="shared" si="24"/>
        <v>-1</v>
      </c>
    </row>
    <row r="127" spans="1:26" s="24" customFormat="1" hidden="1" outlineLevel="1" x14ac:dyDescent="0.3">
      <c r="A127" s="44"/>
      <c r="B127" s="11" t="str">
        <f>CONCATENATE("          ", "5518", " - ", "FREIGHT-IN-STUDY GUIDES")</f>
        <v xml:space="preserve">          5518 - FREIGHT-IN-STUDY GUIDES</v>
      </c>
      <c r="C127" s="11"/>
      <c r="D127" s="2"/>
      <c r="E127" s="2"/>
      <c r="F127" s="19">
        <f t="shared" si="17"/>
        <v>0</v>
      </c>
      <c r="G127" s="2"/>
      <c r="H127" s="2"/>
      <c r="I127" s="2"/>
      <c r="J127" s="19">
        <f t="shared" si="18"/>
        <v>0</v>
      </c>
      <c r="K127" s="2"/>
      <c r="L127" s="2">
        <f t="shared" si="19"/>
        <v>0</v>
      </c>
      <c r="M127" s="2"/>
      <c r="N127" s="19">
        <f t="shared" si="20"/>
        <v>0</v>
      </c>
      <c r="O127" s="11"/>
      <c r="P127" s="2">
        <v>0</v>
      </c>
      <c r="Q127" s="2"/>
      <c r="R127" s="19">
        <f t="shared" si="21"/>
        <v>0</v>
      </c>
      <c r="S127" s="2"/>
      <c r="T127" s="2"/>
      <c r="U127" s="2"/>
      <c r="V127" s="19">
        <f t="shared" si="22"/>
        <v>0</v>
      </c>
      <c r="W127" s="2"/>
      <c r="X127" s="2">
        <f t="shared" si="23"/>
        <v>0</v>
      </c>
      <c r="Y127" s="2"/>
      <c r="Z127" s="19">
        <f t="shared" si="24"/>
        <v>0</v>
      </c>
    </row>
    <row r="128" spans="1:26" s="24" customFormat="1" hidden="1" outlineLevel="1" x14ac:dyDescent="0.3">
      <c r="A128" s="44"/>
      <c r="B128" s="11" t="str">
        <f>CONCATENATE("          ", "5525", " - ", "FREIGHT-IN-TEST FORMS")</f>
        <v xml:space="preserve">          5525 - FREIGHT-IN-TEST FORMS</v>
      </c>
      <c r="C128" s="11"/>
      <c r="D128" s="2"/>
      <c r="E128" s="2"/>
      <c r="F128" s="19">
        <f t="shared" si="17"/>
        <v>0</v>
      </c>
      <c r="G128" s="2"/>
      <c r="H128" s="2"/>
      <c r="I128" s="2"/>
      <c r="J128" s="19">
        <f t="shared" si="18"/>
        <v>0</v>
      </c>
      <c r="K128" s="2"/>
      <c r="L128" s="2">
        <f t="shared" si="19"/>
        <v>0</v>
      </c>
      <c r="M128" s="2"/>
      <c r="N128" s="19">
        <f t="shared" si="20"/>
        <v>0</v>
      </c>
      <c r="O128" s="11"/>
      <c r="P128" s="2"/>
      <c r="Q128" s="2"/>
      <c r="R128" s="19">
        <f t="shared" si="21"/>
        <v>0</v>
      </c>
      <c r="S128" s="2"/>
      <c r="T128" s="2">
        <v>48.14</v>
      </c>
      <c r="U128" s="2"/>
      <c r="V128" s="19">
        <f t="shared" si="22"/>
        <v>1.2113863736265147E-5</v>
      </c>
      <c r="W128" s="2"/>
      <c r="X128" s="2">
        <f t="shared" si="23"/>
        <v>-48.14</v>
      </c>
      <c r="Y128" s="2"/>
      <c r="Z128" s="19">
        <f t="shared" si="24"/>
        <v>-1</v>
      </c>
    </row>
    <row r="129" spans="1:26" s="24" customFormat="1" hidden="1" outlineLevel="1" x14ac:dyDescent="0.3">
      <c r="A129" s="44"/>
      <c r="B129" s="11" t="str">
        <f>CONCATENATE("          ", "5526", " - ", "FREIGHT-IN-WRITING INSTRUMENTS")</f>
        <v xml:space="preserve">          5526 - FREIGHT-IN-WRITING INSTRUMENTS</v>
      </c>
      <c r="C129" s="11"/>
      <c r="D129" s="2"/>
      <c r="E129" s="2"/>
      <c r="F129" s="19">
        <f t="shared" si="17"/>
        <v>0</v>
      </c>
      <c r="G129" s="2"/>
      <c r="H129" s="2">
        <v>0</v>
      </c>
      <c r="I129" s="2"/>
      <c r="J129" s="19">
        <f t="shared" si="18"/>
        <v>0</v>
      </c>
      <c r="K129" s="2"/>
      <c r="L129" s="2">
        <f t="shared" si="19"/>
        <v>0</v>
      </c>
      <c r="M129" s="2"/>
      <c r="N129" s="19">
        <f t="shared" si="20"/>
        <v>0</v>
      </c>
      <c r="O129" s="11"/>
      <c r="P129" s="2"/>
      <c r="Q129" s="2"/>
      <c r="R129" s="19">
        <f t="shared" si="21"/>
        <v>0</v>
      </c>
      <c r="S129" s="2"/>
      <c r="T129" s="2">
        <v>0</v>
      </c>
      <c r="U129" s="2"/>
      <c r="V129" s="19">
        <f t="shared" si="22"/>
        <v>0</v>
      </c>
      <c r="W129" s="2"/>
      <c r="X129" s="2">
        <f t="shared" si="23"/>
        <v>0</v>
      </c>
      <c r="Y129" s="2"/>
      <c r="Z129" s="19">
        <f t="shared" si="24"/>
        <v>0</v>
      </c>
    </row>
    <row r="130" spans="1:26" s="24" customFormat="1" hidden="1" outlineLevel="1" x14ac:dyDescent="0.3">
      <c r="A130" s="44"/>
      <c r="B130" s="11" t="str">
        <f>CONCATENATE("          ", "5527", " - ", "FREIGHT-IN-SCHOOL SUPPLIES")</f>
        <v xml:space="preserve">          5527 - FREIGHT-IN-SCHOOL SUPPLIES</v>
      </c>
      <c r="C130" s="11"/>
      <c r="D130" s="2"/>
      <c r="E130" s="2"/>
      <c r="F130" s="19">
        <f t="shared" si="17"/>
        <v>0</v>
      </c>
      <c r="G130" s="2"/>
      <c r="H130" s="2">
        <v>121.5</v>
      </c>
      <c r="I130" s="2"/>
      <c r="J130" s="19">
        <f t="shared" si="18"/>
        <v>3.8808795484866537E-4</v>
      </c>
      <c r="K130" s="2"/>
      <c r="L130" s="2">
        <f t="shared" si="19"/>
        <v>-121.5</v>
      </c>
      <c r="M130" s="2"/>
      <c r="N130" s="19">
        <f t="shared" si="20"/>
        <v>-1</v>
      </c>
      <c r="O130" s="11"/>
      <c r="P130" s="2">
        <v>0</v>
      </c>
      <c r="Q130" s="2"/>
      <c r="R130" s="19">
        <f t="shared" si="21"/>
        <v>0</v>
      </c>
      <c r="S130" s="2"/>
      <c r="T130" s="2">
        <v>177.5</v>
      </c>
      <c r="U130" s="2"/>
      <c r="V130" s="19">
        <f t="shared" si="22"/>
        <v>4.4665783406461643E-5</v>
      </c>
      <c r="W130" s="2"/>
      <c r="X130" s="2">
        <f t="shared" si="23"/>
        <v>-177.5</v>
      </c>
      <c r="Y130" s="2"/>
      <c r="Z130" s="19">
        <f t="shared" si="24"/>
        <v>-1</v>
      </c>
    </row>
    <row r="131" spans="1:26" s="24" customFormat="1" hidden="1" outlineLevel="1" x14ac:dyDescent="0.3">
      <c r="A131" s="44"/>
      <c r="B131" s="11" t="str">
        <f>CONCATENATE("          ", "5528", " - ", "FREIGHT-IN-ART/TECH")</f>
        <v xml:space="preserve">          5528 - FREIGHT-IN-ART/TECH</v>
      </c>
      <c r="C131" s="11"/>
      <c r="D131" s="2"/>
      <c r="E131" s="2"/>
      <c r="F131" s="19">
        <f t="shared" si="17"/>
        <v>0</v>
      </c>
      <c r="G131" s="2"/>
      <c r="H131" s="2">
        <v>4.29</v>
      </c>
      <c r="I131" s="2"/>
      <c r="J131" s="19">
        <f t="shared" si="18"/>
        <v>1.3702858652681272E-5</v>
      </c>
      <c r="K131" s="2"/>
      <c r="L131" s="2">
        <f t="shared" si="19"/>
        <v>-4.29</v>
      </c>
      <c r="M131" s="2"/>
      <c r="N131" s="19">
        <f t="shared" si="20"/>
        <v>-1</v>
      </c>
      <c r="O131" s="11"/>
      <c r="P131" s="2">
        <v>0</v>
      </c>
      <c r="Q131" s="2"/>
      <c r="R131" s="19">
        <f t="shared" si="21"/>
        <v>0</v>
      </c>
      <c r="S131" s="2"/>
      <c r="T131" s="2">
        <v>290.20999999999998</v>
      </c>
      <c r="U131" s="2"/>
      <c r="V131" s="19">
        <f t="shared" si="22"/>
        <v>7.3027926774023847E-5</v>
      </c>
      <c r="W131" s="2"/>
      <c r="X131" s="2">
        <f t="shared" si="23"/>
        <v>-290.20999999999998</v>
      </c>
      <c r="Y131" s="2"/>
      <c r="Z131" s="19">
        <f t="shared" si="24"/>
        <v>-1</v>
      </c>
    </row>
    <row r="132" spans="1:26" s="24" customFormat="1" hidden="1" outlineLevel="1" x14ac:dyDescent="0.3">
      <c r="A132" s="44"/>
      <c r="B132" s="11" t="str">
        <f>CONCATENATE("          ", "5540", " - ", "FREIGHT-IN-LOGO CLOTHING")</f>
        <v xml:space="preserve">          5540 - FREIGHT-IN-LOGO CLOTHING</v>
      </c>
      <c r="C132" s="11"/>
      <c r="D132" s="2"/>
      <c r="E132" s="2"/>
      <c r="F132" s="19">
        <f t="shared" si="17"/>
        <v>0</v>
      </c>
      <c r="G132" s="2"/>
      <c r="H132" s="2">
        <v>907.48</v>
      </c>
      <c r="I132" s="2"/>
      <c r="J132" s="19">
        <f t="shared" si="18"/>
        <v>2.8986177552762704E-3</v>
      </c>
      <c r="K132" s="2"/>
      <c r="L132" s="2">
        <f t="shared" si="19"/>
        <v>-907.48</v>
      </c>
      <c r="M132" s="2"/>
      <c r="N132" s="19">
        <f t="shared" si="20"/>
        <v>-1</v>
      </c>
      <c r="O132" s="11"/>
      <c r="P132" s="2">
        <v>0</v>
      </c>
      <c r="Q132" s="2"/>
      <c r="R132" s="19">
        <f t="shared" si="21"/>
        <v>0</v>
      </c>
      <c r="S132" s="2"/>
      <c r="T132" s="2">
        <v>5442.96</v>
      </c>
      <c r="U132" s="2"/>
      <c r="V132" s="19">
        <f t="shared" si="22"/>
        <v>1.3696567461973775E-3</v>
      </c>
      <c r="W132" s="2"/>
      <c r="X132" s="2">
        <f t="shared" si="23"/>
        <v>-5442.96</v>
      </c>
      <c r="Y132" s="2"/>
      <c r="Z132" s="19">
        <f t="shared" si="24"/>
        <v>-1</v>
      </c>
    </row>
    <row r="133" spans="1:26" s="24" customFormat="1" hidden="1" outlineLevel="1" x14ac:dyDescent="0.3">
      <c r="A133" s="44"/>
      <c r="B133" s="11" t="str">
        <f>CONCATENATE("          ", "5541", " - ", "FREIGHT-IN-LOGO GIFTS")</f>
        <v xml:space="preserve">          5541 - FREIGHT-IN-LOGO GIFTS</v>
      </c>
      <c r="C133" s="11"/>
      <c r="D133" s="2"/>
      <c r="E133" s="2"/>
      <c r="F133" s="19">
        <f t="shared" si="17"/>
        <v>0</v>
      </c>
      <c r="G133" s="2"/>
      <c r="H133" s="2">
        <v>84.07</v>
      </c>
      <c r="I133" s="2"/>
      <c r="J133" s="19">
        <f t="shared" si="18"/>
        <v>2.6853131163890779E-4</v>
      </c>
      <c r="K133" s="2"/>
      <c r="L133" s="2">
        <f t="shared" si="19"/>
        <v>-84.07</v>
      </c>
      <c r="M133" s="2"/>
      <c r="N133" s="19">
        <f t="shared" si="20"/>
        <v>-1</v>
      </c>
      <c r="O133" s="11"/>
      <c r="P133" s="2">
        <v>0</v>
      </c>
      <c r="Q133" s="2"/>
      <c r="R133" s="19">
        <f t="shared" si="21"/>
        <v>0</v>
      </c>
      <c r="S133" s="2"/>
      <c r="T133" s="2">
        <v>1519.94</v>
      </c>
      <c r="U133" s="2"/>
      <c r="V133" s="19">
        <f t="shared" si="22"/>
        <v>3.8247499059615388E-4</v>
      </c>
      <c r="W133" s="2"/>
      <c r="X133" s="2">
        <f t="shared" si="23"/>
        <v>-1519.94</v>
      </c>
      <c r="Y133" s="2"/>
      <c r="Z133" s="19">
        <f t="shared" si="24"/>
        <v>-1</v>
      </c>
    </row>
    <row r="134" spans="1:26" s="24" customFormat="1" hidden="1" outlineLevel="1" x14ac:dyDescent="0.3">
      <c r="A134" s="44"/>
      <c r="B134" s="11" t="str">
        <f>CONCATENATE("          ", "5542", " - ", "FREIGHT-IN-EVERYDAY GIFTS")</f>
        <v xml:space="preserve">          5542 - FREIGHT-IN-EVERYDAY GIFTS</v>
      </c>
      <c r="C134" s="11"/>
      <c r="D134" s="2"/>
      <c r="E134" s="2"/>
      <c r="F134" s="19">
        <f t="shared" si="17"/>
        <v>0</v>
      </c>
      <c r="G134" s="2"/>
      <c r="H134" s="2"/>
      <c r="I134" s="2"/>
      <c r="J134" s="19">
        <f t="shared" si="18"/>
        <v>0</v>
      </c>
      <c r="K134" s="2"/>
      <c r="L134" s="2">
        <f t="shared" si="19"/>
        <v>0</v>
      </c>
      <c r="M134" s="2"/>
      <c r="N134" s="19">
        <f t="shared" si="20"/>
        <v>0</v>
      </c>
      <c r="O134" s="11"/>
      <c r="P134" s="2">
        <v>0</v>
      </c>
      <c r="Q134" s="2"/>
      <c r="R134" s="19">
        <f t="shared" si="21"/>
        <v>0</v>
      </c>
      <c r="S134" s="2"/>
      <c r="T134" s="2">
        <v>196.55</v>
      </c>
      <c r="U134" s="2"/>
      <c r="V134" s="19">
        <f t="shared" si="22"/>
        <v>4.9459491428394575E-5</v>
      </c>
      <c r="W134" s="2"/>
      <c r="X134" s="2">
        <f t="shared" si="23"/>
        <v>-196.55</v>
      </c>
      <c r="Y134" s="2"/>
      <c r="Z134" s="19">
        <f t="shared" si="24"/>
        <v>-1</v>
      </c>
    </row>
    <row r="135" spans="1:26" s="24" customFormat="1" hidden="1" outlineLevel="1" x14ac:dyDescent="0.3">
      <c r="A135" s="44"/>
      <c r="B135" s="11" t="str">
        <f>CONCATENATE("          ", "5543", " - ", "FREIGHT-IN-CARDS")</f>
        <v xml:space="preserve">          5543 - FREIGHT-IN-CARDS</v>
      </c>
      <c r="C135" s="11"/>
      <c r="D135" s="2"/>
      <c r="E135" s="2"/>
      <c r="F135" s="19">
        <f t="shared" si="17"/>
        <v>0</v>
      </c>
      <c r="G135" s="2"/>
      <c r="H135" s="2">
        <v>605.41</v>
      </c>
      <c r="I135" s="2"/>
      <c r="J135" s="19">
        <f t="shared" si="18"/>
        <v>1.9337640225920204E-3</v>
      </c>
      <c r="K135" s="2"/>
      <c r="L135" s="2">
        <f t="shared" si="19"/>
        <v>-605.41</v>
      </c>
      <c r="M135" s="2"/>
      <c r="N135" s="19">
        <f t="shared" si="20"/>
        <v>-1</v>
      </c>
      <c r="O135" s="11"/>
      <c r="P135" s="2"/>
      <c r="Q135" s="2"/>
      <c r="R135" s="19">
        <f t="shared" si="21"/>
        <v>0</v>
      </c>
      <c r="S135" s="2"/>
      <c r="T135" s="2">
        <v>7117.72</v>
      </c>
      <c r="U135" s="2"/>
      <c r="V135" s="19">
        <f t="shared" si="22"/>
        <v>1.7910903654526208E-3</v>
      </c>
      <c r="W135" s="2"/>
      <c r="X135" s="2">
        <f t="shared" si="23"/>
        <v>-7117.72</v>
      </c>
      <c r="Y135" s="2"/>
      <c r="Z135" s="19">
        <f t="shared" si="24"/>
        <v>-1</v>
      </c>
    </row>
    <row r="136" spans="1:26" s="24" customFormat="1" hidden="1" outlineLevel="1" x14ac:dyDescent="0.3">
      <c r="A136" s="44"/>
      <c r="B136" s="11" t="str">
        <f>CONCATENATE("          ", "5544", " - ", "FREIGHT-IN-ACCESSORIES")</f>
        <v xml:space="preserve">          5544 - FREIGHT-IN-ACCESSORIES</v>
      </c>
      <c r="C136" s="11"/>
      <c r="D136" s="2"/>
      <c r="E136" s="2"/>
      <c r="F136" s="19">
        <f t="shared" si="17"/>
        <v>0</v>
      </c>
      <c r="G136" s="2"/>
      <c r="H136" s="2"/>
      <c r="I136" s="2"/>
      <c r="J136" s="19">
        <f t="shared" si="18"/>
        <v>0</v>
      </c>
      <c r="K136" s="2"/>
      <c r="L136" s="2">
        <f t="shared" si="19"/>
        <v>0</v>
      </c>
      <c r="M136" s="2"/>
      <c r="N136" s="19">
        <f t="shared" si="20"/>
        <v>0</v>
      </c>
      <c r="O136" s="11"/>
      <c r="P136" s="2">
        <v>0</v>
      </c>
      <c r="Q136" s="2"/>
      <c r="R136" s="19">
        <f t="shared" si="21"/>
        <v>0</v>
      </c>
      <c r="S136" s="2"/>
      <c r="T136" s="2"/>
      <c r="U136" s="2"/>
      <c r="V136" s="19">
        <f t="shared" si="22"/>
        <v>0</v>
      </c>
      <c r="W136" s="2"/>
      <c r="X136" s="2">
        <f t="shared" si="23"/>
        <v>0</v>
      </c>
      <c r="Y136" s="2"/>
      <c r="Z136" s="19">
        <f t="shared" si="24"/>
        <v>0</v>
      </c>
    </row>
    <row r="137" spans="1:26" s="24" customFormat="1" hidden="1" outlineLevel="1" x14ac:dyDescent="0.3">
      <c r="A137" s="44"/>
      <c r="B137" s="11" t="str">
        <f>CONCATENATE("          ", "5545", " - ", "FREIGHT-IN-SPECIAL ORDERS")</f>
        <v xml:space="preserve">          5545 - FREIGHT-IN-SPECIAL ORDERS</v>
      </c>
      <c r="C137" s="11"/>
      <c r="D137" s="2"/>
      <c r="E137" s="2"/>
      <c r="F137" s="19">
        <f t="shared" si="17"/>
        <v>0</v>
      </c>
      <c r="G137" s="2"/>
      <c r="H137" s="2">
        <v>225.93</v>
      </c>
      <c r="I137" s="2"/>
      <c r="J137" s="19">
        <f t="shared" si="18"/>
        <v>7.216519476457528E-4</v>
      </c>
      <c r="K137" s="2"/>
      <c r="L137" s="2">
        <f t="shared" si="19"/>
        <v>-225.93</v>
      </c>
      <c r="M137" s="2"/>
      <c r="N137" s="19">
        <f t="shared" si="20"/>
        <v>-1</v>
      </c>
      <c r="O137" s="11"/>
      <c r="P137" s="2">
        <v>0</v>
      </c>
      <c r="Q137" s="2"/>
      <c r="R137" s="19">
        <f t="shared" si="21"/>
        <v>0</v>
      </c>
      <c r="S137" s="2"/>
      <c r="T137" s="2">
        <v>1113.79</v>
      </c>
      <c r="U137" s="2"/>
      <c r="V137" s="19">
        <f t="shared" si="22"/>
        <v>2.8027212901567838E-4</v>
      </c>
      <c r="W137" s="2"/>
      <c r="X137" s="2">
        <f t="shared" si="23"/>
        <v>-1113.79</v>
      </c>
      <c r="Y137" s="2"/>
      <c r="Z137" s="19">
        <f t="shared" si="24"/>
        <v>-1</v>
      </c>
    </row>
    <row r="138" spans="1:26" s="24" customFormat="1" hidden="1" outlineLevel="1" x14ac:dyDescent="0.3">
      <c r="A138" s="44"/>
      <c r="B138" s="11" t="str">
        <f>CONCATENATE("          ", "5581", " - ", "FREIGHT-IN-ELECTRONICS")</f>
        <v xml:space="preserve">          5581 - FREIGHT-IN-ELECTRONICS</v>
      </c>
      <c r="C138" s="11"/>
      <c r="D138" s="2"/>
      <c r="E138" s="2"/>
      <c r="F138" s="19">
        <f t="shared" si="17"/>
        <v>0</v>
      </c>
      <c r="G138" s="2"/>
      <c r="H138" s="2">
        <v>31</v>
      </c>
      <c r="I138" s="2"/>
      <c r="J138" s="19">
        <f t="shared" si="18"/>
        <v>9.9018325928466067E-5</v>
      </c>
      <c r="K138" s="2"/>
      <c r="L138" s="2">
        <f t="shared" si="19"/>
        <v>-31</v>
      </c>
      <c r="M138" s="2"/>
      <c r="N138" s="19">
        <f t="shared" si="20"/>
        <v>-1</v>
      </c>
      <c r="O138" s="11"/>
      <c r="P138" s="2"/>
      <c r="Q138" s="2"/>
      <c r="R138" s="19">
        <f t="shared" si="21"/>
        <v>0</v>
      </c>
      <c r="S138" s="2"/>
      <c r="T138" s="2">
        <v>31</v>
      </c>
      <c r="U138" s="2"/>
      <c r="V138" s="19">
        <f t="shared" si="22"/>
        <v>7.8007847076073866E-6</v>
      </c>
      <c r="W138" s="2"/>
      <c r="X138" s="2">
        <f t="shared" si="23"/>
        <v>-31</v>
      </c>
      <c r="Y138" s="2"/>
      <c r="Z138" s="19">
        <f t="shared" si="24"/>
        <v>-1</v>
      </c>
    </row>
    <row r="139" spans="1:26" s="24" customFormat="1" hidden="1" outlineLevel="1" x14ac:dyDescent="0.3">
      <c r="A139" s="44"/>
      <c r="B139" s="11" t="str">
        <f>CONCATENATE("          ", "5582", " - ", "FREIGHT-IN-COMPUTER HARDWARE")</f>
        <v xml:space="preserve">          5582 - FREIGHT-IN-COMPUTER HARDWARE</v>
      </c>
      <c r="C139" s="11"/>
      <c r="D139" s="2"/>
      <c r="E139" s="2"/>
      <c r="F139" s="19">
        <f t="shared" si="17"/>
        <v>0</v>
      </c>
      <c r="G139" s="2"/>
      <c r="H139" s="2"/>
      <c r="I139" s="2"/>
      <c r="J139" s="19">
        <f t="shared" si="18"/>
        <v>0</v>
      </c>
      <c r="K139" s="2"/>
      <c r="L139" s="2">
        <f t="shared" si="19"/>
        <v>0</v>
      </c>
      <c r="M139" s="2"/>
      <c r="N139" s="19">
        <f t="shared" si="20"/>
        <v>0</v>
      </c>
      <c r="O139" s="11"/>
      <c r="P139" s="2"/>
      <c r="Q139" s="2"/>
      <c r="R139" s="19">
        <f t="shared" si="21"/>
        <v>0</v>
      </c>
      <c r="S139" s="2"/>
      <c r="T139" s="2">
        <v>94</v>
      </c>
      <c r="U139" s="2"/>
      <c r="V139" s="19">
        <f t="shared" si="22"/>
        <v>2.3653992339196589E-5</v>
      </c>
      <c r="W139" s="2"/>
      <c r="X139" s="2">
        <f t="shared" si="23"/>
        <v>-94</v>
      </c>
      <c r="Y139" s="2"/>
      <c r="Z139" s="19">
        <f t="shared" si="24"/>
        <v>-1</v>
      </c>
    </row>
    <row r="140" spans="1:26" s="24" customFormat="1" hidden="1" outlineLevel="1" x14ac:dyDescent="0.3">
      <c r="A140" s="44"/>
      <c r="B140" s="11" t="str">
        <f>CONCATENATE("          ", "5583", " - ", "FREIGHT-IN-COMPUTER EQUIPMENT")</f>
        <v xml:space="preserve">          5583 - FREIGHT-IN-COMPUTER EQUIPMENT</v>
      </c>
      <c r="C140" s="11"/>
      <c r="D140" s="2"/>
      <c r="E140" s="2"/>
      <c r="F140" s="19">
        <f t="shared" si="17"/>
        <v>0</v>
      </c>
      <c r="G140" s="2"/>
      <c r="H140" s="2">
        <v>7.23</v>
      </c>
      <c r="I140" s="2"/>
      <c r="J140" s="19">
        <f t="shared" si="18"/>
        <v>2.3093628918155151E-5</v>
      </c>
      <c r="K140" s="2"/>
      <c r="L140" s="2">
        <f t="shared" si="19"/>
        <v>-7.23</v>
      </c>
      <c r="M140" s="2"/>
      <c r="N140" s="19">
        <f t="shared" si="20"/>
        <v>-1</v>
      </c>
      <c r="O140" s="11"/>
      <c r="P140" s="2">
        <v>0</v>
      </c>
      <c r="Q140" s="2"/>
      <c r="R140" s="19">
        <f t="shared" si="21"/>
        <v>0</v>
      </c>
      <c r="S140" s="2"/>
      <c r="T140" s="2">
        <v>232.4</v>
      </c>
      <c r="U140" s="2"/>
      <c r="V140" s="19">
        <f t="shared" si="22"/>
        <v>5.8480721485417955E-5</v>
      </c>
      <c r="W140" s="2"/>
      <c r="X140" s="2">
        <f t="shared" si="23"/>
        <v>-232.4</v>
      </c>
      <c r="Y140" s="2"/>
      <c r="Z140" s="19">
        <f t="shared" si="24"/>
        <v>-1</v>
      </c>
    </row>
    <row r="141" spans="1:26" s="24" customFormat="1" hidden="1" outlineLevel="1" x14ac:dyDescent="0.3">
      <c r="A141" s="44"/>
      <c r="B141" s="11" t="str">
        <f>CONCATENATE("          ", "5586", " - ", "FREIGHT-IN-COMPUTER SUPPLIES")</f>
        <v xml:space="preserve">          5586 - FREIGHT-IN-COMPUTER SUPPLIES</v>
      </c>
      <c r="C141" s="11"/>
      <c r="D141" s="2"/>
      <c r="E141" s="2"/>
      <c r="F141" s="19">
        <f t="shared" si="17"/>
        <v>0</v>
      </c>
      <c r="G141" s="2"/>
      <c r="H141" s="2"/>
      <c r="I141" s="2"/>
      <c r="J141" s="19">
        <f t="shared" si="18"/>
        <v>0</v>
      </c>
      <c r="K141" s="2"/>
      <c r="L141" s="2">
        <f t="shared" si="19"/>
        <v>0</v>
      </c>
      <c r="M141" s="2"/>
      <c r="N141" s="19">
        <f t="shared" si="20"/>
        <v>0</v>
      </c>
      <c r="O141" s="11"/>
      <c r="P141" s="2"/>
      <c r="Q141" s="2"/>
      <c r="R141" s="19">
        <f t="shared" si="21"/>
        <v>0</v>
      </c>
      <c r="S141" s="2"/>
      <c r="T141" s="2">
        <v>24.12</v>
      </c>
      <c r="U141" s="2"/>
      <c r="V141" s="19">
        <f t="shared" si="22"/>
        <v>6.0695137789512958E-6</v>
      </c>
      <c r="W141" s="2"/>
      <c r="X141" s="2">
        <f t="shared" si="23"/>
        <v>-24.12</v>
      </c>
      <c r="Y141" s="2"/>
      <c r="Z141" s="19">
        <f t="shared" si="24"/>
        <v>-1</v>
      </c>
    </row>
    <row r="142" spans="1:26" s="24" customFormat="1" hidden="1" outlineLevel="1" x14ac:dyDescent="0.3">
      <c r="A142" s="44"/>
      <c r="B142" s="11" t="str">
        <f>CONCATENATE("          ", "5592", " - ", "FREIGHT-IN-GRAD MERCH")</f>
        <v xml:space="preserve">          5592 - FREIGHT-IN-GRAD MERCH</v>
      </c>
      <c r="C142" s="11"/>
      <c r="D142" s="2"/>
      <c r="E142" s="2"/>
      <c r="F142" s="19">
        <f t="shared" si="17"/>
        <v>0</v>
      </c>
      <c r="G142" s="2"/>
      <c r="H142" s="2"/>
      <c r="I142" s="2"/>
      <c r="J142" s="19">
        <f t="shared" si="18"/>
        <v>0</v>
      </c>
      <c r="K142" s="2"/>
      <c r="L142" s="2">
        <f t="shared" si="19"/>
        <v>0</v>
      </c>
      <c r="M142" s="2"/>
      <c r="N142" s="19">
        <f t="shared" si="20"/>
        <v>0</v>
      </c>
      <c r="O142" s="11"/>
      <c r="P142" s="2"/>
      <c r="Q142" s="2"/>
      <c r="R142" s="19">
        <f t="shared" si="21"/>
        <v>0</v>
      </c>
      <c r="S142" s="2"/>
      <c r="T142" s="2">
        <v>0</v>
      </c>
      <c r="U142" s="2"/>
      <c r="V142" s="19">
        <f t="shared" si="22"/>
        <v>0</v>
      </c>
      <c r="W142" s="2"/>
      <c r="X142" s="2">
        <f t="shared" si="23"/>
        <v>0</v>
      </c>
      <c r="Y142" s="2"/>
      <c r="Z142" s="19">
        <f t="shared" si="24"/>
        <v>0</v>
      </c>
    </row>
    <row r="143" spans="1:26" x14ac:dyDescent="0.3">
      <c r="A143" s="9"/>
      <c r="B143" s="10"/>
      <c r="C143" s="10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O143" s="10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x14ac:dyDescent="0.3">
      <c r="A144" s="10"/>
      <c r="B144" s="26" t="s">
        <v>107</v>
      </c>
      <c r="C144" s="26"/>
      <c r="D144" s="20">
        <f>D12-D93</f>
        <v>253837.33000000007</v>
      </c>
      <c r="E144" s="13"/>
      <c r="F144" s="21">
        <f>IF(D$12=0,0,D144/D$12)</f>
        <v>0.40179063685957878</v>
      </c>
      <c r="G144" s="13"/>
      <c r="H144" s="20">
        <f>H12-H93</f>
        <v>105895.96000000008</v>
      </c>
      <c r="I144" s="13"/>
      <c r="J144" s="21">
        <f>IF(H$12=0,0,H144/H$12)</f>
        <v>0.33824647360605847</v>
      </c>
      <c r="K144" s="15"/>
      <c r="L144" s="20">
        <f>+D144-H144</f>
        <v>147941.37</v>
      </c>
      <c r="M144" s="15"/>
      <c r="N144" s="21">
        <f>IF(H144=0,0,L144/H144)</f>
        <v>1.3970445142572001</v>
      </c>
      <c r="O144" s="25"/>
      <c r="P144" s="20">
        <f>P12-P93</f>
        <v>1593365.6300000004</v>
      </c>
      <c r="Q144" s="13"/>
      <c r="R144" s="21">
        <f>IF(P$12=0,0,P144/P$12)</f>
        <v>0.3443045184909701</v>
      </c>
      <c r="S144" s="13"/>
      <c r="T144" s="20">
        <f>T12-T93</f>
        <v>1023368.910000002</v>
      </c>
      <c r="U144" s="13"/>
      <c r="V144" s="21">
        <f>IF(T$12=0,0,T144/T$12)</f>
        <v>0.25751872720544694</v>
      </c>
      <c r="W144" s="15"/>
      <c r="X144" s="20">
        <f>+P144-T144</f>
        <v>569996.71999999834</v>
      </c>
      <c r="Y144" s="15"/>
      <c r="Z144" s="21">
        <f>IF(T144=0,0,X144/T144)</f>
        <v>0.55698068842055914</v>
      </c>
    </row>
    <row r="145" spans="1:26" x14ac:dyDescent="0.3">
      <c r="A145" s="9"/>
      <c r="B145" s="10"/>
      <c r="C145" s="9"/>
      <c r="D145" s="1"/>
      <c r="E145" s="1"/>
      <c r="F145" s="5"/>
      <c r="G145" s="1"/>
      <c r="H145" s="1"/>
      <c r="I145" s="1"/>
      <c r="J145" s="5"/>
      <c r="K145" s="1"/>
      <c r="L145" s="1"/>
      <c r="M145" s="1"/>
      <c r="N145" s="5"/>
      <c r="O145" s="37"/>
      <c r="P145" s="1"/>
      <c r="Q145" s="1"/>
      <c r="R145" s="5"/>
      <c r="S145" s="1"/>
      <c r="T145" s="1"/>
      <c r="U145" s="1"/>
      <c r="V145" s="5"/>
      <c r="W145" s="1"/>
      <c r="X145" s="1"/>
      <c r="Y145" s="1"/>
      <c r="Z145" s="5"/>
    </row>
    <row r="146" spans="1:26" s="23" customFormat="1" x14ac:dyDescent="0.3">
      <c r="A146" s="10"/>
      <c r="B146" s="25" t="s">
        <v>294</v>
      </c>
      <c r="C146" s="10"/>
      <c r="D146" s="22">
        <f>SUM(OSRRefD22x_0)</f>
        <v>288966.49</v>
      </c>
      <c r="E146" s="22"/>
      <c r="F146" s="34">
        <f t="shared" ref="F146:F157" si="25">IF(D$12=0,0,D146/D$12)</f>
        <v>0.45739541165271896</v>
      </c>
      <c r="G146" s="22"/>
      <c r="H146" s="22">
        <f>SUM(OSRRefH22x_0)</f>
        <v>262468.05000000005</v>
      </c>
      <c r="I146" s="22"/>
      <c r="J146" s="34">
        <f t="shared" ref="J146:J157" si="26">IF(H$12=0,0,H146/H$12)</f>
        <v>0.83835957808738493</v>
      </c>
      <c r="K146" s="4"/>
      <c r="L146" s="22">
        <f t="shared" ref="L146:L157" si="27">+D146-H146</f>
        <v>26498.439999999944</v>
      </c>
      <c r="M146" s="4"/>
      <c r="N146" s="34">
        <f t="shared" ref="N146:N157" si="28">IF(H146=0,0,L146/H146)</f>
        <v>0.10095872621448568</v>
      </c>
      <c r="O146" s="10"/>
      <c r="P146" s="22">
        <f>SUM(OSRRefP22x_0)</f>
        <v>1952084.9199999997</v>
      </c>
      <c r="Q146" s="22"/>
      <c r="R146" s="34">
        <f t="shared" ref="R146:R157" si="29">IF(P$12=0,0,P146/P$12)</f>
        <v>0.42181885047569634</v>
      </c>
      <c r="S146" s="22"/>
      <c r="T146" s="22">
        <f>SUM(OSRRefT22x_0)</f>
        <v>1687651.5999999987</v>
      </c>
      <c r="U146" s="22"/>
      <c r="V146" s="34">
        <f t="shared" ref="V146:V157" si="30">IF(T$12=0,0,T146/T$12)</f>
        <v>0.4246776384854557</v>
      </c>
      <c r="W146" s="4"/>
      <c r="X146" s="22">
        <f t="shared" ref="X146:X157" si="31">+P146-T146</f>
        <v>264433.320000001</v>
      </c>
      <c r="Y146" s="4"/>
      <c r="Z146" s="34">
        <f t="shared" ref="Z146:Z157" si="32">IF(T146=0,0,X146/T146)</f>
        <v>0.15668715035733749</v>
      </c>
    </row>
    <row r="147" spans="1:26" s="29" customFormat="1" outlineLevel="1" collapsed="1" x14ac:dyDescent="0.3">
      <c r="A147" s="27"/>
      <c r="B147" s="14" t="str">
        <f>CONCATENATE("     ","*Benefits                                         ")</f>
        <v xml:space="preserve">     *Benefits                                         </v>
      </c>
      <c r="C147" s="14"/>
      <c r="D147" s="1">
        <f>SUM(OSRRefD22_0x_0)</f>
        <v>46521.07</v>
      </c>
      <c r="E147" s="1"/>
      <c r="F147" s="5">
        <f t="shared" si="25"/>
        <v>7.3636648883318459E-2</v>
      </c>
      <c r="G147" s="1"/>
      <c r="H147" s="1">
        <f>SUM(OSRRefH22_0x_0)</f>
        <v>46307.37000000001</v>
      </c>
      <c r="I147" s="1"/>
      <c r="J147" s="5">
        <f t="shared" si="26"/>
        <v>0.14791220179193781</v>
      </c>
      <c r="K147" s="1"/>
      <c r="L147" s="1">
        <f t="shared" si="27"/>
        <v>213.69999999998981</v>
      </c>
      <c r="M147" s="1"/>
      <c r="N147" s="5">
        <f t="shared" si="28"/>
        <v>4.6148161728897527E-3</v>
      </c>
      <c r="O147" s="14"/>
      <c r="P147" s="1">
        <f>SUM(OSRRefP22_0x_0)</f>
        <v>312520.95999999996</v>
      </c>
      <c r="Q147" s="1"/>
      <c r="R147" s="5">
        <f t="shared" si="29"/>
        <v>6.7531504775294862E-2</v>
      </c>
      <c r="S147" s="1"/>
      <c r="T147" s="1">
        <f>SUM(OSRRefT22_0x_0)</f>
        <v>285683.48</v>
      </c>
      <c r="U147" s="1"/>
      <c r="V147" s="5">
        <f t="shared" si="30"/>
        <v>7.1888881354840659E-2</v>
      </c>
      <c r="W147" s="1"/>
      <c r="X147" s="1">
        <f t="shared" si="31"/>
        <v>26837.479999999981</v>
      </c>
      <c r="Y147" s="1"/>
      <c r="Z147" s="5">
        <f t="shared" si="32"/>
        <v>9.3941308751909577E-2</v>
      </c>
    </row>
    <row r="148" spans="1:26" s="24" customFormat="1" hidden="1" outlineLevel="2" x14ac:dyDescent="0.3">
      <c r="A148" s="28"/>
      <c r="B148" s="11" t="str">
        <f>CONCATENATE("          ", "6111", " - ", "F.I.C.A.")</f>
        <v xml:space="preserve">          6111 - F.I.C.A.</v>
      </c>
      <c r="C148" s="11"/>
      <c r="D148" s="6">
        <v>7261.21</v>
      </c>
      <c r="E148" s="2"/>
      <c r="F148" s="7">
        <f t="shared" si="25"/>
        <v>1.1493526938181793E-2</v>
      </c>
      <c r="G148" s="2"/>
      <c r="H148" s="6">
        <v>7760.36</v>
      </c>
      <c r="I148" s="2"/>
      <c r="J148" s="7">
        <f t="shared" si="26"/>
        <v>2.4787672767813899E-2</v>
      </c>
      <c r="K148" s="2"/>
      <c r="L148" s="6">
        <f t="shared" si="27"/>
        <v>-499.14999999999964</v>
      </c>
      <c r="M148" s="2"/>
      <c r="N148" s="7">
        <f t="shared" si="28"/>
        <v>-6.4320469668932845E-2</v>
      </c>
      <c r="O148" s="11"/>
      <c r="P148" s="6">
        <v>59120.63</v>
      </c>
      <c r="Q148" s="2"/>
      <c r="R148" s="7">
        <f t="shared" si="29"/>
        <v>1.277515948742587E-2</v>
      </c>
      <c r="S148" s="2"/>
      <c r="T148" s="6">
        <v>58907.6</v>
      </c>
      <c r="U148" s="2"/>
      <c r="V148" s="7">
        <f t="shared" si="30"/>
        <v>1.4823403394898479E-2</v>
      </c>
      <c r="W148" s="2"/>
      <c r="X148" s="6">
        <f t="shared" si="31"/>
        <v>213.02999999999884</v>
      </c>
      <c r="Y148" s="2"/>
      <c r="Z148" s="7">
        <f t="shared" si="32"/>
        <v>3.6163415246928893E-3</v>
      </c>
    </row>
    <row r="149" spans="1:26" s="24" customFormat="1" hidden="1" outlineLevel="2" x14ac:dyDescent="0.3">
      <c r="A149" s="28"/>
      <c r="B149" s="11" t="str">
        <f>CONCATENATE("          ", "6112", " - ", "COMPENSATION INSURANCE")</f>
        <v xml:space="preserve">          6112 - COMPENSATION INSURANCE</v>
      </c>
      <c r="C149" s="11"/>
      <c r="D149" s="6">
        <v>2326.8200000000002</v>
      </c>
      <c r="E149" s="2"/>
      <c r="F149" s="7">
        <f t="shared" si="25"/>
        <v>3.6830457114310372E-3</v>
      </c>
      <c r="G149" s="2"/>
      <c r="H149" s="6">
        <v>3205.55</v>
      </c>
      <c r="I149" s="2"/>
      <c r="J149" s="7">
        <f t="shared" si="26"/>
        <v>1.0238974021935304E-2</v>
      </c>
      <c r="K149" s="2"/>
      <c r="L149" s="6">
        <f t="shared" si="27"/>
        <v>-878.73</v>
      </c>
      <c r="M149" s="2"/>
      <c r="N149" s="7">
        <f t="shared" si="28"/>
        <v>-0.27412768479668076</v>
      </c>
      <c r="O149" s="11"/>
      <c r="P149" s="6">
        <v>15762.26</v>
      </c>
      <c r="Q149" s="2"/>
      <c r="R149" s="7">
        <f t="shared" si="29"/>
        <v>3.4060087888487197E-3</v>
      </c>
      <c r="S149" s="2"/>
      <c r="T149" s="6">
        <v>16667.939999999999</v>
      </c>
      <c r="U149" s="2"/>
      <c r="V149" s="7">
        <f t="shared" si="30"/>
        <v>4.194290692236047E-3</v>
      </c>
      <c r="W149" s="2"/>
      <c r="X149" s="6">
        <f t="shared" si="31"/>
        <v>-905.67999999999847</v>
      </c>
      <c r="Y149" s="2"/>
      <c r="Z149" s="7">
        <f t="shared" si="32"/>
        <v>-5.4336648680040754E-2</v>
      </c>
    </row>
    <row r="150" spans="1:26" s="24" customFormat="1" hidden="1" outlineLevel="2" x14ac:dyDescent="0.3">
      <c r="A150" s="28"/>
      <c r="B150" s="11" t="str">
        <f>CONCATENATE("          ", "6113", " - ", "GROUP INSURANCE")</f>
        <v xml:space="preserve">          6113 - GROUP INSURANCE</v>
      </c>
      <c r="C150" s="11"/>
      <c r="D150" s="6">
        <v>17404.55</v>
      </c>
      <c r="E150" s="2"/>
      <c r="F150" s="7">
        <f t="shared" si="25"/>
        <v>2.7549081251187046E-2</v>
      </c>
      <c r="G150" s="2"/>
      <c r="H150" s="6">
        <v>16046.6</v>
      </c>
      <c r="I150" s="2"/>
      <c r="J150" s="7">
        <f t="shared" si="26"/>
        <v>5.1255079640120112E-2</v>
      </c>
      <c r="K150" s="2"/>
      <c r="L150" s="6">
        <f t="shared" si="27"/>
        <v>1357.9499999999989</v>
      </c>
      <c r="M150" s="2"/>
      <c r="N150" s="7">
        <f t="shared" si="28"/>
        <v>8.4625403512270436E-2</v>
      </c>
      <c r="O150" s="11"/>
      <c r="P150" s="6">
        <v>110557.45</v>
      </c>
      <c r="Q150" s="2"/>
      <c r="R150" s="7">
        <f t="shared" si="29"/>
        <v>2.3889952733472414E-2</v>
      </c>
      <c r="S150" s="2"/>
      <c r="T150" s="6">
        <v>94612.479999999996</v>
      </c>
      <c r="U150" s="2"/>
      <c r="V150" s="7">
        <f t="shared" si="30"/>
        <v>2.3808115713961599E-2</v>
      </c>
      <c r="W150" s="2"/>
      <c r="X150" s="6">
        <f t="shared" si="31"/>
        <v>15944.970000000001</v>
      </c>
      <c r="Y150" s="2"/>
      <c r="Z150" s="7">
        <f t="shared" si="32"/>
        <v>0.16852924688159535</v>
      </c>
    </row>
    <row r="151" spans="1:26" s="24" customFormat="1" hidden="1" outlineLevel="2" x14ac:dyDescent="0.3">
      <c r="A151" s="28"/>
      <c r="B151" s="11" t="str">
        <f>CONCATENATE("          ", "6114", " - ", "STATE UNEMPLOYMENT INSURANCE")</f>
        <v xml:space="preserve">          6114 - STATE UNEMPLOYMENT INSURANCE</v>
      </c>
      <c r="C151" s="11"/>
      <c r="D151" s="6">
        <v>418.44</v>
      </c>
      <c r="E151" s="2"/>
      <c r="F151" s="7">
        <f t="shared" si="25"/>
        <v>6.6233470895522774E-4</v>
      </c>
      <c r="G151" s="2"/>
      <c r="H151" s="6"/>
      <c r="I151" s="2"/>
      <c r="J151" s="7">
        <f t="shared" si="26"/>
        <v>0</v>
      </c>
      <c r="K151" s="2"/>
      <c r="L151" s="6">
        <f t="shared" si="27"/>
        <v>418.44</v>
      </c>
      <c r="M151" s="2"/>
      <c r="N151" s="7">
        <f t="shared" si="28"/>
        <v>0</v>
      </c>
      <c r="O151" s="11"/>
      <c r="P151" s="6">
        <v>2840.25</v>
      </c>
      <c r="Q151" s="2"/>
      <c r="R151" s="7">
        <f t="shared" si="29"/>
        <v>6.1373917588769479E-4</v>
      </c>
      <c r="S151" s="2"/>
      <c r="T151" s="6">
        <v>2064.96</v>
      </c>
      <c r="U151" s="2"/>
      <c r="V151" s="7">
        <f t="shared" si="30"/>
        <v>5.1962285128454673E-4</v>
      </c>
      <c r="W151" s="2"/>
      <c r="X151" s="6">
        <f t="shared" si="31"/>
        <v>775.29</v>
      </c>
      <c r="Y151" s="2"/>
      <c r="Z151" s="7">
        <f t="shared" si="32"/>
        <v>0.37545037192003716</v>
      </c>
    </row>
    <row r="152" spans="1:26" s="24" customFormat="1" hidden="1" outlineLevel="2" x14ac:dyDescent="0.3">
      <c r="A152" s="28"/>
      <c r="B152" s="11" t="str">
        <f>CONCATENATE("          ", "6115", " - ", "P.E.R.S.")</f>
        <v xml:space="preserve">          6115 - P.E.R.S.</v>
      </c>
      <c r="C152" s="11"/>
      <c r="D152" s="6">
        <v>5807</v>
      </c>
      <c r="E152" s="2"/>
      <c r="F152" s="7">
        <f t="shared" si="25"/>
        <v>9.1917064690350044E-3</v>
      </c>
      <c r="G152" s="2"/>
      <c r="H152" s="6">
        <v>6633.21</v>
      </c>
      <c r="I152" s="2"/>
      <c r="J152" s="7">
        <f t="shared" si="26"/>
        <v>2.1187398378450333E-2</v>
      </c>
      <c r="K152" s="2"/>
      <c r="L152" s="6">
        <f t="shared" si="27"/>
        <v>-826.21</v>
      </c>
      <c r="M152" s="2"/>
      <c r="N152" s="7">
        <f t="shared" si="28"/>
        <v>-0.12455658723302897</v>
      </c>
      <c r="O152" s="11"/>
      <c r="P152" s="6">
        <v>43295.54</v>
      </c>
      <c r="Q152" s="2"/>
      <c r="R152" s="7">
        <f t="shared" si="29"/>
        <v>9.3555739949697132E-3</v>
      </c>
      <c r="S152" s="2"/>
      <c r="T152" s="6">
        <v>41164.78</v>
      </c>
      <c r="U152" s="2"/>
      <c r="V152" s="7">
        <f t="shared" si="30"/>
        <v>1.0358631816645883E-2</v>
      </c>
      <c r="W152" s="2"/>
      <c r="X152" s="6">
        <f t="shared" si="31"/>
        <v>2130.760000000002</v>
      </c>
      <c r="Y152" s="2"/>
      <c r="Z152" s="7">
        <f t="shared" si="32"/>
        <v>5.1761724464457287E-2</v>
      </c>
    </row>
    <row r="153" spans="1:26" s="24" customFormat="1" hidden="1" outlineLevel="2" x14ac:dyDescent="0.3">
      <c r="A153" s="28"/>
      <c r="B153" s="11" t="str">
        <f>CONCATENATE("          ", "6116", " - ", "EDUCATIONAL BENEFITS")</f>
        <v xml:space="preserve">          6116 - EDUCATIONAL BENEFITS</v>
      </c>
      <c r="C153" s="11"/>
      <c r="D153" s="6"/>
      <c r="E153" s="2"/>
      <c r="F153" s="7">
        <f t="shared" si="25"/>
        <v>0</v>
      </c>
      <c r="G153" s="2"/>
      <c r="H153" s="6"/>
      <c r="I153" s="2"/>
      <c r="J153" s="7">
        <f t="shared" si="26"/>
        <v>0</v>
      </c>
      <c r="K153" s="2"/>
      <c r="L153" s="6">
        <f t="shared" si="27"/>
        <v>0</v>
      </c>
      <c r="M153" s="2"/>
      <c r="N153" s="7">
        <f t="shared" si="28"/>
        <v>0</v>
      </c>
      <c r="O153" s="11"/>
      <c r="P153" s="6"/>
      <c r="Q153" s="2"/>
      <c r="R153" s="7">
        <f t="shared" si="29"/>
        <v>0</v>
      </c>
      <c r="S153" s="2"/>
      <c r="T153" s="6">
        <v>0</v>
      </c>
      <c r="U153" s="2"/>
      <c r="V153" s="7">
        <f t="shared" si="30"/>
        <v>0</v>
      </c>
      <c r="W153" s="2"/>
      <c r="X153" s="6">
        <f t="shared" si="31"/>
        <v>0</v>
      </c>
      <c r="Y153" s="2"/>
      <c r="Z153" s="7">
        <f t="shared" si="32"/>
        <v>0</v>
      </c>
    </row>
    <row r="154" spans="1:26" s="24" customFormat="1" hidden="1" outlineLevel="2" x14ac:dyDescent="0.3">
      <c r="A154" s="28"/>
      <c r="B154" s="11" t="str">
        <f>CONCATENATE("          ", "6117", " - ", "RETIREMENT STAFF HOURLY")</f>
        <v xml:space="preserve">          6117 - RETIREMENT STAFF HOURLY</v>
      </c>
      <c r="C154" s="11"/>
      <c r="D154" s="6">
        <v>710.27</v>
      </c>
      <c r="E154" s="2"/>
      <c r="F154" s="7">
        <f t="shared" si="25"/>
        <v>1.1242626750062844E-3</v>
      </c>
      <c r="G154" s="2"/>
      <c r="H154" s="6">
        <v>611.42999999999995</v>
      </c>
      <c r="I154" s="2"/>
      <c r="J154" s="7">
        <f t="shared" si="26"/>
        <v>1.9529927426594194E-3</v>
      </c>
      <c r="K154" s="2"/>
      <c r="L154" s="6">
        <f t="shared" si="27"/>
        <v>98.840000000000032</v>
      </c>
      <c r="M154" s="2"/>
      <c r="N154" s="7">
        <f t="shared" si="28"/>
        <v>0.16165382791161709</v>
      </c>
      <c r="O154" s="11"/>
      <c r="P154" s="6">
        <v>3277.07</v>
      </c>
      <c r="Q154" s="2"/>
      <c r="R154" s="7">
        <f t="shared" si="29"/>
        <v>7.0813000303715805E-4</v>
      </c>
      <c r="S154" s="2"/>
      <c r="T154" s="6">
        <v>2839.16</v>
      </c>
      <c r="U154" s="2"/>
      <c r="V154" s="7">
        <f t="shared" si="30"/>
        <v>7.1444115840163178E-4</v>
      </c>
      <c r="W154" s="2"/>
      <c r="X154" s="6">
        <f t="shared" si="31"/>
        <v>437.91000000000031</v>
      </c>
      <c r="Y154" s="2"/>
      <c r="Z154" s="7">
        <f t="shared" si="32"/>
        <v>0.15423928204116721</v>
      </c>
    </row>
    <row r="155" spans="1:26" s="24" customFormat="1" hidden="1" outlineLevel="2" x14ac:dyDescent="0.3">
      <c r="A155" s="28"/>
      <c r="B155" s="11" t="str">
        <f>CONCATENATE("          ", "6118", " - ", "VACATION")</f>
        <v xml:space="preserve">          6118 - VACATION</v>
      </c>
      <c r="C155" s="11"/>
      <c r="D155" s="6">
        <v>5630.2</v>
      </c>
      <c r="E155" s="2"/>
      <c r="F155" s="7">
        <f t="shared" si="25"/>
        <v>8.9118556504151677E-3</v>
      </c>
      <c r="G155" s="2"/>
      <c r="H155" s="6">
        <v>6117.98</v>
      </c>
      <c r="I155" s="2"/>
      <c r="J155" s="7">
        <f t="shared" si="26"/>
        <v>1.9541681860123766E-2</v>
      </c>
      <c r="K155" s="2"/>
      <c r="L155" s="6">
        <f t="shared" si="27"/>
        <v>-487.77999999999975</v>
      </c>
      <c r="M155" s="2"/>
      <c r="N155" s="7">
        <f t="shared" si="28"/>
        <v>-7.9728930137071344E-2</v>
      </c>
      <c r="O155" s="11"/>
      <c r="P155" s="6">
        <v>35308.99</v>
      </c>
      <c r="Q155" s="2"/>
      <c r="R155" s="7">
        <f t="shared" si="29"/>
        <v>7.6297897804865266E-3</v>
      </c>
      <c r="S155" s="2"/>
      <c r="T155" s="6">
        <v>33975.79</v>
      </c>
      <c r="U155" s="2"/>
      <c r="V155" s="7">
        <f t="shared" si="30"/>
        <v>8.5496071955122564E-3</v>
      </c>
      <c r="W155" s="2"/>
      <c r="X155" s="6">
        <f t="shared" si="31"/>
        <v>1333.1999999999971</v>
      </c>
      <c r="Y155" s="2"/>
      <c r="Z155" s="7">
        <f t="shared" si="32"/>
        <v>3.9239705684547647E-2</v>
      </c>
    </row>
    <row r="156" spans="1:26" s="24" customFormat="1" hidden="1" outlineLevel="2" x14ac:dyDescent="0.3">
      <c r="A156" s="28"/>
      <c r="B156" s="11" t="str">
        <f>CONCATENATE("          ", "6119", " - ", "SICK LEAVE")</f>
        <v xml:space="preserve">          6119 - SICK LEAVE</v>
      </c>
      <c r="C156" s="11"/>
      <c r="D156" s="6">
        <v>4021.51</v>
      </c>
      <c r="E156" s="2"/>
      <c r="F156" s="7">
        <f t="shared" si="25"/>
        <v>6.3655139456326787E-3</v>
      </c>
      <c r="G156" s="2"/>
      <c r="H156" s="6">
        <v>4299.62</v>
      </c>
      <c r="I156" s="2"/>
      <c r="J156" s="7">
        <f t="shared" si="26"/>
        <v>1.3733586275114557E-2</v>
      </c>
      <c r="K156" s="2"/>
      <c r="L156" s="6">
        <f t="shared" si="27"/>
        <v>-278.10999999999967</v>
      </c>
      <c r="M156" s="2"/>
      <c r="N156" s="7">
        <f t="shared" si="28"/>
        <v>-6.4682460310445972E-2</v>
      </c>
      <c r="O156" s="11"/>
      <c r="P156" s="6">
        <v>25827.05</v>
      </c>
      <c r="Q156" s="2"/>
      <c r="R156" s="7">
        <f t="shared" si="29"/>
        <v>5.5808722410387425E-3</v>
      </c>
      <c r="S156" s="2"/>
      <c r="T156" s="6">
        <v>25065.4</v>
      </c>
      <c r="U156" s="2"/>
      <c r="V156" s="7">
        <f t="shared" si="30"/>
        <v>6.3074125487116838E-3</v>
      </c>
      <c r="W156" s="2"/>
      <c r="X156" s="6">
        <f t="shared" si="31"/>
        <v>761.64999999999782</v>
      </c>
      <c r="Y156" s="2"/>
      <c r="Z156" s="7">
        <f t="shared" si="32"/>
        <v>3.0386508892736513E-2</v>
      </c>
    </row>
    <row r="157" spans="1:26" s="24" customFormat="1" hidden="1" outlineLevel="2" x14ac:dyDescent="0.3">
      <c r="A157" s="28"/>
      <c r="B157" s="11" t="str">
        <f>CONCATENATE("          ", "6156", " - ", "EMPLOYEE MEALS")</f>
        <v xml:space="preserve">          6156 - EMPLOYEE MEALS</v>
      </c>
      <c r="C157" s="11"/>
      <c r="D157" s="6">
        <v>2941.07</v>
      </c>
      <c r="E157" s="2"/>
      <c r="F157" s="7">
        <f t="shared" si="25"/>
        <v>4.6553215334742175E-3</v>
      </c>
      <c r="G157" s="2"/>
      <c r="H157" s="6">
        <v>1632.62</v>
      </c>
      <c r="I157" s="2"/>
      <c r="J157" s="7">
        <f t="shared" si="26"/>
        <v>5.2148161057203948E-3</v>
      </c>
      <c r="K157" s="2"/>
      <c r="L157" s="6">
        <f t="shared" si="27"/>
        <v>1308.4500000000003</v>
      </c>
      <c r="M157" s="2"/>
      <c r="N157" s="7">
        <f t="shared" si="28"/>
        <v>0.80144185419754777</v>
      </c>
      <c r="O157" s="11"/>
      <c r="P157" s="6">
        <v>16531.72</v>
      </c>
      <c r="Q157" s="2"/>
      <c r="R157" s="7">
        <f t="shared" si="29"/>
        <v>3.572278570128025E-3</v>
      </c>
      <c r="S157" s="2"/>
      <c r="T157" s="6">
        <v>10385.370000000001</v>
      </c>
      <c r="U157" s="2"/>
      <c r="V157" s="7">
        <f t="shared" si="30"/>
        <v>2.6133559831885331E-3</v>
      </c>
      <c r="W157" s="2"/>
      <c r="X157" s="6">
        <f t="shared" si="31"/>
        <v>6146.35</v>
      </c>
      <c r="Y157" s="2"/>
      <c r="Z157" s="7">
        <f t="shared" si="32"/>
        <v>0.59182773459202709</v>
      </c>
    </row>
    <row r="158" spans="1:26" s="29" customFormat="1" outlineLevel="1" collapsed="1" x14ac:dyDescent="0.3">
      <c r="A158" s="27"/>
      <c r="B158" s="14" t="str">
        <f>CONCATENATE("     ","*Payroll                                          ")</f>
        <v xml:space="preserve">     *Payroll                                          </v>
      </c>
      <c r="C158" s="14"/>
      <c r="D158" s="1">
        <f>SUM(OSRRefD22_1x_0)</f>
        <v>158655.63</v>
      </c>
      <c r="E158" s="1"/>
      <c r="F158" s="5">
        <f t="shared" ref="F158:F165" si="33">IF(D$12=0,0,D158/D$12)</f>
        <v>0.2511307009849878</v>
      </c>
      <c r="G158" s="1"/>
      <c r="H158" s="1">
        <f>SUM(OSRRefH22_1x_0)</f>
        <v>127761</v>
      </c>
      <c r="I158" s="1"/>
      <c r="J158" s="5">
        <f t="shared" ref="J158:J165" si="34">IF(H$12=0,0,H158/H$12)</f>
        <v>0.40808646254666942</v>
      </c>
      <c r="K158" s="1"/>
      <c r="L158" s="1">
        <f t="shared" ref="L158:L165" si="35">+D158-H158</f>
        <v>30894.630000000005</v>
      </c>
      <c r="M158" s="1"/>
      <c r="N158" s="5">
        <f t="shared" ref="N158:N165" si="36">IF(H158=0,0,L158/H158)</f>
        <v>0.2418158123370982</v>
      </c>
      <c r="O158" s="14"/>
      <c r="P158" s="1">
        <f>SUM(OSRRefP22_1x_0)</f>
        <v>1015170.2899999999</v>
      </c>
      <c r="Q158" s="1"/>
      <c r="R158" s="5">
        <f t="shared" ref="R158:R165" si="37">IF(P$12=0,0,P158/P$12)</f>
        <v>0.21936441410800883</v>
      </c>
      <c r="S158" s="1"/>
      <c r="T158" s="1">
        <f>SUM(OSRRefT22_1x_0)</f>
        <v>777650.6399999999</v>
      </c>
      <c r="U158" s="1"/>
      <c r="V158" s="5">
        <f t="shared" ref="V158:V165" si="38">IF(T$12=0,0,T158/T$12)</f>
        <v>0.19568662001203535</v>
      </c>
      <c r="W158" s="1"/>
      <c r="X158" s="1">
        <f t="shared" ref="X158:X165" si="39">+P158-T158</f>
        <v>237519.65000000002</v>
      </c>
      <c r="Y158" s="1"/>
      <c r="Z158" s="5">
        <f t="shared" ref="Z158:Z165" si="40">IF(T158=0,0,X158/T158)</f>
        <v>0.30543233398483416</v>
      </c>
    </row>
    <row r="159" spans="1:26" s="24" customFormat="1" hidden="1" outlineLevel="2" x14ac:dyDescent="0.3">
      <c r="A159" s="28"/>
      <c r="B159" s="11" t="str">
        <f>CONCATENATE("          ", "6001", " - ", "ADMINISTRATIVE SALARIES")</f>
        <v xml:space="preserve">          6001 - ADMINISTRATIVE SALARIES</v>
      </c>
      <c r="C159" s="11"/>
      <c r="D159" s="6">
        <v>4658.26</v>
      </c>
      <c r="E159" s="2"/>
      <c r="F159" s="7">
        <f t="shared" si="33"/>
        <v>7.3734042666518005E-3</v>
      </c>
      <c r="G159" s="2"/>
      <c r="H159" s="6">
        <v>3745.16</v>
      </c>
      <c r="I159" s="2"/>
      <c r="J159" s="7">
        <f t="shared" si="34"/>
        <v>1.1962563662395289E-2</v>
      </c>
      <c r="K159" s="2"/>
      <c r="L159" s="6">
        <f t="shared" si="35"/>
        <v>913.10000000000036</v>
      </c>
      <c r="M159" s="2"/>
      <c r="N159" s="7">
        <f t="shared" si="36"/>
        <v>0.24380800820258691</v>
      </c>
      <c r="O159" s="11"/>
      <c r="P159" s="6">
        <v>28334.77</v>
      </c>
      <c r="Q159" s="2"/>
      <c r="R159" s="7">
        <f t="shared" si="37"/>
        <v>6.1227562322920094E-3</v>
      </c>
      <c r="S159" s="2"/>
      <c r="T159" s="6">
        <v>24883.11</v>
      </c>
      <c r="U159" s="2"/>
      <c r="V159" s="7">
        <f t="shared" si="38"/>
        <v>6.2615414182487878E-3</v>
      </c>
      <c r="W159" s="2"/>
      <c r="X159" s="6">
        <f t="shared" si="39"/>
        <v>3451.66</v>
      </c>
      <c r="Y159" s="2"/>
      <c r="Z159" s="7">
        <f t="shared" si="40"/>
        <v>0.13871497574057262</v>
      </c>
    </row>
    <row r="160" spans="1:26" s="24" customFormat="1" hidden="1" outlineLevel="2" x14ac:dyDescent="0.3">
      <c r="A160" s="28"/>
      <c r="B160" s="11" t="str">
        <f>CONCATENATE("          ", "6002", " - ", "STAFF SALARIES")</f>
        <v xml:space="preserve">          6002 - STAFF SALARIES</v>
      </c>
      <c r="C160" s="11"/>
      <c r="D160" s="6">
        <v>53983.72</v>
      </c>
      <c r="E160" s="2"/>
      <c r="F160" s="7">
        <f t="shared" si="33"/>
        <v>8.5449028473665298E-2</v>
      </c>
      <c r="G160" s="2"/>
      <c r="H160" s="6">
        <v>62494.21</v>
      </c>
      <c r="I160" s="2"/>
      <c r="J160" s="7">
        <f t="shared" si="34"/>
        <v>0.19961522756200009</v>
      </c>
      <c r="K160" s="2"/>
      <c r="L160" s="6">
        <f t="shared" si="35"/>
        <v>-8510.489999999998</v>
      </c>
      <c r="M160" s="2"/>
      <c r="N160" s="7">
        <f t="shared" si="36"/>
        <v>-0.13618045575742133</v>
      </c>
      <c r="O160" s="11"/>
      <c r="P160" s="6">
        <v>353192.01</v>
      </c>
      <c r="Q160" s="2"/>
      <c r="R160" s="7">
        <f t="shared" si="37"/>
        <v>7.6319962379198483E-2</v>
      </c>
      <c r="S160" s="2"/>
      <c r="T160" s="6">
        <v>348749.54</v>
      </c>
      <c r="U160" s="2"/>
      <c r="V160" s="7">
        <f t="shared" si="38"/>
        <v>8.7758712207003556E-2</v>
      </c>
      <c r="W160" s="2"/>
      <c r="X160" s="6">
        <f t="shared" si="39"/>
        <v>4442.4700000000303</v>
      </c>
      <c r="Y160" s="2"/>
      <c r="Z160" s="7">
        <f t="shared" si="40"/>
        <v>1.2738282034723344E-2</v>
      </c>
    </row>
    <row r="161" spans="1:26" s="24" customFormat="1" hidden="1" outlineLevel="2" x14ac:dyDescent="0.3">
      <c r="A161" s="28"/>
      <c r="B161" s="11" t="str">
        <f>CONCATENATE("          ", "6004", " - ", "STAFF HOURLY")</f>
        <v xml:space="preserve">          6004 - STAFF HOURLY</v>
      </c>
      <c r="C161" s="11"/>
      <c r="D161" s="6">
        <v>24852.52</v>
      </c>
      <c r="E161" s="2"/>
      <c r="F161" s="7">
        <f t="shared" si="33"/>
        <v>3.9338224359535365E-2</v>
      </c>
      <c r="G161" s="2"/>
      <c r="H161" s="6">
        <v>19040.77</v>
      </c>
      <c r="I161" s="2"/>
      <c r="J161" s="7">
        <f t="shared" si="34"/>
        <v>6.0818876444805124E-2</v>
      </c>
      <c r="K161" s="2"/>
      <c r="L161" s="6">
        <f t="shared" si="35"/>
        <v>5811.75</v>
      </c>
      <c r="M161" s="2"/>
      <c r="N161" s="7">
        <f t="shared" si="36"/>
        <v>0.30522662686435476</v>
      </c>
      <c r="O161" s="11"/>
      <c r="P161" s="6">
        <v>150216.59</v>
      </c>
      <c r="Q161" s="2"/>
      <c r="R161" s="7">
        <f t="shared" si="37"/>
        <v>3.2459750427342574E-2</v>
      </c>
      <c r="S161" s="2"/>
      <c r="T161" s="6">
        <v>112373.07</v>
      </c>
      <c r="U161" s="2"/>
      <c r="V161" s="7">
        <f t="shared" si="38"/>
        <v>2.8277358903319175E-2</v>
      </c>
      <c r="W161" s="2"/>
      <c r="X161" s="6">
        <f t="shared" si="39"/>
        <v>37843.51999999999</v>
      </c>
      <c r="Y161" s="2"/>
      <c r="Z161" s="7">
        <f t="shared" si="40"/>
        <v>0.33676680720745628</v>
      </c>
    </row>
    <row r="162" spans="1:26" s="24" customFormat="1" hidden="1" outlineLevel="2" x14ac:dyDescent="0.3">
      <c r="A162" s="28"/>
      <c r="B162" s="11" t="str">
        <f>CONCATENATE("          ", "6005", " - ", "TEMPORARY WAGES-HOURLY")</f>
        <v xml:space="preserve">          6005 - TEMPORARY WAGES-HOURLY</v>
      </c>
      <c r="C162" s="11"/>
      <c r="D162" s="6">
        <v>8286.26</v>
      </c>
      <c r="E162" s="2"/>
      <c r="F162" s="7">
        <f t="shared" si="33"/>
        <v>1.3116044368194593E-2</v>
      </c>
      <c r="G162" s="2"/>
      <c r="H162" s="6">
        <v>9577.32</v>
      </c>
      <c r="I162" s="2"/>
      <c r="J162" s="7">
        <f t="shared" si="34"/>
        <v>3.0591296557458597E-2</v>
      </c>
      <c r="K162" s="2"/>
      <c r="L162" s="6">
        <f t="shared" si="35"/>
        <v>-1291.0599999999995</v>
      </c>
      <c r="M162" s="2"/>
      <c r="N162" s="7">
        <f t="shared" si="36"/>
        <v>-0.13480389085882058</v>
      </c>
      <c r="O162" s="11"/>
      <c r="P162" s="6">
        <v>59726.58</v>
      </c>
      <c r="Q162" s="2"/>
      <c r="R162" s="7">
        <f t="shared" si="37"/>
        <v>1.2906096994204903E-2</v>
      </c>
      <c r="S162" s="2"/>
      <c r="T162" s="6">
        <v>97643.45</v>
      </c>
      <c r="U162" s="2"/>
      <c r="V162" s="7">
        <f t="shared" si="38"/>
        <v>2.4570823598646013E-2</v>
      </c>
      <c r="W162" s="2"/>
      <c r="X162" s="6">
        <f t="shared" si="39"/>
        <v>-37916.869999999995</v>
      </c>
      <c r="Y162" s="2"/>
      <c r="Z162" s="7">
        <f t="shared" si="40"/>
        <v>-0.38831964663272339</v>
      </c>
    </row>
    <row r="163" spans="1:26" s="24" customFormat="1" hidden="1" outlineLevel="2" x14ac:dyDescent="0.3">
      <c r="A163" s="28"/>
      <c r="B163" s="11" t="str">
        <f>CONCATENATE("          ", "6006", " - ", "TEMPORARY PART TIME")</f>
        <v xml:space="preserve">          6006 - TEMPORARY PART TIME</v>
      </c>
      <c r="C163" s="11"/>
      <c r="D163" s="6"/>
      <c r="E163" s="2"/>
      <c r="F163" s="7">
        <f t="shared" si="33"/>
        <v>0</v>
      </c>
      <c r="G163" s="2"/>
      <c r="H163" s="6">
        <v>1432.35</v>
      </c>
      <c r="I163" s="2"/>
      <c r="J163" s="7">
        <f t="shared" si="34"/>
        <v>4.5751257788270439E-3</v>
      </c>
      <c r="K163" s="2"/>
      <c r="L163" s="6">
        <f t="shared" si="35"/>
        <v>-1432.35</v>
      </c>
      <c r="M163" s="2"/>
      <c r="N163" s="7">
        <f t="shared" si="36"/>
        <v>-1</v>
      </c>
      <c r="O163" s="11"/>
      <c r="P163" s="6">
        <v>9877.6200000000008</v>
      </c>
      <c r="Q163" s="2"/>
      <c r="R163" s="7">
        <f t="shared" si="37"/>
        <v>2.1344185753126707E-3</v>
      </c>
      <c r="S163" s="2"/>
      <c r="T163" s="6">
        <v>9987.9599999999991</v>
      </c>
      <c r="U163" s="2"/>
      <c r="V163" s="7">
        <f t="shared" si="38"/>
        <v>2.5133524396191696E-3</v>
      </c>
      <c r="W163" s="2"/>
      <c r="X163" s="6">
        <f t="shared" si="39"/>
        <v>-110.33999999999833</v>
      </c>
      <c r="Y163" s="2"/>
      <c r="Z163" s="7">
        <f t="shared" si="40"/>
        <v>-1.1047300950344048E-2</v>
      </c>
    </row>
    <row r="164" spans="1:26" s="24" customFormat="1" hidden="1" outlineLevel="2" x14ac:dyDescent="0.3">
      <c r="A164" s="28"/>
      <c r="B164" s="11" t="str">
        <f>CONCATENATE("          ", "6007", " - ", "STUDENT HOURLY")</f>
        <v xml:space="preserve">          6007 - STUDENT HOURLY</v>
      </c>
      <c r="C164" s="11"/>
      <c r="D164" s="6">
        <v>59174.55</v>
      </c>
      <c r="E164" s="2"/>
      <c r="F164" s="7">
        <f t="shared" si="33"/>
        <v>9.3665420016744508E-2</v>
      </c>
      <c r="G164" s="2"/>
      <c r="H164" s="6">
        <v>30388.03</v>
      </c>
      <c r="I164" s="2"/>
      <c r="J164" s="7">
        <f t="shared" si="34"/>
        <v>9.706360835045176E-2</v>
      </c>
      <c r="K164" s="2"/>
      <c r="L164" s="6">
        <f t="shared" si="35"/>
        <v>28786.520000000004</v>
      </c>
      <c r="M164" s="2"/>
      <c r="N164" s="7">
        <f t="shared" si="36"/>
        <v>0.94729799858694375</v>
      </c>
      <c r="O164" s="11"/>
      <c r="P164" s="6">
        <v>350384.75</v>
      </c>
      <c r="Q164" s="2"/>
      <c r="R164" s="7">
        <f t="shared" si="37"/>
        <v>7.5713351891071548E-2</v>
      </c>
      <c r="S164" s="2"/>
      <c r="T164" s="6">
        <v>179083.06</v>
      </c>
      <c r="U164" s="2"/>
      <c r="V164" s="7">
        <f t="shared" si="38"/>
        <v>4.5064141801275354E-2</v>
      </c>
      <c r="W164" s="2"/>
      <c r="X164" s="6">
        <f t="shared" si="39"/>
        <v>171301.69</v>
      </c>
      <c r="Y164" s="2"/>
      <c r="Z164" s="7">
        <f t="shared" si="40"/>
        <v>0.95654882153566068</v>
      </c>
    </row>
    <row r="165" spans="1:26" s="24" customFormat="1" hidden="1" outlineLevel="2" x14ac:dyDescent="0.3">
      <c r="A165" s="28"/>
      <c r="B165" s="11" t="str">
        <f>CONCATENATE("          ", "6008", " - ", "STUDENT HOURLY-FICA EXEMPT")</f>
        <v xml:space="preserve">          6008 - STUDENT HOURLY-FICA EXEMPT</v>
      </c>
      <c r="C165" s="11"/>
      <c r="D165" s="6">
        <v>7700.32</v>
      </c>
      <c r="E165" s="2"/>
      <c r="F165" s="7">
        <f t="shared" si="33"/>
        <v>1.218857950019625E-2</v>
      </c>
      <c r="G165" s="2"/>
      <c r="H165" s="6">
        <v>1083.1600000000001</v>
      </c>
      <c r="I165" s="2"/>
      <c r="J165" s="7">
        <f t="shared" si="34"/>
        <v>3.4597641907315262E-3</v>
      </c>
      <c r="K165" s="2"/>
      <c r="L165" s="6">
        <f t="shared" si="35"/>
        <v>6617.16</v>
      </c>
      <c r="M165" s="2"/>
      <c r="N165" s="7">
        <f t="shared" si="36"/>
        <v>6.1091251523320649</v>
      </c>
      <c r="O165" s="11"/>
      <c r="P165" s="6">
        <v>63437.97</v>
      </c>
      <c r="Q165" s="2"/>
      <c r="R165" s="7">
        <f t="shared" si="37"/>
        <v>1.3708077608586677E-2</v>
      </c>
      <c r="S165" s="2"/>
      <c r="T165" s="6">
        <v>4930.45</v>
      </c>
      <c r="U165" s="2"/>
      <c r="V165" s="7">
        <f t="shared" si="38"/>
        <v>1.2406896439233173E-3</v>
      </c>
      <c r="W165" s="2"/>
      <c r="X165" s="6">
        <f t="shared" si="39"/>
        <v>58507.520000000004</v>
      </c>
      <c r="Y165" s="2"/>
      <c r="Z165" s="7">
        <f t="shared" si="40"/>
        <v>11.866567960328165</v>
      </c>
    </row>
    <row r="166" spans="1:26" s="29" customFormat="1" outlineLevel="1" collapsed="1" x14ac:dyDescent="0.3">
      <c r="A166" s="27"/>
      <c r="B166" s="14" t="str">
        <f>CONCATENATE("     ","Advertising/Promo                                 ")</f>
        <v xml:space="preserve">     Advertising/Promo                                 </v>
      </c>
      <c r="C166" s="14"/>
      <c r="D166" s="1">
        <f>SUM(OSRRefD22_2x_0)</f>
        <v>722.3</v>
      </c>
      <c r="E166" s="1"/>
      <c r="F166" s="5">
        <f t="shared" ref="F166:F174" si="41">IF(D$12=0,0,D166/D$12)</f>
        <v>1.1433045604587538E-3</v>
      </c>
      <c r="G166" s="1"/>
      <c r="H166" s="1">
        <f>SUM(OSRRefH22_2x_0)</f>
        <v>343.98</v>
      </c>
      <c r="I166" s="1"/>
      <c r="J166" s="5">
        <f t="shared" ref="J166:J174" si="42">IF(H$12=0,0,H166/H$12)</f>
        <v>1.0987201210604439E-3</v>
      </c>
      <c r="K166" s="1"/>
      <c r="L166" s="1">
        <f t="shared" ref="L166:L174" si="43">+D166-H166</f>
        <v>378.31999999999994</v>
      </c>
      <c r="M166" s="1"/>
      <c r="N166" s="5">
        <f t="shared" ref="N166:N174" si="44">IF(H166=0,0,L166/H166)</f>
        <v>1.0998313855456709</v>
      </c>
      <c r="O166" s="14"/>
      <c r="P166" s="1">
        <f>SUM(OSRRefP22_2x_0)</f>
        <v>5673.12</v>
      </c>
      <c r="Q166" s="1"/>
      <c r="R166" s="5">
        <f t="shared" ref="R166:R174" si="45">IF(P$12=0,0,P166/P$12)</f>
        <v>1.2258836347194787E-3</v>
      </c>
      <c r="S166" s="1"/>
      <c r="T166" s="1">
        <f>SUM(OSRRefT22_2x_0)</f>
        <v>14951.39</v>
      </c>
      <c r="U166" s="1"/>
      <c r="V166" s="5">
        <f t="shared" ref="V166:V174" si="46">IF(T$12=0,0,T166/T$12)</f>
        <v>3.7623411119185159E-3</v>
      </c>
      <c r="W166" s="1"/>
      <c r="X166" s="1">
        <f t="shared" ref="X166:X174" si="47">+P166-T166</f>
        <v>-9278.27</v>
      </c>
      <c r="Y166" s="1"/>
      <c r="Z166" s="5">
        <f t="shared" ref="Z166:Z174" si="48">IF(T166=0,0,X166/T166)</f>
        <v>-0.62056236911752027</v>
      </c>
    </row>
    <row r="167" spans="1:26" s="24" customFormat="1" hidden="1" outlineLevel="2" x14ac:dyDescent="0.3">
      <c r="A167" s="28"/>
      <c r="B167" s="11" t="str">
        <f>CONCATENATE("          ", "6362", " - ", "ADVERTISING EXPENSE")</f>
        <v xml:space="preserve">          6362 - ADVERTISING EXPENSE</v>
      </c>
      <c r="C167" s="11"/>
      <c r="D167" s="6">
        <v>722.3</v>
      </c>
      <c r="E167" s="2"/>
      <c r="F167" s="7">
        <f t="shared" si="41"/>
        <v>1.1433045604587538E-3</v>
      </c>
      <c r="G167" s="2"/>
      <c r="H167" s="6">
        <v>343.98</v>
      </c>
      <c r="I167" s="2"/>
      <c r="J167" s="7">
        <f t="shared" si="42"/>
        <v>1.0987201210604439E-3</v>
      </c>
      <c r="K167" s="2"/>
      <c r="L167" s="6">
        <f t="shared" si="43"/>
        <v>378.31999999999994</v>
      </c>
      <c r="M167" s="2"/>
      <c r="N167" s="7">
        <f t="shared" si="44"/>
        <v>1.0998313855456709</v>
      </c>
      <c r="O167" s="11"/>
      <c r="P167" s="6">
        <v>5673.12</v>
      </c>
      <c r="Q167" s="2"/>
      <c r="R167" s="7">
        <f t="shared" si="45"/>
        <v>1.2258836347194787E-3</v>
      </c>
      <c r="S167" s="2"/>
      <c r="T167" s="6">
        <v>14951.39</v>
      </c>
      <c r="U167" s="2"/>
      <c r="V167" s="7">
        <f t="shared" si="46"/>
        <v>3.7623411119185159E-3</v>
      </c>
      <c r="W167" s="2"/>
      <c r="X167" s="6">
        <f t="shared" si="47"/>
        <v>-9278.27</v>
      </c>
      <c r="Y167" s="2"/>
      <c r="Z167" s="7">
        <f t="shared" si="48"/>
        <v>-0.62056236911752027</v>
      </c>
    </row>
    <row r="168" spans="1:26" s="29" customFormat="1" outlineLevel="1" collapsed="1" x14ac:dyDescent="0.3">
      <c r="A168" s="27"/>
      <c r="B168" s="14" t="str">
        <f>CONCATENATE("     ","Bad Debts/Over/Short                              ")</f>
        <v xml:space="preserve">     Bad Debts/Over/Short                              </v>
      </c>
      <c r="C168" s="14"/>
      <c r="D168" s="1">
        <f>SUM(OSRRefD22_3x_0)</f>
        <v>-24.66</v>
      </c>
      <c r="E168" s="1"/>
      <c r="F168" s="5">
        <f t="shared" si="41"/>
        <v>-3.9033490877631E-5</v>
      </c>
      <c r="G168" s="1"/>
      <c r="H168" s="1">
        <f>SUM(OSRRefH22_3x_0)</f>
        <v>-5.34</v>
      </c>
      <c r="I168" s="1"/>
      <c r="J168" s="5">
        <f t="shared" si="42"/>
        <v>-1.70567051760648E-5</v>
      </c>
      <c r="K168" s="1"/>
      <c r="L168" s="1">
        <f t="shared" si="43"/>
        <v>-19.32</v>
      </c>
      <c r="M168" s="1"/>
      <c r="N168" s="5">
        <f t="shared" si="44"/>
        <v>3.6179775280898876</v>
      </c>
      <c r="O168" s="14"/>
      <c r="P168" s="1">
        <f>SUM(OSRRefP22_3x_0)</f>
        <v>153.06</v>
      </c>
      <c r="Q168" s="1"/>
      <c r="R168" s="5">
        <f t="shared" si="45"/>
        <v>3.3074172436007593E-5</v>
      </c>
      <c r="S168" s="1"/>
      <c r="T168" s="1">
        <f>SUM(OSRRefT22_3x_0)</f>
        <v>45.96</v>
      </c>
      <c r="U168" s="1"/>
      <c r="V168" s="5">
        <f t="shared" si="46"/>
        <v>1.1565292424568886E-5</v>
      </c>
      <c r="W168" s="1"/>
      <c r="X168" s="1">
        <f t="shared" si="47"/>
        <v>107.1</v>
      </c>
      <c r="Y168" s="1"/>
      <c r="Z168" s="5">
        <f t="shared" si="48"/>
        <v>2.3302872062663185</v>
      </c>
    </row>
    <row r="169" spans="1:26" s="24" customFormat="1" hidden="1" outlineLevel="2" x14ac:dyDescent="0.3">
      <c r="A169" s="28"/>
      <c r="B169" s="11" t="str">
        <f>CONCATENATE("          ", "6272", " - ", "CASH (OVER/SHORT)")</f>
        <v xml:space="preserve">          6272 - CASH (OVER/SHORT)</v>
      </c>
      <c r="C169" s="11"/>
      <c r="D169" s="6">
        <v>-24.66</v>
      </c>
      <c r="E169" s="2"/>
      <c r="F169" s="7">
        <f t="shared" si="41"/>
        <v>-3.9033490877631E-5</v>
      </c>
      <c r="G169" s="2"/>
      <c r="H169" s="6">
        <v>-5.34</v>
      </c>
      <c r="I169" s="2"/>
      <c r="J169" s="7">
        <f t="shared" si="42"/>
        <v>-1.70567051760648E-5</v>
      </c>
      <c r="K169" s="2"/>
      <c r="L169" s="6">
        <f t="shared" si="43"/>
        <v>-19.32</v>
      </c>
      <c r="M169" s="2"/>
      <c r="N169" s="7">
        <f t="shared" si="44"/>
        <v>3.6179775280898876</v>
      </c>
      <c r="O169" s="11"/>
      <c r="P169" s="6">
        <v>153.06</v>
      </c>
      <c r="Q169" s="2"/>
      <c r="R169" s="7">
        <f t="shared" si="45"/>
        <v>3.3074172436007593E-5</v>
      </c>
      <c r="S169" s="2"/>
      <c r="T169" s="6">
        <v>45.96</v>
      </c>
      <c r="U169" s="2"/>
      <c r="V169" s="7">
        <f t="shared" si="46"/>
        <v>1.1565292424568886E-5</v>
      </c>
      <c r="W169" s="2"/>
      <c r="X169" s="6">
        <f t="shared" si="47"/>
        <v>107.1</v>
      </c>
      <c r="Y169" s="2"/>
      <c r="Z169" s="7">
        <f t="shared" si="48"/>
        <v>2.3302872062663185</v>
      </c>
    </row>
    <row r="170" spans="1:26" s="29" customFormat="1" outlineLevel="1" collapsed="1" x14ac:dyDescent="0.3">
      <c r="A170" s="27"/>
      <c r="B170" s="14" t="str">
        <f>CONCATENATE("     ","Bank/card Fees                                    ")</f>
        <v xml:space="preserve">     Bank/card Fees                                    </v>
      </c>
      <c r="C170" s="14"/>
      <c r="D170" s="1">
        <f>SUM(OSRRefD22_4x_0)</f>
        <v>9159.44</v>
      </c>
      <c r="E170" s="1"/>
      <c r="F170" s="5">
        <f t="shared" si="41"/>
        <v>1.4498171844452901E-2</v>
      </c>
      <c r="G170" s="1"/>
      <c r="H170" s="1">
        <f>SUM(OSRRefH22_4x_0)</f>
        <v>5214.3999999999996</v>
      </c>
      <c r="I170" s="1"/>
      <c r="J170" s="5">
        <f t="shared" si="42"/>
        <v>1.6655521249077206E-2</v>
      </c>
      <c r="K170" s="1"/>
      <c r="L170" s="1">
        <f t="shared" si="43"/>
        <v>3945.0400000000009</v>
      </c>
      <c r="M170" s="1"/>
      <c r="N170" s="5">
        <f t="shared" si="44"/>
        <v>0.75656643142068136</v>
      </c>
      <c r="O170" s="14"/>
      <c r="P170" s="1">
        <f>SUM(OSRRefP22_4x_0)</f>
        <v>67366.59</v>
      </c>
      <c r="Q170" s="1"/>
      <c r="R170" s="5">
        <f t="shared" si="45"/>
        <v>1.4556998654683292E-2</v>
      </c>
      <c r="S170" s="1"/>
      <c r="T170" s="1">
        <f>SUM(OSRRefT22_4x_0)</f>
        <v>46796.78</v>
      </c>
      <c r="U170" s="1"/>
      <c r="V170" s="5">
        <f t="shared" si="46"/>
        <v>1.1775858251266683E-2</v>
      </c>
      <c r="W170" s="1"/>
      <c r="X170" s="1">
        <f t="shared" si="47"/>
        <v>20569.809999999998</v>
      </c>
      <c r="Y170" s="1"/>
      <c r="Z170" s="5">
        <f t="shared" si="48"/>
        <v>0.43955609766312975</v>
      </c>
    </row>
    <row r="171" spans="1:26" s="24" customFormat="1" hidden="1" outlineLevel="2" x14ac:dyDescent="0.3">
      <c r="A171" s="28"/>
      <c r="B171" s="11" t="str">
        <f>CONCATENATE("          ", "6381", " - ", "BANK/CREDIT CARD FEES")</f>
        <v xml:space="preserve">          6381 - BANK/CREDIT CARD FEES</v>
      </c>
      <c r="C171" s="11"/>
      <c r="D171" s="6">
        <v>9159.44</v>
      </c>
      <c r="E171" s="2"/>
      <c r="F171" s="7">
        <f t="shared" si="41"/>
        <v>1.4498171844452901E-2</v>
      </c>
      <c r="G171" s="2"/>
      <c r="H171" s="6">
        <v>5214.3999999999996</v>
      </c>
      <c r="I171" s="2"/>
      <c r="J171" s="7">
        <f t="shared" si="42"/>
        <v>1.6655521249077206E-2</v>
      </c>
      <c r="K171" s="2"/>
      <c r="L171" s="6">
        <f t="shared" si="43"/>
        <v>3945.0400000000009</v>
      </c>
      <c r="M171" s="2"/>
      <c r="N171" s="7">
        <f t="shared" si="44"/>
        <v>0.75656643142068136</v>
      </c>
      <c r="O171" s="11"/>
      <c r="P171" s="6">
        <v>67366.59</v>
      </c>
      <c r="Q171" s="2"/>
      <c r="R171" s="7">
        <f t="shared" si="45"/>
        <v>1.4556998654683292E-2</v>
      </c>
      <c r="S171" s="2"/>
      <c r="T171" s="6">
        <v>46796.78</v>
      </c>
      <c r="U171" s="2"/>
      <c r="V171" s="7">
        <f t="shared" si="46"/>
        <v>1.1775858251266683E-2</v>
      </c>
      <c r="W171" s="2"/>
      <c r="X171" s="6">
        <f t="shared" si="47"/>
        <v>20569.809999999998</v>
      </c>
      <c r="Y171" s="2"/>
      <c r="Z171" s="7">
        <f t="shared" si="48"/>
        <v>0.43955609766312975</v>
      </c>
    </row>
    <row r="172" spans="1:26" s="29" customFormat="1" outlineLevel="1" collapsed="1" x14ac:dyDescent="0.3">
      <c r="A172" s="27"/>
      <c r="B172" s="14" t="str">
        <f>CONCATENATE("     ","Depreciation                                      ")</f>
        <v xml:space="preserve">     Depreciation                                      </v>
      </c>
      <c r="C172" s="14"/>
      <c r="D172" s="1">
        <f>SUM(OSRRefD22_5x_0)</f>
        <v>30895.279999999999</v>
      </c>
      <c r="E172" s="1"/>
      <c r="F172" s="5">
        <f t="shared" si="41"/>
        <v>4.8903107463173376E-2</v>
      </c>
      <c r="G172" s="1"/>
      <c r="H172" s="1">
        <f>SUM(OSRRefH22_5x_0)</f>
        <v>31016.29</v>
      </c>
      <c r="I172" s="1"/>
      <c r="J172" s="5">
        <f t="shared" si="42"/>
        <v>9.9070358461671698E-2</v>
      </c>
      <c r="K172" s="1"/>
      <c r="L172" s="1">
        <f t="shared" si="43"/>
        <v>-121.01000000000204</v>
      </c>
      <c r="M172" s="1"/>
      <c r="N172" s="5">
        <f t="shared" si="44"/>
        <v>-3.9014982127134495E-3</v>
      </c>
      <c r="O172" s="14"/>
      <c r="P172" s="1">
        <f>SUM(OSRRefP22_5x_0)</f>
        <v>185689.22999999998</v>
      </c>
      <c r="Q172" s="1"/>
      <c r="R172" s="5">
        <f t="shared" si="45"/>
        <v>4.0124902734414436E-2</v>
      </c>
      <c r="S172" s="1"/>
      <c r="T172" s="1">
        <f>SUM(OSRRefT22_5x_0)</f>
        <v>186393.22999999998</v>
      </c>
      <c r="U172" s="1"/>
      <c r="V172" s="5">
        <f t="shared" si="46"/>
        <v>4.6903659941469229E-2</v>
      </c>
      <c r="W172" s="1"/>
      <c r="X172" s="1">
        <f t="shared" si="47"/>
        <v>-704</v>
      </c>
      <c r="Y172" s="1"/>
      <c r="Z172" s="5">
        <f t="shared" si="48"/>
        <v>-3.7769612125933979E-3</v>
      </c>
    </row>
    <row r="173" spans="1:26" s="24" customFormat="1" hidden="1" outlineLevel="2" x14ac:dyDescent="0.3">
      <c r="A173" s="28"/>
      <c r="B173" s="11" t="str">
        <f>CONCATENATE("          ", "6321", " - ", "BUILDING DEPRECIATION")</f>
        <v xml:space="preserve">          6321 - BUILDING DEPRECIATION</v>
      </c>
      <c r="C173" s="11"/>
      <c r="D173" s="6">
        <v>16396.509999999998</v>
      </c>
      <c r="E173" s="2"/>
      <c r="F173" s="7">
        <f t="shared" si="41"/>
        <v>2.5953488382400056E-2</v>
      </c>
      <c r="G173" s="2"/>
      <c r="H173" s="6">
        <v>16396.52</v>
      </c>
      <c r="I173" s="2"/>
      <c r="J173" s="7">
        <f t="shared" si="42"/>
        <v>5.2372772950084273E-2</v>
      </c>
      <c r="K173" s="2"/>
      <c r="L173" s="6">
        <f t="shared" si="43"/>
        <v>-1.0000000002037268E-2</v>
      </c>
      <c r="M173" s="2"/>
      <c r="N173" s="7">
        <f t="shared" si="44"/>
        <v>-6.0988551241588263E-7</v>
      </c>
      <c r="O173" s="11"/>
      <c r="P173" s="6">
        <v>98379.11</v>
      </c>
      <c r="Q173" s="2"/>
      <c r="R173" s="7">
        <f t="shared" si="45"/>
        <v>2.1258380035547884E-2</v>
      </c>
      <c r="S173" s="2"/>
      <c r="T173" s="6">
        <v>98379.12</v>
      </c>
      <c r="U173" s="2"/>
      <c r="V173" s="7">
        <f t="shared" si="46"/>
        <v>2.4755946285286191E-2</v>
      </c>
      <c r="W173" s="2"/>
      <c r="X173" s="6">
        <f t="shared" si="47"/>
        <v>-9.9999999947613105E-3</v>
      </c>
      <c r="Y173" s="2"/>
      <c r="Z173" s="7">
        <f t="shared" si="48"/>
        <v>-1.0164758532868875E-7</v>
      </c>
    </row>
    <row r="174" spans="1:26" s="24" customFormat="1" hidden="1" outlineLevel="2" x14ac:dyDescent="0.3">
      <c r="A174" s="28"/>
      <c r="B174" s="11" t="str">
        <f>CONCATENATE("          ", "6322", " - ", "EQUIPMENT DEPRECIATION EXPENSE")</f>
        <v xml:space="preserve">          6322 - EQUIPMENT DEPRECIATION EXPENSE</v>
      </c>
      <c r="C174" s="11"/>
      <c r="D174" s="6">
        <v>14498.77</v>
      </c>
      <c r="E174" s="2"/>
      <c r="F174" s="7">
        <f t="shared" si="41"/>
        <v>2.294961908077332E-2</v>
      </c>
      <c r="G174" s="2"/>
      <c r="H174" s="6">
        <v>14619.77</v>
      </c>
      <c r="I174" s="2"/>
      <c r="J174" s="7">
        <f t="shared" si="42"/>
        <v>4.6697585511587432E-2</v>
      </c>
      <c r="K174" s="2"/>
      <c r="L174" s="6">
        <f t="shared" si="43"/>
        <v>-121</v>
      </c>
      <c r="M174" s="2"/>
      <c r="N174" s="7">
        <f t="shared" si="44"/>
        <v>-8.2764639936195976E-3</v>
      </c>
      <c r="O174" s="11"/>
      <c r="P174" s="6">
        <v>87310.12</v>
      </c>
      <c r="Q174" s="2"/>
      <c r="R174" s="7">
        <f t="shared" si="45"/>
        <v>1.8866522698866559E-2</v>
      </c>
      <c r="S174" s="2"/>
      <c r="T174" s="6">
        <v>88014.11</v>
      </c>
      <c r="U174" s="2"/>
      <c r="V174" s="7">
        <f t="shared" si="46"/>
        <v>2.2147713656183041E-2</v>
      </c>
      <c r="W174" s="2"/>
      <c r="X174" s="6">
        <f t="shared" si="47"/>
        <v>-703.99000000000524</v>
      </c>
      <c r="Y174" s="2"/>
      <c r="Z174" s="7">
        <f t="shared" si="48"/>
        <v>-7.9986038602220168E-3</v>
      </c>
    </row>
    <row r="175" spans="1:26" s="29" customFormat="1" outlineLevel="1" collapsed="1" x14ac:dyDescent="0.3">
      <c r="A175" s="27"/>
      <c r="B175" s="14" t="str">
        <f>CONCATENATE("     ","Discounts and Markdowns                           ")</f>
        <v xml:space="preserve">     Discounts and Markdowns                           </v>
      </c>
      <c r="C175" s="14"/>
      <c r="D175" s="1">
        <f>SUM(OSRRefD22_6x_0)</f>
        <v>11.17</v>
      </c>
      <c r="E175" s="1"/>
      <c r="F175" s="5">
        <f t="shared" ref="F175:F177" si="49">IF(D$12=0,0,D175/D$12)</f>
        <v>1.7680620158278114E-5</v>
      </c>
      <c r="G175" s="1"/>
      <c r="H175" s="1">
        <f>SUM(OSRRefH22_6x_0)</f>
        <v>0</v>
      </c>
      <c r="I175" s="1"/>
      <c r="J175" s="5">
        <f t="shared" ref="J175:J177" si="50">IF(H$12=0,0,H175/H$12)</f>
        <v>0</v>
      </c>
      <c r="K175" s="1"/>
      <c r="L175" s="1">
        <f t="shared" ref="L175:L177" si="51">+D175-H175</f>
        <v>11.17</v>
      </c>
      <c r="M175" s="1"/>
      <c r="N175" s="5">
        <f t="shared" ref="N175:N177" si="52">IF(H175=0,0,L175/H175)</f>
        <v>0</v>
      </c>
      <c r="O175" s="14"/>
      <c r="P175" s="1">
        <f>SUM(OSRRefP22_6x_0)</f>
        <v>3354.8</v>
      </c>
      <c r="Q175" s="1"/>
      <c r="R175" s="5">
        <f t="shared" ref="R175:R177" si="53">IF(P$12=0,0,P175/P$12)</f>
        <v>7.2492639284148881E-4</v>
      </c>
      <c r="S175" s="1"/>
      <c r="T175" s="1">
        <f>SUM(OSRRefT22_6x_0)</f>
        <v>0</v>
      </c>
      <c r="U175" s="1"/>
      <c r="V175" s="5">
        <f t="shared" ref="V175:V177" si="54">IF(T$12=0,0,T175/T$12)</f>
        <v>0</v>
      </c>
      <c r="W175" s="1"/>
      <c r="X175" s="1">
        <f t="shared" ref="X175:X177" si="55">+P175-T175</f>
        <v>3354.8</v>
      </c>
      <c r="Y175" s="1"/>
      <c r="Z175" s="5">
        <f t="shared" ref="Z175:Z177" si="56">IF(T175=0,0,X175/T175)</f>
        <v>0</v>
      </c>
    </row>
    <row r="176" spans="1:26" s="24" customFormat="1" hidden="1" outlineLevel="2" x14ac:dyDescent="0.3">
      <c r="A176" s="28"/>
      <c r="B176" s="11" t="str">
        <f>CONCATENATE("          ", "6382", " - ", "DISCOUNTS/MARK DOWNS")</f>
        <v xml:space="preserve">          6382 - DISCOUNTS/MARK DOWNS</v>
      </c>
      <c r="C176" s="11"/>
      <c r="D176" s="6"/>
      <c r="E176" s="2"/>
      <c r="F176" s="7">
        <f t="shared" si="49"/>
        <v>0</v>
      </c>
      <c r="G176" s="2"/>
      <c r="H176" s="6">
        <v>0</v>
      </c>
      <c r="I176" s="2"/>
      <c r="J176" s="7">
        <f t="shared" si="50"/>
        <v>0</v>
      </c>
      <c r="K176" s="2"/>
      <c r="L176" s="6">
        <f t="shared" si="51"/>
        <v>0</v>
      </c>
      <c r="M176" s="2"/>
      <c r="N176" s="7">
        <f t="shared" si="52"/>
        <v>0</v>
      </c>
      <c r="O176" s="11"/>
      <c r="P176" s="6">
        <v>3410</v>
      </c>
      <c r="Q176" s="2"/>
      <c r="R176" s="7">
        <f t="shared" si="53"/>
        <v>7.3685435781253037E-4</v>
      </c>
      <c r="S176" s="2"/>
      <c r="T176" s="6">
        <v>0</v>
      </c>
      <c r="U176" s="2"/>
      <c r="V176" s="7">
        <f t="shared" si="54"/>
        <v>0</v>
      </c>
      <c r="W176" s="2"/>
      <c r="X176" s="6">
        <f t="shared" si="55"/>
        <v>3410</v>
      </c>
      <c r="Y176" s="2"/>
      <c r="Z176" s="7">
        <f t="shared" si="56"/>
        <v>0</v>
      </c>
    </row>
    <row r="177" spans="1:26" s="24" customFormat="1" hidden="1" outlineLevel="2" x14ac:dyDescent="0.3">
      <c r="A177" s="28"/>
      <c r="B177" s="11" t="str">
        <f>CONCATENATE("          ", "9175", " - ", "EARNED DISCOUNTS")</f>
        <v xml:space="preserve">          9175 - EARNED DISCOUNTS</v>
      </c>
      <c r="C177" s="11"/>
      <c r="D177" s="6">
        <v>11.17</v>
      </c>
      <c r="E177" s="2"/>
      <c r="F177" s="7">
        <f t="shared" si="49"/>
        <v>1.7680620158278114E-5</v>
      </c>
      <c r="G177" s="2"/>
      <c r="H177" s="6"/>
      <c r="I177" s="2"/>
      <c r="J177" s="7">
        <f t="shared" si="50"/>
        <v>0</v>
      </c>
      <c r="K177" s="2"/>
      <c r="L177" s="6">
        <f t="shared" si="51"/>
        <v>11.17</v>
      </c>
      <c r="M177" s="2"/>
      <c r="N177" s="7">
        <f t="shared" si="52"/>
        <v>0</v>
      </c>
      <c r="O177" s="11"/>
      <c r="P177" s="6">
        <v>-55.2</v>
      </c>
      <c r="Q177" s="2"/>
      <c r="R177" s="7">
        <f t="shared" si="53"/>
        <v>-1.1927964971041547E-5</v>
      </c>
      <c r="S177" s="2"/>
      <c r="T177" s="6">
        <v>0</v>
      </c>
      <c r="U177" s="2"/>
      <c r="V177" s="7">
        <f t="shared" si="54"/>
        <v>0</v>
      </c>
      <c r="W177" s="2"/>
      <c r="X177" s="6">
        <f t="shared" si="55"/>
        <v>-55.2</v>
      </c>
      <c r="Y177" s="2"/>
      <c r="Z177" s="7">
        <f t="shared" si="56"/>
        <v>0</v>
      </c>
    </row>
    <row r="178" spans="1:26" s="29" customFormat="1" outlineLevel="1" collapsed="1" x14ac:dyDescent="0.3">
      <c r="A178" s="27"/>
      <c r="B178" s="14" t="str">
        <f>CONCATENATE("     ","Donations                                         ")</f>
        <v xml:space="preserve">     Donations                                         </v>
      </c>
      <c r="C178" s="14"/>
      <c r="D178" s="1">
        <f>SUM(OSRRefD22_7x_0)</f>
        <v>0</v>
      </c>
      <c r="E178" s="1"/>
      <c r="F178" s="5">
        <f t="shared" ref="F178:F186" si="57">IF(D$12=0,0,D178/D$12)</f>
        <v>0</v>
      </c>
      <c r="G178" s="1"/>
      <c r="H178" s="1">
        <f>SUM(OSRRefH22_7x_0)</f>
        <v>0</v>
      </c>
      <c r="I178" s="1"/>
      <c r="J178" s="5">
        <f t="shared" ref="J178:J186" si="58">IF(H$12=0,0,H178/H$12)</f>
        <v>0</v>
      </c>
      <c r="K178" s="1"/>
      <c r="L178" s="1">
        <f t="shared" ref="L178:L186" si="59">+D178-H178</f>
        <v>0</v>
      </c>
      <c r="M178" s="1"/>
      <c r="N178" s="5">
        <f t="shared" ref="N178:N186" si="60">IF(H178=0,0,L178/H178)</f>
        <v>0</v>
      </c>
      <c r="O178" s="14"/>
      <c r="P178" s="1">
        <f>SUM(OSRRefP22_7x_0)</f>
        <v>2820.22</v>
      </c>
      <c r="Q178" s="1"/>
      <c r="R178" s="5">
        <f t="shared" ref="R178:R186" si="61">IF(P$12=0,0,P178/P$12)</f>
        <v>6.0941096685925347E-4</v>
      </c>
      <c r="S178" s="1"/>
      <c r="T178" s="1">
        <f>SUM(OSRRefT22_7x_0)</f>
        <v>0</v>
      </c>
      <c r="U178" s="1"/>
      <c r="V178" s="5">
        <f t="shared" ref="V178:V186" si="62">IF(T$12=0,0,T178/T$12)</f>
        <v>0</v>
      </c>
      <c r="W178" s="1"/>
      <c r="X178" s="1">
        <f t="shared" ref="X178:X186" si="63">+P178-T178</f>
        <v>2820.22</v>
      </c>
      <c r="Y178" s="1"/>
      <c r="Z178" s="5">
        <f t="shared" ref="Z178:Z186" si="64">IF(T178=0,0,X178/T178)</f>
        <v>0</v>
      </c>
    </row>
    <row r="179" spans="1:26" s="24" customFormat="1" hidden="1" outlineLevel="2" x14ac:dyDescent="0.3">
      <c r="A179" s="28"/>
      <c r="B179" s="11" t="str">
        <f>CONCATENATE("          ", "6399", " - ", "DONATION-ON CAMPUS")</f>
        <v xml:space="preserve">          6399 - DONATION-ON CAMPUS</v>
      </c>
      <c r="C179" s="11"/>
      <c r="D179" s="6"/>
      <c r="E179" s="2"/>
      <c r="F179" s="7">
        <f t="shared" si="57"/>
        <v>0</v>
      </c>
      <c r="G179" s="2"/>
      <c r="H179" s="6"/>
      <c r="I179" s="2"/>
      <c r="J179" s="7">
        <f t="shared" si="58"/>
        <v>0</v>
      </c>
      <c r="K179" s="2"/>
      <c r="L179" s="6">
        <f t="shared" si="59"/>
        <v>0</v>
      </c>
      <c r="M179" s="2"/>
      <c r="N179" s="7">
        <f t="shared" si="60"/>
        <v>0</v>
      </c>
      <c r="O179" s="11"/>
      <c r="P179" s="6">
        <v>2820.22</v>
      </c>
      <c r="Q179" s="2"/>
      <c r="R179" s="7">
        <f t="shared" si="61"/>
        <v>6.0941096685925347E-4</v>
      </c>
      <c r="S179" s="2"/>
      <c r="T179" s="6"/>
      <c r="U179" s="2"/>
      <c r="V179" s="7">
        <f t="shared" si="62"/>
        <v>0</v>
      </c>
      <c r="W179" s="2"/>
      <c r="X179" s="6">
        <f t="shared" si="63"/>
        <v>2820.22</v>
      </c>
      <c r="Y179" s="2"/>
      <c r="Z179" s="7">
        <f t="shared" si="64"/>
        <v>0</v>
      </c>
    </row>
    <row r="180" spans="1:26" s="29" customFormat="1" outlineLevel="1" collapsed="1" x14ac:dyDescent="0.3">
      <c r="A180" s="27"/>
      <c r="B180" s="14" t="str">
        <f>CONCATENATE("     ","Employees' Appreciation                           ")</f>
        <v xml:space="preserve">     Employees' Appreciation                           </v>
      </c>
      <c r="C180" s="14"/>
      <c r="D180" s="1">
        <f>SUM(OSRRefD22_8x_0)</f>
        <v>949.16</v>
      </c>
      <c r="E180" s="1"/>
      <c r="F180" s="5">
        <f t="shared" si="57"/>
        <v>1.5023936821335052E-3</v>
      </c>
      <c r="G180" s="1"/>
      <c r="H180" s="1">
        <f>SUM(OSRRefH22_8x_0)</f>
        <v>0</v>
      </c>
      <c r="I180" s="1"/>
      <c r="J180" s="5">
        <f t="shared" si="58"/>
        <v>0</v>
      </c>
      <c r="K180" s="1"/>
      <c r="L180" s="1">
        <f t="shared" si="59"/>
        <v>949.16</v>
      </c>
      <c r="M180" s="1"/>
      <c r="N180" s="5">
        <f t="shared" si="60"/>
        <v>0</v>
      </c>
      <c r="O180" s="14"/>
      <c r="P180" s="1">
        <f>SUM(OSRRefP22_8x_0)</f>
        <v>2823.81</v>
      </c>
      <c r="Q180" s="1"/>
      <c r="R180" s="5">
        <f t="shared" si="61"/>
        <v>6.1018671675501502E-4</v>
      </c>
      <c r="S180" s="1"/>
      <c r="T180" s="1">
        <f>SUM(OSRRefT22_8x_0)</f>
        <v>107.7</v>
      </c>
      <c r="U180" s="1"/>
      <c r="V180" s="5">
        <f t="shared" si="62"/>
        <v>2.7101435903526308E-5</v>
      </c>
      <c r="W180" s="1"/>
      <c r="X180" s="1">
        <f t="shared" si="63"/>
        <v>2716.11</v>
      </c>
      <c r="Y180" s="1"/>
      <c r="Z180" s="5">
        <f t="shared" si="64"/>
        <v>25.219220055710306</v>
      </c>
    </row>
    <row r="181" spans="1:26" s="24" customFormat="1" hidden="1" outlineLevel="2" x14ac:dyDescent="0.3">
      <c r="A181" s="28"/>
      <c r="B181" s="11" t="str">
        <f>CONCATENATE("          ", "6277", " - ", "EMPLOYEE APPRECIATION")</f>
        <v xml:space="preserve">          6277 - EMPLOYEE APPRECIATION</v>
      </c>
      <c r="C181" s="11"/>
      <c r="D181" s="6">
        <v>949.16</v>
      </c>
      <c r="E181" s="2"/>
      <c r="F181" s="7">
        <f t="shared" si="57"/>
        <v>1.5023936821335052E-3</v>
      </c>
      <c r="G181" s="2"/>
      <c r="H181" s="6"/>
      <c r="I181" s="2"/>
      <c r="J181" s="7">
        <f t="shared" si="58"/>
        <v>0</v>
      </c>
      <c r="K181" s="2"/>
      <c r="L181" s="6">
        <f t="shared" si="59"/>
        <v>949.16</v>
      </c>
      <c r="M181" s="2"/>
      <c r="N181" s="7">
        <f t="shared" si="60"/>
        <v>0</v>
      </c>
      <c r="O181" s="11"/>
      <c r="P181" s="6">
        <v>2823.81</v>
      </c>
      <c r="Q181" s="2"/>
      <c r="R181" s="7">
        <f t="shared" si="61"/>
        <v>6.1018671675501502E-4</v>
      </c>
      <c r="S181" s="2"/>
      <c r="T181" s="6">
        <v>107.7</v>
      </c>
      <c r="U181" s="2"/>
      <c r="V181" s="7">
        <f t="shared" si="62"/>
        <v>2.7101435903526308E-5</v>
      </c>
      <c r="W181" s="2"/>
      <c r="X181" s="6">
        <f t="shared" si="63"/>
        <v>2716.11</v>
      </c>
      <c r="Y181" s="2"/>
      <c r="Z181" s="7">
        <f t="shared" si="64"/>
        <v>25.219220055710306</v>
      </c>
    </row>
    <row r="182" spans="1:26" s="29" customFormat="1" outlineLevel="1" collapsed="1" x14ac:dyDescent="0.3">
      <c r="A182" s="27"/>
      <c r="B182" s="14" t="str">
        <f>CONCATENATE("     ","Equipment Rental                                  ")</f>
        <v xml:space="preserve">     Equipment Rental                                  </v>
      </c>
      <c r="C182" s="14"/>
      <c r="D182" s="1">
        <f>SUM(OSRRefD22_9x_0)</f>
        <v>1507.07</v>
      </c>
      <c r="E182" s="1"/>
      <c r="F182" s="5">
        <f t="shared" si="57"/>
        <v>2.3854907987409307E-3</v>
      </c>
      <c r="G182" s="1"/>
      <c r="H182" s="1">
        <f>SUM(OSRRefH22_9x_0)</f>
        <v>1296.9000000000001</v>
      </c>
      <c r="I182" s="1"/>
      <c r="J182" s="5">
        <f t="shared" si="58"/>
        <v>4.1424795773105693E-3</v>
      </c>
      <c r="K182" s="1"/>
      <c r="L182" s="1">
        <f t="shared" si="59"/>
        <v>210.16999999999985</v>
      </c>
      <c r="M182" s="1"/>
      <c r="N182" s="5">
        <f t="shared" si="60"/>
        <v>0.16205567121597642</v>
      </c>
      <c r="O182" s="14"/>
      <c r="P182" s="1">
        <f>SUM(OSRRefP22_9x_0)</f>
        <v>9830.52</v>
      </c>
      <c r="Q182" s="1"/>
      <c r="R182" s="5">
        <f t="shared" si="61"/>
        <v>2.1242409095493359E-3</v>
      </c>
      <c r="S182" s="1"/>
      <c r="T182" s="1">
        <f>SUM(OSRRefT22_9x_0)</f>
        <v>8976.74</v>
      </c>
      <c r="U182" s="1"/>
      <c r="V182" s="5">
        <f t="shared" si="62"/>
        <v>2.2588908424570169E-3</v>
      </c>
      <c r="W182" s="1"/>
      <c r="X182" s="1">
        <f t="shared" si="63"/>
        <v>853.78000000000065</v>
      </c>
      <c r="Y182" s="1"/>
      <c r="Z182" s="5">
        <f t="shared" si="64"/>
        <v>9.511025160581689E-2</v>
      </c>
    </row>
    <row r="183" spans="1:26" s="24" customFormat="1" hidden="1" outlineLevel="2" x14ac:dyDescent="0.3">
      <c r="A183" s="28"/>
      <c r="B183" s="11" t="str">
        <f>CONCATENATE("          ", "6351", " - ", "EQUIPMENT RENTAL")</f>
        <v xml:space="preserve">          6351 - EQUIPMENT RENTAL</v>
      </c>
      <c r="C183" s="11"/>
      <c r="D183" s="6">
        <v>1507.07</v>
      </c>
      <c r="E183" s="2"/>
      <c r="F183" s="7">
        <f t="shared" si="57"/>
        <v>2.3854907987409307E-3</v>
      </c>
      <c r="G183" s="2"/>
      <c r="H183" s="6">
        <v>1296.9000000000001</v>
      </c>
      <c r="I183" s="2"/>
      <c r="J183" s="7">
        <f t="shared" si="58"/>
        <v>4.1424795773105693E-3</v>
      </c>
      <c r="K183" s="2"/>
      <c r="L183" s="6">
        <f t="shared" si="59"/>
        <v>210.16999999999985</v>
      </c>
      <c r="M183" s="2"/>
      <c r="N183" s="7">
        <f t="shared" si="60"/>
        <v>0.16205567121597642</v>
      </c>
      <c r="O183" s="11"/>
      <c r="P183" s="6">
        <v>9830.52</v>
      </c>
      <c r="Q183" s="2"/>
      <c r="R183" s="7">
        <f t="shared" si="61"/>
        <v>2.1242409095493359E-3</v>
      </c>
      <c r="S183" s="2"/>
      <c r="T183" s="6">
        <v>8976.74</v>
      </c>
      <c r="U183" s="2"/>
      <c r="V183" s="7">
        <f t="shared" si="62"/>
        <v>2.2588908424570169E-3</v>
      </c>
      <c r="W183" s="2"/>
      <c r="X183" s="6">
        <f t="shared" si="63"/>
        <v>853.78000000000065</v>
      </c>
      <c r="Y183" s="2"/>
      <c r="Z183" s="7">
        <f t="shared" si="64"/>
        <v>9.511025160581689E-2</v>
      </c>
    </row>
    <row r="184" spans="1:26" s="29" customFormat="1" outlineLevel="1" collapsed="1" x14ac:dyDescent="0.3">
      <c r="A184" s="27"/>
      <c r="B184" s="14" t="str">
        <f>CONCATENATE("     ","Freight out/Postage                               ")</f>
        <v xml:space="preserve">     Freight out/Postage                               </v>
      </c>
      <c r="C184" s="14"/>
      <c r="D184" s="1">
        <f>SUM(OSRRefD22_10x_0)</f>
        <v>-2180.9800000000014</v>
      </c>
      <c r="E184" s="1"/>
      <c r="F184" s="5">
        <f t="shared" si="57"/>
        <v>-3.452200443402097E-3</v>
      </c>
      <c r="G184" s="1"/>
      <c r="H184" s="1">
        <f>SUM(OSRRefH22_10x_0)</f>
        <v>4349.5</v>
      </c>
      <c r="I184" s="1"/>
      <c r="J184" s="5">
        <f t="shared" si="58"/>
        <v>1.3892909955673004E-2</v>
      </c>
      <c r="K184" s="1"/>
      <c r="L184" s="1">
        <f t="shared" si="59"/>
        <v>-6530.4800000000014</v>
      </c>
      <c r="M184" s="1"/>
      <c r="N184" s="5">
        <f t="shared" si="60"/>
        <v>-1.5014323485458101</v>
      </c>
      <c r="O184" s="14"/>
      <c r="P184" s="1">
        <f>SUM(OSRRefP22_10x_0)</f>
        <v>-32045.08</v>
      </c>
      <c r="Q184" s="1"/>
      <c r="R184" s="5">
        <f t="shared" si="61"/>
        <v>-6.9245034734460881E-3</v>
      </c>
      <c r="S184" s="1"/>
      <c r="T184" s="1">
        <f>SUM(OSRRefT22_10x_0)</f>
        <v>-14177.689999999988</v>
      </c>
      <c r="U184" s="1"/>
      <c r="V184" s="5">
        <f t="shared" si="62"/>
        <v>-3.567648623909615E-3</v>
      </c>
      <c r="W184" s="1"/>
      <c r="X184" s="1">
        <f t="shared" si="63"/>
        <v>-17867.390000000014</v>
      </c>
      <c r="Y184" s="1"/>
      <c r="Z184" s="5">
        <f t="shared" si="64"/>
        <v>1.260246909052182</v>
      </c>
    </row>
    <row r="185" spans="1:26" s="24" customFormat="1" hidden="1" outlineLevel="2" x14ac:dyDescent="0.3">
      <c r="A185" s="28"/>
      <c r="B185" s="11" t="str">
        <f>CONCATENATE("          ", "6305", " - ", "FREIGHT OUT")</f>
        <v xml:space="preserve">          6305 - FREIGHT OUT</v>
      </c>
      <c r="C185" s="11"/>
      <c r="D185" s="6">
        <v>12270.64</v>
      </c>
      <c r="E185" s="2"/>
      <c r="F185" s="7">
        <f t="shared" si="57"/>
        <v>1.9422786476183861E-2</v>
      </c>
      <c r="G185" s="2"/>
      <c r="H185" s="6">
        <v>13756.07</v>
      </c>
      <c r="I185" s="2"/>
      <c r="J185" s="7">
        <f t="shared" si="58"/>
        <v>4.3938807185638522E-2</v>
      </c>
      <c r="K185" s="2"/>
      <c r="L185" s="6">
        <f t="shared" si="59"/>
        <v>-1485.4300000000003</v>
      </c>
      <c r="M185" s="2"/>
      <c r="N185" s="7">
        <f t="shared" si="60"/>
        <v>-0.10798360287494904</v>
      </c>
      <c r="O185" s="11"/>
      <c r="P185" s="6">
        <v>78221.39</v>
      </c>
      <c r="Q185" s="2"/>
      <c r="R185" s="7">
        <f t="shared" si="61"/>
        <v>1.6902572462068471E-2</v>
      </c>
      <c r="S185" s="2"/>
      <c r="T185" s="6">
        <v>117632.08</v>
      </c>
      <c r="U185" s="2"/>
      <c r="V185" s="7">
        <f t="shared" si="62"/>
        <v>2.9600726799614473E-2</v>
      </c>
      <c r="W185" s="2"/>
      <c r="X185" s="6">
        <f t="shared" si="63"/>
        <v>-39410.69</v>
      </c>
      <c r="Y185" s="2"/>
      <c r="Z185" s="7">
        <f t="shared" si="64"/>
        <v>-0.33503352146795329</v>
      </c>
    </row>
    <row r="186" spans="1:26" s="24" customFormat="1" hidden="1" outlineLevel="2" x14ac:dyDescent="0.3">
      <c r="A186" s="28"/>
      <c r="B186" s="11" t="str">
        <f>CONCATENATE("          ", "6307", " - ", "POSTAGE")</f>
        <v xml:space="preserve">          6307 - POSTAGE</v>
      </c>
      <c r="C186" s="11"/>
      <c r="D186" s="6">
        <v>-14451.62</v>
      </c>
      <c r="E186" s="2"/>
      <c r="F186" s="7">
        <f t="shared" si="57"/>
        <v>-2.2874986919585959E-2</v>
      </c>
      <c r="G186" s="2"/>
      <c r="H186" s="6">
        <v>-9406.57</v>
      </c>
      <c r="I186" s="2"/>
      <c r="J186" s="7">
        <f t="shared" si="58"/>
        <v>-3.0045897229965514E-2</v>
      </c>
      <c r="K186" s="2"/>
      <c r="L186" s="6">
        <f t="shared" si="59"/>
        <v>-5045.0500000000011</v>
      </c>
      <c r="M186" s="2"/>
      <c r="N186" s="7">
        <f t="shared" si="60"/>
        <v>0.53633258456589394</v>
      </c>
      <c r="O186" s="11"/>
      <c r="P186" s="6">
        <v>-110266.47</v>
      </c>
      <c r="Q186" s="2"/>
      <c r="R186" s="7">
        <f t="shared" si="61"/>
        <v>-2.3827075935514558E-2</v>
      </c>
      <c r="S186" s="2"/>
      <c r="T186" s="6">
        <v>-131809.76999999999</v>
      </c>
      <c r="U186" s="2"/>
      <c r="V186" s="7">
        <f t="shared" si="62"/>
        <v>-3.3168375423524091E-2</v>
      </c>
      <c r="W186" s="2"/>
      <c r="X186" s="6">
        <f t="shared" si="63"/>
        <v>21543.299999999988</v>
      </c>
      <c r="Y186" s="2"/>
      <c r="Z186" s="7">
        <f t="shared" si="64"/>
        <v>-0.16344236091148623</v>
      </c>
    </row>
    <row r="187" spans="1:26" s="29" customFormat="1" outlineLevel="1" collapsed="1" x14ac:dyDescent="0.3">
      <c r="A187" s="27"/>
      <c r="B187" s="14" t="str">
        <f>CONCATENATE("     ","General                                           ")</f>
        <v xml:space="preserve">     General                                           </v>
      </c>
      <c r="C187" s="14"/>
      <c r="D187" s="1">
        <f>SUM(OSRRefD22_11x_0)</f>
        <v>1002</v>
      </c>
      <c r="E187" s="1"/>
      <c r="F187" s="5">
        <f t="shared" ref="F187:F193" si="65">IF(D$12=0,0,D187/D$12)</f>
        <v>1.5860323543952256E-3</v>
      </c>
      <c r="G187" s="1"/>
      <c r="H187" s="1">
        <f>SUM(OSRRefH22_11x_0)</f>
        <v>1744.47</v>
      </c>
      <c r="I187" s="1"/>
      <c r="J187" s="5">
        <f t="shared" ref="J187:J193" si="66">IF(H$12=0,0,H187/H$12)</f>
        <v>5.5720806139493931E-3</v>
      </c>
      <c r="K187" s="1"/>
      <c r="L187" s="1">
        <f t="shared" ref="L187:L193" si="67">+D187-H187</f>
        <v>-742.47</v>
      </c>
      <c r="M187" s="1"/>
      <c r="N187" s="5">
        <f t="shared" ref="N187:N193" si="68">IF(H187=0,0,L187/H187)</f>
        <v>-0.42561351012055237</v>
      </c>
      <c r="O187" s="14"/>
      <c r="P187" s="1">
        <f>SUM(OSRRefP22_11x_0)</f>
        <v>4331.1899999999996</v>
      </c>
      <c r="Q187" s="1"/>
      <c r="R187" s="5">
        <f t="shared" ref="R187:R193" si="69">IF(P$12=0,0,P187/P$12)</f>
        <v>9.359109167196637E-4</v>
      </c>
      <c r="S187" s="1"/>
      <c r="T187" s="1">
        <f>SUM(OSRRefT22_11x_0)</f>
        <v>2260.2199999999998</v>
      </c>
      <c r="U187" s="1"/>
      <c r="V187" s="5">
        <f t="shared" ref="V187:V193" si="70">IF(T$12=0,0,T187/T$12)</f>
        <v>5.6875772941381822E-4</v>
      </c>
      <c r="W187" s="1"/>
      <c r="X187" s="1">
        <f t="shared" ref="X187:X193" si="71">+P187-T187</f>
        <v>2070.9699999999998</v>
      </c>
      <c r="Y187" s="1"/>
      <c r="Z187" s="5">
        <f t="shared" ref="Z187:Z193" si="72">IF(T187=0,0,X187/T187)</f>
        <v>0.91626921273150397</v>
      </c>
    </row>
    <row r="188" spans="1:26" s="24" customFormat="1" hidden="1" outlineLevel="2" x14ac:dyDescent="0.3">
      <c r="A188" s="28"/>
      <c r="B188" s="11" t="str">
        <f>CONCATENATE("          ", "6279", " - ", "GENERAL EXPENSE")</f>
        <v xml:space="preserve">          6279 - GENERAL EXPENSE</v>
      </c>
      <c r="C188" s="11"/>
      <c r="D188" s="6">
        <v>1002</v>
      </c>
      <c r="E188" s="2"/>
      <c r="F188" s="7">
        <f t="shared" si="65"/>
        <v>1.5860323543952256E-3</v>
      </c>
      <c r="G188" s="2"/>
      <c r="H188" s="6">
        <v>1744.47</v>
      </c>
      <c r="I188" s="2"/>
      <c r="J188" s="7">
        <f t="shared" si="66"/>
        <v>5.5720806139493931E-3</v>
      </c>
      <c r="K188" s="2"/>
      <c r="L188" s="6">
        <f t="shared" si="67"/>
        <v>-742.47</v>
      </c>
      <c r="M188" s="2"/>
      <c r="N188" s="7">
        <f t="shared" si="68"/>
        <v>-0.42561351012055237</v>
      </c>
      <c r="O188" s="11"/>
      <c r="P188" s="6">
        <v>4331.1899999999996</v>
      </c>
      <c r="Q188" s="2"/>
      <c r="R188" s="7">
        <f t="shared" si="69"/>
        <v>9.359109167196637E-4</v>
      </c>
      <c r="S188" s="2"/>
      <c r="T188" s="6">
        <v>2260.2199999999998</v>
      </c>
      <c r="U188" s="2"/>
      <c r="V188" s="7">
        <f t="shared" si="70"/>
        <v>5.6875772941381822E-4</v>
      </c>
      <c r="W188" s="2"/>
      <c r="X188" s="6">
        <f t="shared" si="71"/>
        <v>2070.9699999999998</v>
      </c>
      <c r="Y188" s="2"/>
      <c r="Z188" s="7">
        <f t="shared" si="72"/>
        <v>0.91626921273150397</v>
      </c>
    </row>
    <row r="189" spans="1:26" s="29" customFormat="1" outlineLevel="1" collapsed="1" x14ac:dyDescent="0.3">
      <c r="A189" s="27"/>
      <c r="B189" s="14" t="str">
        <f>CONCATENATE("     ","Insurance                                         ")</f>
        <v xml:space="preserve">     Insurance                                         </v>
      </c>
      <c r="C189" s="14"/>
      <c r="D189" s="1">
        <f>SUM(OSRRefD22_12x_0)</f>
        <v>5494.57</v>
      </c>
      <c r="E189" s="1"/>
      <c r="F189" s="5">
        <f t="shared" si="65"/>
        <v>8.697171450588197E-3</v>
      </c>
      <c r="G189" s="1"/>
      <c r="H189" s="1">
        <f>SUM(OSRRefH22_12x_0)</f>
        <v>4044.74</v>
      </c>
      <c r="I189" s="1"/>
      <c r="J189" s="5">
        <f t="shared" si="66"/>
        <v>1.29194639876098E-2</v>
      </c>
      <c r="K189" s="1"/>
      <c r="L189" s="1">
        <f t="shared" si="67"/>
        <v>1449.83</v>
      </c>
      <c r="M189" s="1"/>
      <c r="N189" s="5">
        <f t="shared" si="68"/>
        <v>0.35844825625380122</v>
      </c>
      <c r="O189" s="14"/>
      <c r="P189" s="1">
        <f>SUM(OSRRefP22_12x_0)</f>
        <v>32967.42</v>
      </c>
      <c r="Q189" s="1"/>
      <c r="R189" s="5">
        <f t="shared" si="69"/>
        <v>7.1238085316234507E-3</v>
      </c>
      <c r="S189" s="1"/>
      <c r="T189" s="1">
        <f>SUM(OSRRefT22_12x_0)</f>
        <v>24268.44</v>
      </c>
      <c r="U189" s="1"/>
      <c r="V189" s="5">
        <f t="shared" si="70"/>
        <v>6.1068669557899158E-3</v>
      </c>
      <c r="W189" s="1"/>
      <c r="X189" s="1">
        <f t="shared" si="71"/>
        <v>8698.98</v>
      </c>
      <c r="Y189" s="1"/>
      <c r="Z189" s="5">
        <f t="shared" si="72"/>
        <v>0.35844825625380122</v>
      </c>
    </row>
    <row r="190" spans="1:26" s="24" customFormat="1" hidden="1" outlineLevel="2" x14ac:dyDescent="0.3">
      <c r="A190" s="28"/>
      <c r="B190" s="11" t="str">
        <f>CONCATENATE("          ", "6314", " - ", "LIABILITY INSURANCE")</f>
        <v xml:space="preserve">          6314 - LIABILITY INSURANCE</v>
      </c>
      <c r="C190" s="11"/>
      <c r="D190" s="6">
        <v>5494.57</v>
      </c>
      <c r="E190" s="2"/>
      <c r="F190" s="7">
        <f t="shared" si="65"/>
        <v>8.697171450588197E-3</v>
      </c>
      <c r="G190" s="2"/>
      <c r="H190" s="6">
        <v>4044.74</v>
      </c>
      <c r="I190" s="2"/>
      <c r="J190" s="7">
        <f t="shared" si="66"/>
        <v>1.29194639876098E-2</v>
      </c>
      <c r="K190" s="2"/>
      <c r="L190" s="6">
        <f t="shared" si="67"/>
        <v>1449.83</v>
      </c>
      <c r="M190" s="2"/>
      <c r="N190" s="7">
        <f t="shared" si="68"/>
        <v>0.35844825625380122</v>
      </c>
      <c r="O190" s="11"/>
      <c r="P190" s="6">
        <v>32967.42</v>
      </c>
      <c r="Q190" s="2"/>
      <c r="R190" s="7">
        <f t="shared" si="69"/>
        <v>7.1238085316234507E-3</v>
      </c>
      <c r="S190" s="2"/>
      <c r="T190" s="6">
        <v>24268.44</v>
      </c>
      <c r="U190" s="2"/>
      <c r="V190" s="7">
        <f t="shared" si="70"/>
        <v>6.1068669557899158E-3</v>
      </c>
      <c r="W190" s="2"/>
      <c r="X190" s="6">
        <f t="shared" si="71"/>
        <v>8698.98</v>
      </c>
      <c r="Y190" s="2"/>
      <c r="Z190" s="7">
        <f t="shared" si="72"/>
        <v>0.35844825625380122</v>
      </c>
    </row>
    <row r="191" spans="1:26" s="29" customFormat="1" outlineLevel="1" collapsed="1" x14ac:dyDescent="0.3">
      <c r="A191" s="27"/>
      <c r="B191" s="14" t="str">
        <f>CONCATENATE("     ","Inventory Adjustment                              ")</f>
        <v xml:space="preserve">     Inventory Adjustment                              </v>
      </c>
      <c r="C191" s="14"/>
      <c r="D191" s="1">
        <f>SUM(OSRRefD22_13x_0)</f>
        <v>9440</v>
      </c>
      <c r="E191" s="1"/>
      <c r="F191" s="5">
        <f t="shared" si="65"/>
        <v>1.4942260903683563E-2</v>
      </c>
      <c r="G191" s="1"/>
      <c r="H191" s="1">
        <f>SUM(OSRRefH22_13x_0)</f>
        <v>8350</v>
      </c>
      <c r="I191" s="1"/>
      <c r="J191" s="5">
        <f t="shared" si="66"/>
        <v>2.6671065209764245E-2</v>
      </c>
      <c r="K191" s="1"/>
      <c r="L191" s="1">
        <f t="shared" si="67"/>
        <v>1090</v>
      </c>
      <c r="M191" s="1"/>
      <c r="N191" s="5">
        <f t="shared" si="68"/>
        <v>0.13053892215568863</v>
      </c>
      <c r="O191" s="14"/>
      <c r="P191" s="1">
        <f>SUM(OSRRefP22_13x_0)</f>
        <v>40240</v>
      </c>
      <c r="Q191" s="1"/>
      <c r="R191" s="5">
        <f t="shared" si="69"/>
        <v>8.6953135948317373E-3</v>
      </c>
      <c r="S191" s="1"/>
      <c r="T191" s="1">
        <f>SUM(OSRRefT22_13x_0)</f>
        <v>25100</v>
      </c>
      <c r="U191" s="1"/>
      <c r="V191" s="5">
        <f t="shared" si="70"/>
        <v>6.3161192309982381E-3</v>
      </c>
      <c r="W191" s="1"/>
      <c r="X191" s="1">
        <f t="shared" si="71"/>
        <v>15140</v>
      </c>
      <c r="Y191" s="1"/>
      <c r="Z191" s="5">
        <f t="shared" si="72"/>
        <v>0.60318725099601589</v>
      </c>
    </row>
    <row r="192" spans="1:26" s="24" customFormat="1" hidden="1" outlineLevel="2" x14ac:dyDescent="0.3">
      <c r="A192" s="28"/>
      <c r="B192" s="11" t="str">
        <f>CONCATENATE("          ", "6408", " - ", "INVENTORY ADJUSTMENT")</f>
        <v xml:space="preserve">          6408 - INVENTORY ADJUSTMENT</v>
      </c>
      <c r="C192" s="11"/>
      <c r="D192" s="6">
        <v>9440</v>
      </c>
      <c r="E192" s="2"/>
      <c r="F192" s="7">
        <f t="shared" si="65"/>
        <v>1.4942260903683563E-2</v>
      </c>
      <c r="G192" s="2"/>
      <c r="H192" s="6">
        <v>8350</v>
      </c>
      <c r="I192" s="2"/>
      <c r="J192" s="7">
        <f t="shared" si="66"/>
        <v>2.6671065209764245E-2</v>
      </c>
      <c r="K192" s="2"/>
      <c r="L192" s="6">
        <f t="shared" si="67"/>
        <v>1090</v>
      </c>
      <c r="M192" s="2"/>
      <c r="N192" s="7">
        <f t="shared" si="68"/>
        <v>0.13053892215568863</v>
      </c>
      <c r="O192" s="11"/>
      <c r="P192" s="6">
        <v>40240</v>
      </c>
      <c r="Q192" s="2"/>
      <c r="R192" s="7">
        <f t="shared" si="69"/>
        <v>8.6953135948317373E-3</v>
      </c>
      <c r="S192" s="2"/>
      <c r="T192" s="6">
        <v>25100</v>
      </c>
      <c r="U192" s="2"/>
      <c r="V192" s="7">
        <f t="shared" si="70"/>
        <v>6.3161192309982381E-3</v>
      </c>
      <c r="W192" s="2"/>
      <c r="X192" s="6">
        <f t="shared" si="71"/>
        <v>15140</v>
      </c>
      <c r="Y192" s="2"/>
      <c r="Z192" s="7">
        <f t="shared" si="72"/>
        <v>0.60318725099601589</v>
      </c>
    </row>
    <row r="193" spans="1:26" s="24" customFormat="1" hidden="1" outlineLevel="2" x14ac:dyDescent="0.3">
      <c r="A193" s="28"/>
      <c r="B193" s="11" t="str">
        <f>CONCATENATE("          ", "7741", " - ", "INV. SHRINKAGE-LOGO GIFTS")</f>
        <v xml:space="preserve">          7741 - INV. SHRINKAGE-LOGO GIFTS</v>
      </c>
      <c r="C193" s="11"/>
      <c r="D193" s="6"/>
      <c r="E193" s="2"/>
      <c r="F193" s="7">
        <f t="shared" si="65"/>
        <v>0</v>
      </c>
      <c r="G193" s="2"/>
      <c r="H193" s="6"/>
      <c r="I193" s="2"/>
      <c r="J193" s="7">
        <f t="shared" si="66"/>
        <v>0</v>
      </c>
      <c r="K193" s="2"/>
      <c r="L193" s="6">
        <f t="shared" si="67"/>
        <v>0</v>
      </c>
      <c r="M193" s="2"/>
      <c r="N193" s="7">
        <f t="shared" si="68"/>
        <v>0</v>
      </c>
      <c r="O193" s="11"/>
      <c r="P193" s="6"/>
      <c r="Q193" s="2"/>
      <c r="R193" s="7">
        <f t="shared" si="69"/>
        <v>0</v>
      </c>
      <c r="S193" s="2"/>
      <c r="T193" s="6">
        <v>0</v>
      </c>
      <c r="U193" s="2"/>
      <c r="V193" s="7">
        <f t="shared" si="70"/>
        <v>0</v>
      </c>
      <c r="W193" s="2"/>
      <c r="X193" s="6">
        <f t="shared" si="71"/>
        <v>0</v>
      </c>
      <c r="Y193" s="2"/>
      <c r="Z193" s="7">
        <f t="shared" si="72"/>
        <v>0</v>
      </c>
    </row>
    <row r="194" spans="1:26" s="29" customFormat="1" outlineLevel="1" collapsed="1" x14ac:dyDescent="0.3">
      <c r="A194" s="27"/>
      <c r="B194" s="14" t="str">
        <f>CONCATENATE("     ","Professional Services                             ")</f>
        <v xml:space="preserve">     Professional Services                             </v>
      </c>
      <c r="C194" s="14"/>
      <c r="D194" s="1">
        <f>SUM(OSRRefD22_14x_0)</f>
        <v>0</v>
      </c>
      <c r="E194" s="1"/>
      <c r="F194" s="5">
        <f t="shared" ref="F194:F202" si="73">IF(D$12=0,0,D194/D$12)</f>
        <v>0</v>
      </c>
      <c r="G194" s="1"/>
      <c r="H194" s="1">
        <f>SUM(OSRRefH22_14x_0)</f>
        <v>0</v>
      </c>
      <c r="I194" s="1"/>
      <c r="J194" s="5">
        <f t="shared" ref="J194:J202" si="74">IF(H$12=0,0,H194/H$12)</f>
        <v>0</v>
      </c>
      <c r="K194" s="1"/>
      <c r="L194" s="1">
        <f t="shared" ref="L194:L202" si="75">+D194-H194</f>
        <v>0</v>
      </c>
      <c r="M194" s="1"/>
      <c r="N194" s="5">
        <f t="shared" ref="N194:N202" si="76">IF(H194=0,0,L194/H194)</f>
        <v>0</v>
      </c>
      <c r="O194" s="14"/>
      <c r="P194" s="1">
        <f>SUM(OSRRefP22_14x_0)</f>
        <v>8186.53</v>
      </c>
      <c r="Q194" s="1"/>
      <c r="R194" s="5">
        <f t="shared" ref="R194:R202" si="77">IF(P$12=0,0,P194/P$12)</f>
        <v>1.7689971571445788E-3</v>
      </c>
      <c r="S194" s="1"/>
      <c r="T194" s="1">
        <f>SUM(OSRRefT22_14x_0)</f>
        <v>0</v>
      </c>
      <c r="U194" s="1"/>
      <c r="V194" s="5">
        <f t="shared" ref="V194:V202" si="78">IF(T$12=0,0,T194/T$12)</f>
        <v>0</v>
      </c>
      <c r="W194" s="1"/>
      <c r="X194" s="1">
        <f t="shared" ref="X194:X202" si="79">+P194-T194</f>
        <v>8186.53</v>
      </c>
      <c r="Y194" s="1"/>
      <c r="Z194" s="5">
        <f t="shared" ref="Z194:Z202" si="80">IF(T194=0,0,X194/T194)</f>
        <v>0</v>
      </c>
    </row>
    <row r="195" spans="1:26" s="24" customFormat="1" hidden="1" outlineLevel="2" x14ac:dyDescent="0.3">
      <c r="A195" s="28"/>
      <c r="B195" s="11" t="str">
        <f>CONCATENATE("          ", "6336", " - ", "PROFESSIONAL SERVICES")</f>
        <v xml:space="preserve">          6336 - PROFESSIONAL SERVICES</v>
      </c>
      <c r="C195" s="11"/>
      <c r="D195" s="6"/>
      <c r="E195" s="2"/>
      <c r="F195" s="7">
        <f t="shared" si="73"/>
        <v>0</v>
      </c>
      <c r="G195" s="2"/>
      <c r="H195" s="6"/>
      <c r="I195" s="2"/>
      <c r="J195" s="7">
        <f t="shared" si="74"/>
        <v>0</v>
      </c>
      <c r="K195" s="2"/>
      <c r="L195" s="6">
        <f t="shared" si="75"/>
        <v>0</v>
      </c>
      <c r="M195" s="2"/>
      <c r="N195" s="7">
        <f t="shared" si="76"/>
        <v>0</v>
      </c>
      <c r="O195" s="11"/>
      <c r="P195" s="6">
        <v>8186.53</v>
      </c>
      <c r="Q195" s="2"/>
      <c r="R195" s="7">
        <f t="shared" si="77"/>
        <v>1.7689971571445788E-3</v>
      </c>
      <c r="S195" s="2"/>
      <c r="T195" s="6"/>
      <c r="U195" s="2"/>
      <c r="V195" s="7">
        <f t="shared" si="78"/>
        <v>0</v>
      </c>
      <c r="W195" s="2"/>
      <c r="X195" s="6">
        <f t="shared" si="79"/>
        <v>8186.53</v>
      </c>
      <c r="Y195" s="2"/>
      <c r="Z195" s="7">
        <f t="shared" si="80"/>
        <v>0</v>
      </c>
    </row>
    <row r="196" spans="1:26" s="29" customFormat="1" outlineLevel="1" collapsed="1" x14ac:dyDescent="0.3">
      <c r="A196" s="27"/>
      <c r="B196" s="14" t="str">
        <f>CONCATENATE("     ","Rent                                              ")</f>
        <v xml:space="preserve">     Rent                                              </v>
      </c>
      <c r="C196" s="14"/>
      <c r="D196" s="1">
        <f>SUM(OSRRefD22_15x_0)</f>
        <v>6100</v>
      </c>
      <c r="E196" s="1"/>
      <c r="F196" s="5">
        <f t="shared" si="73"/>
        <v>9.6554863890328108E-3</v>
      </c>
      <c r="G196" s="1"/>
      <c r="H196" s="1">
        <f>SUM(OSRRefH22_15x_0)</f>
        <v>6100</v>
      </c>
      <c r="I196" s="1"/>
      <c r="J196" s="5">
        <f t="shared" si="74"/>
        <v>1.9484251231085256E-2</v>
      </c>
      <c r="K196" s="1"/>
      <c r="L196" s="1">
        <f t="shared" si="75"/>
        <v>0</v>
      </c>
      <c r="M196" s="1"/>
      <c r="N196" s="5">
        <f t="shared" si="76"/>
        <v>0</v>
      </c>
      <c r="O196" s="14"/>
      <c r="P196" s="1">
        <f>SUM(OSRRefP22_15x_0)</f>
        <v>36600</v>
      </c>
      <c r="Q196" s="1"/>
      <c r="R196" s="5">
        <f t="shared" si="77"/>
        <v>7.9087593829731996E-3</v>
      </c>
      <c r="S196" s="1"/>
      <c r="T196" s="1">
        <f>SUM(OSRRefT22_15x_0)</f>
        <v>36600</v>
      </c>
      <c r="U196" s="1"/>
      <c r="V196" s="5">
        <f t="shared" si="78"/>
        <v>9.2099587193042037E-3</v>
      </c>
      <c r="W196" s="1"/>
      <c r="X196" s="1">
        <f t="shared" si="79"/>
        <v>0</v>
      </c>
      <c r="Y196" s="1"/>
      <c r="Z196" s="5">
        <f t="shared" si="80"/>
        <v>0</v>
      </c>
    </row>
    <row r="197" spans="1:26" s="24" customFormat="1" hidden="1" outlineLevel="2" x14ac:dyDescent="0.3">
      <c r="A197" s="28"/>
      <c r="B197" s="11" t="str">
        <f>CONCATENATE("          ", "6273", " - ", "RENT")</f>
        <v xml:space="preserve">          6273 - RENT</v>
      </c>
      <c r="C197" s="11"/>
      <c r="D197" s="6">
        <v>6100</v>
      </c>
      <c r="E197" s="2"/>
      <c r="F197" s="7">
        <f t="shared" si="73"/>
        <v>9.6554863890328108E-3</v>
      </c>
      <c r="G197" s="2"/>
      <c r="H197" s="6">
        <v>6100</v>
      </c>
      <c r="I197" s="2"/>
      <c r="J197" s="7">
        <f t="shared" si="74"/>
        <v>1.9484251231085256E-2</v>
      </c>
      <c r="K197" s="2"/>
      <c r="L197" s="6">
        <f t="shared" si="75"/>
        <v>0</v>
      </c>
      <c r="M197" s="2"/>
      <c r="N197" s="7">
        <f t="shared" si="76"/>
        <v>0</v>
      </c>
      <c r="O197" s="11"/>
      <c r="P197" s="6">
        <v>36600</v>
      </c>
      <c r="Q197" s="2"/>
      <c r="R197" s="7">
        <f t="shared" si="77"/>
        <v>7.9087593829731996E-3</v>
      </c>
      <c r="S197" s="2"/>
      <c r="T197" s="6">
        <v>36600</v>
      </c>
      <c r="U197" s="2"/>
      <c r="V197" s="7">
        <f t="shared" si="78"/>
        <v>9.2099587193042037E-3</v>
      </c>
      <c r="W197" s="2"/>
      <c r="X197" s="6">
        <f t="shared" si="79"/>
        <v>0</v>
      </c>
      <c r="Y197" s="2"/>
      <c r="Z197" s="7">
        <f t="shared" si="80"/>
        <v>0</v>
      </c>
    </row>
    <row r="198" spans="1:26" s="29" customFormat="1" outlineLevel="1" collapsed="1" x14ac:dyDescent="0.3">
      <c r="A198" s="27"/>
      <c r="B198" s="14" t="str">
        <f>CONCATENATE("     ","Repair and Maintenance                            ")</f>
        <v xml:space="preserve">     Repair and Maintenance                            </v>
      </c>
      <c r="C198" s="14"/>
      <c r="D198" s="1">
        <f>SUM(OSRRefD22_16x_0)</f>
        <v>7012.15</v>
      </c>
      <c r="E198" s="1"/>
      <c r="F198" s="5">
        <f t="shared" si="73"/>
        <v>1.1099298177517446E-2</v>
      </c>
      <c r="G198" s="1"/>
      <c r="H198" s="1">
        <f>SUM(OSRRefH22_16x_0)</f>
        <v>7951.17</v>
      </c>
      <c r="I198" s="1"/>
      <c r="J198" s="5">
        <f t="shared" si="74"/>
        <v>2.5397146534601338E-2</v>
      </c>
      <c r="K198" s="1"/>
      <c r="L198" s="1">
        <f t="shared" si="75"/>
        <v>-939.02000000000044</v>
      </c>
      <c r="M198" s="1"/>
      <c r="N198" s="5">
        <f t="shared" si="76"/>
        <v>-0.11809834275961908</v>
      </c>
      <c r="O198" s="14"/>
      <c r="P198" s="1">
        <f>SUM(OSRRefP22_16x_0)</f>
        <v>97807.62</v>
      </c>
      <c r="Q198" s="1"/>
      <c r="R198" s="5">
        <f t="shared" si="77"/>
        <v>2.1134888863422872E-2</v>
      </c>
      <c r="S198" s="1"/>
      <c r="T198" s="1">
        <f>SUM(OSRRefT22_16x_0)</f>
        <v>109130.31999999999</v>
      </c>
      <c r="U198" s="1"/>
      <c r="V198" s="5">
        <f t="shared" si="78"/>
        <v>2.7461359077170983E-2</v>
      </c>
      <c r="W198" s="1"/>
      <c r="X198" s="1">
        <f t="shared" si="79"/>
        <v>-11322.699999999997</v>
      </c>
      <c r="Y198" s="1"/>
      <c r="Z198" s="5">
        <f t="shared" si="80"/>
        <v>-0.10375393382883875</v>
      </c>
    </row>
    <row r="199" spans="1:26" s="24" customFormat="1" hidden="1" outlineLevel="2" x14ac:dyDescent="0.3">
      <c r="A199" s="28"/>
      <c r="B199" s="11" t="str">
        <f>CONCATENATE("          ", "6371", " - ", "COMPUTER SOFTWARE MAINTENANCE")</f>
        <v xml:space="preserve">          6371 - COMPUTER SOFTWARE MAINTENANCE</v>
      </c>
      <c r="C199" s="11"/>
      <c r="D199" s="6"/>
      <c r="E199" s="2"/>
      <c r="F199" s="7">
        <f t="shared" si="73"/>
        <v>0</v>
      </c>
      <c r="G199" s="2"/>
      <c r="H199" s="6"/>
      <c r="I199" s="2"/>
      <c r="J199" s="7">
        <f t="shared" si="74"/>
        <v>0</v>
      </c>
      <c r="K199" s="2"/>
      <c r="L199" s="6">
        <f t="shared" si="75"/>
        <v>0</v>
      </c>
      <c r="M199" s="2"/>
      <c r="N199" s="7">
        <f t="shared" si="76"/>
        <v>0</v>
      </c>
      <c r="O199" s="11"/>
      <c r="P199" s="6">
        <v>62511</v>
      </c>
      <c r="Q199" s="2"/>
      <c r="R199" s="7">
        <f t="shared" si="77"/>
        <v>1.3507772070738734E-2</v>
      </c>
      <c r="S199" s="2"/>
      <c r="T199" s="6">
        <v>58436.47</v>
      </c>
      <c r="U199" s="2"/>
      <c r="V199" s="7">
        <f t="shared" si="78"/>
        <v>1.4704849082017994E-2</v>
      </c>
      <c r="W199" s="2"/>
      <c r="X199" s="6">
        <f t="shared" si="79"/>
        <v>4074.5299999999988</v>
      </c>
      <c r="Y199" s="2"/>
      <c r="Z199" s="7">
        <f t="shared" si="80"/>
        <v>6.972580650405473E-2</v>
      </c>
    </row>
    <row r="200" spans="1:26" s="24" customFormat="1" hidden="1" outlineLevel="2" x14ac:dyDescent="0.3">
      <c r="A200" s="28"/>
      <c r="B200" s="11" t="str">
        <f>CONCATENATE("          ", "6372", " - ", "COMPUTER HARDWARE MAINTENANCE")</f>
        <v xml:space="preserve">          6372 - COMPUTER HARDWARE MAINTENANCE</v>
      </c>
      <c r="C200" s="11"/>
      <c r="D200" s="6"/>
      <c r="E200" s="2"/>
      <c r="F200" s="7">
        <f t="shared" si="73"/>
        <v>0</v>
      </c>
      <c r="G200" s="2"/>
      <c r="H200" s="6"/>
      <c r="I200" s="2"/>
      <c r="J200" s="7">
        <f t="shared" si="74"/>
        <v>0</v>
      </c>
      <c r="K200" s="2"/>
      <c r="L200" s="6">
        <f t="shared" si="75"/>
        <v>0</v>
      </c>
      <c r="M200" s="2"/>
      <c r="N200" s="7">
        <f t="shared" si="76"/>
        <v>0</v>
      </c>
      <c r="O200" s="11"/>
      <c r="P200" s="6"/>
      <c r="Q200" s="2"/>
      <c r="R200" s="7">
        <f t="shared" si="77"/>
        <v>0</v>
      </c>
      <c r="S200" s="2"/>
      <c r="T200" s="6">
        <v>0</v>
      </c>
      <c r="U200" s="2"/>
      <c r="V200" s="7">
        <f t="shared" si="78"/>
        <v>0</v>
      </c>
      <c r="W200" s="2"/>
      <c r="X200" s="6">
        <f t="shared" si="79"/>
        <v>0</v>
      </c>
      <c r="Y200" s="2"/>
      <c r="Z200" s="7">
        <f t="shared" si="80"/>
        <v>0</v>
      </c>
    </row>
    <row r="201" spans="1:26" s="24" customFormat="1" hidden="1" outlineLevel="2" x14ac:dyDescent="0.3">
      <c r="A201" s="28"/>
      <c r="B201" s="11" t="str">
        <f>CONCATENATE("          ", "6373", " - ", "MAINTENANCE CONTRACTS")</f>
        <v xml:space="preserve">          6373 - MAINTENANCE CONTRACTS</v>
      </c>
      <c r="C201" s="11"/>
      <c r="D201" s="6">
        <v>2237.17</v>
      </c>
      <c r="E201" s="2"/>
      <c r="F201" s="7">
        <f t="shared" si="73"/>
        <v>3.5411417188446776E-3</v>
      </c>
      <c r="G201" s="2"/>
      <c r="H201" s="6">
        <v>7906.17</v>
      </c>
      <c r="I201" s="2"/>
      <c r="J201" s="7">
        <f t="shared" si="74"/>
        <v>2.525341025502776E-2</v>
      </c>
      <c r="K201" s="2"/>
      <c r="L201" s="6">
        <f t="shared" si="75"/>
        <v>-5669</v>
      </c>
      <c r="M201" s="2"/>
      <c r="N201" s="7">
        <f t="shared" si="76"/>
        <v>-0.71703492335732721</v>
      </c>
      <c r="O201" s="11"/>
      <c r="P201" s="6">
        <v>14483.17</v>
      </c>
      <c r="Q201" s="2"/>
      <c r="R201" s="7">
        <f t="shared" si="77"/>
        <v>3.1296149353195616E-3</v>
      </c>
      <c r="S201" s="2"/>
      <c r="T201" s="6">
        <v>38932.18</v>
      </c>
      <c r="U201" s="2"/>
      <c r="V201" s="7">
        <f t="shared" si="78"/>
        <v>9.7968243347683268E-3</v>
      </c>
      <c r="W201" s="2"/>
      <c r="X201" s="6">
        <f t="shared" si="79"/>
        <v>-24449.010000000002</v>
      </c>
      <c r="Y201" s="2"/>
      <c r="Z201" s="7">
        <f t="shared" si="80"/>
        <v>-0.62798975038130411</v>
      </c>
    </row>
    <row r="202" spans="1:26" s="24" customFormat="1" hidden="1" outlineLevel="2" x14ac:dyDescent="0.3">
      <c r="A202" s="28"/>
      <c r="B202" s="11" t="str">
        <f>CONCATENATE("          ", "6375", " - ", "OUTSIDE REPAIRS &amp; MAINTENANCE")</f>
        <v xml:space="preserve">          6375 - OUTSIDE REPAIRS &amp; MAINTENANCE</v>
      </c>
      <c r="C202" s="11"/>
      <c r="D202" s="6">
        <v>4774.9799999999996</v>
      </c>
      <c r="E202" s="2"/>
      <c r="F202" s="7">
        <f t="shared" si="73"/>
        <v>7.5581564586727681E-3</v>
      </c>
      <c r="G202" s="2"/>
      <c r="H202" s="6">
        <v>45</v>
      </c>
      <c r="I202" s="2"/>
      <c r="J202" s="7">
        <f t="shared" si="74"/>
        <v>1.4373627957357978E-4</v>
      </c>
      <c r="K202" s="2"/>
      <c r="L202" s="6">
        <f t="shared" si="75"/>
        <v>4729.9799999999996</v>
      </c>
      <c r="M202" s="2"/>
      <c r="N202" s="7">
        <f t="shared" si="76"/>
        <v>105.11066666666666</v>
      </c>
      <c r="O202" s="11"/>
      <c r="P202" s="6">
        <v>20813.45</v>
      </c>
      <c r="Q202" s="2"/>
      <c r="R202" s="7">
        <f t="shared" si="77"/>
        <v>4.4975018573645779E-3</v>
      </c>
      <c r="S202" s="2"/>
      <c r="T202" s="6">
        <v>11761.67</v>
      </c>
      <c r="U202" s="2"/>
      <c r="V202" s="7">
        <f t="shared" si="78"/>
        <v>2.9596856603846633E-3</v>
      </c>
      <c r="W202" s="2"/>
      <c r="X202" s="6">
        <f t="shared" si="79"/>
        <v>9051.7800000000007</v>
      </c>
      <c r="Y202" s="2"/>
      <c r="Z202" s="7">
        <f t="shared" si="80"/>
        <v>0.76959989525297012</v>
      </c>
    </row>
    <row r="203" spans="1:26" s="29" customFormat="1" outlineLevel="1" collapsed="1" x14ac:dyDescent="0.3">
      <c r="A203" s="27"/>
      <c r="B203" s="14" t="str">
        <f>CONCATENATE("     ","Royalty &amp; Commissions                             ")</f>
        <v xml:space="preserve">     Royalty &amp; Commissions                             </v>
      </c>
      <c r="C203" s="14"/>
      <c r="D203" s="1">
        <f>SUM(OSRRefD22_17x_0)</f>
        <v>1121.23</v>
      </c>
      <c r="E203" s="1"/>
      <c r="F203" s="5">
        <f t="shared" ref="F203:F206" si="81">IF(D$12=0,0,D203/D$12)</f>
        <v>1.7747575416352881E-3</v>
      </c>
      <c r="G203" s="1"/>
      <c r="H203" s="1">
        <f>SUM(OSRRefH22_17x_0)</f>
        <v>5.97</v>
      </c>
      <c r="I203" s="1"/>
      <c r="J203" s="5">
        <f t="shared" ref="J203:J206" si="82">IF(H$12=0,0,H203/H$12)</f>
        <v>1.9069013090094916E-5</v>
      </c>
      <c r="K203" s="1"/>
      <c r="L203" s="1">
        <f t="shared" ref="L203:L206" si="83">+D203-H203</f>
        <v>1115.26</v>
      </c>
      <c r="M203" s="1"/>
      <c r="N203" s="5">
        <f t="shared" ref="N203:N206" si="84">IF(H203=0,0,L203/H203)</f>
        <v>186.81072026800672</v>
      </c>
      <c r="O203" s="14"/>
      <c r="P203" s="1">
        <f>SUM(OSRRefP22_17x_0)</f>
        <v>21746.93</v>
      </c>
      <c r="Q203" s="1"/>
      <c r="R203" s="5">
        <f t="shared" ref="R203:R206" si="85">IF(P$12=0,0,P203/P$12)</f>
        <v>4.6992141171683438E-3</v>
      </c>
      <c r="S203" s="1"/>
      <c r="T203" s="1">
        <f>SUM(OSRRefT22_17x_0)</f>
        <v>28576.059999999998</v>
      </c>
      <c r="U203" s="1"/>
      <c r="V203" s="5">
        <f t="shared" ref="V203:V206" si="86">IF(T$12=0,0,T203/T$12)</f>
        <v>7.1908287694087449E-3</v>
      </c>
      <c r="W203" s="1"/>
      <c r="X203" s="1">
        <f t="shared" ref="X203:X206" si="87">+P203-T203</f>
        <v>-6829.1299999999974</v>
      </c>
      <c r="Y203" s="1"/>
      <c r="Z203" s="5">
        <f t="shared" ref="Z203:Z206" si="88">IF(T203=0,0,X203/T203)</f>
        <v>-0.23898081121050271</v>
      </c>
    </row>
    <row r="204" spans="1:26" s="24" customFormat="1" hidden="1" outlineLevel="2" x14ac:dyDescent="0.3">
      <c r="A204" s="28"/>
      <c r="B204" s="11" t="str">
        <f>CONCATENATE("          ", "6253", " - ", "ROYALTY DUE ATHLETICS-LRG")</f>
        <v xml:space="preserve">          6253 - ROYALTY DUE ATHLETICS-LRG</v>
      </c>
      <c r="C204" s="11"/>
      <c r="D204" s="6"/>
      <c r="E204" s="2"/>
      <c r="F204" s="7">
        <f t="shared" si="81"/>
        <v>0</v>
      </c>
      <c r="G204" s="2"/>
      <c r="H204" s="6"/>
      <c r="I204" s="2"/>
      <c r="J204" s="7">
        <f t="shared" si="82"/>
        <v>0</v>
      </c>
      <c r="K204" s="2"/>
      <c r="L204" s="6">
        <f t="shared" si="83"/>
        <v>0</v>
      </c>
      <c r="M204" s="2"/>
      <c r="N204" s="7">
        <f t="shared" si="84"/>
        <v>0</v>
      </c>
      <c r="O204" s="11"/>
      <c r="P204" s="6">
        <v>23160.29</v>
      </c>
      <c r="Q204" s="2"/>
      <c r="R204" s="7">
        <f t="shared" si="85"/>
        <v>5.0046218811442729E-3</v>
      </c>
      <c r="S204" s="2"/>
      <c r="T204" s="6">
        <v>18411.8</v>
      </c>
      <c r="U204" s="2"/>
      <c r="V204" s="7">
        <f t="shared" si="86"/>
        <v>4.6331125122427638E-3</v>
      </c>
      <c r="W204" s="2"/>
      <c r="X204" s="6">
        <f t="shared" si="87"/>
        <v>4748.4900000000016</v>
      </c>
      <c r="Y204" s="2"/>
      <c r="Z204" s="7">
        <f t="shared" si="88"/>
        <v>0.25790471328169989</v>
      </c>
    </row>
    <row r="205" spans="1:26" s="24" customFormat="1" hidden="1" outlineLevel="2" x14ac:dyDescent="0.3">
      <c r="A205" s="28"/>
      <c r="B205" s="11" t="str">
        <f>CONCATENATE("          ", "6254", " - ", "ROYALTY &amp; COMMISSIONS")</f>
        <v xml:space="preserve">          6254 - ROYALTY &amp; COMMISSIONS</v>
      </c>
      <c r="C205" s="11"/>
      <c r="D205" s="6">
        <v>0</v>
      </c>
      <c r="E205" s="2"/>
      <c r="F205" s="7">
        <f t="shared" si="81"/>
        <v>0</v>
      </c>
      <c r="G205" s="2"/>
      <c r="H205" s="6"/>
      <c r="I205" s="2"/>
      <c r="J205" s="7">
        <f t="shared" si="82"/>
        <v>0</v>
      </c>
      <c r="K205" s="2"/>
      <c r="L205" s="6">
        <f t="shared" si="83"/>
        <v>0</v>
      </c>
      <c r="M205" s="2"/>
      <c r="N205" s="7">
        <f t="shared" si="84"/>
        <v>0</v>
      </c>
      <c r="O205" s="11"/>
      <c r="P205" s="6">
        <v>-7027.5</v>
      </c>
      <c r="Q205" s="2"/>
      <c r="R205" s="7">
        <f t="shared" si="85"/>
        <v>-1.5185466274274361E-3</v>
      </c>
      <c r="S205" s="2"/>
      <c r="T205" s="6"/>
      <c r="U205" s="2"/>
      <c r="V205" s="7">
        <f t="shared" si="86"/>
        <v>0</v>
      </c>
      <c r="W205" s="2"/>
      <c r="X205" s="6">
        <f t="shared" si="87"/>
        <v>-7027.5</v>
      </c>
      <c r="Y205" s="2"/>
      <c r="Z205" s="7">
        <f t="shared" si="88"/>
        <v>0</v>
      </c>
    </row>
    <row r="206" spans="1:26" s="24" customFormat="1" hidden="1" outlineLevel="2" x14ac:dyDescent="0.3">
      <c r="A206" s="28"/>
      <c r="B206" s="11" t="str">
        <f>CONCATENATE("          ", "6259", " - ", "ROYALTY &amp; COMMISSIONS")</f>
        <v xml:space="preserve">          6259 - ROYALTY &amp; COMMISSIONS</v>
      </c>
      <c r="C206" s="11"/>
      <c r="D206" s="6">
        <v>1121.23</v>
      </c>
      <c r="E206" s="2"/>
      <c r="F206" s="7">
        <f t="shared" si="81"/>
        <v>1.7747575416352881E-3</v>
      </c>
      <c r="G206" s="2"/>
      <c r="H206" s="6">
        <v>5.97</v>
      </c>
      <c r="I206" s="2"/>
      <c r="J206" s="7">
        <f t="shared" si="82"/>
        <v>1.9069013090094916E-5</v>
      </c>
      <c r="K206" s="2"/>
      <c r="L206" s="6">
        <f t="shared" si="83"/>
        <v>1115.26</v>
      </c>
      <c r="M206" s="2"/>
      <c r="N206" s="7">
        <f t="shared" si="84"/>
        <v>186.81072026800672</v>
      </c>
      <c r="O206" s="11"/>
      <c r="P206" s="6">
        <v>5614.14</v>
      </c>
      <c r="Q206" s="2"/>
      <c r="R206" s="7">
        <f t="shared" si="85"/>
        <v>1.2131388634515072E-3</v>
      </c>
      <c r="S206" s="2"/>
      <c r="T206" s="6">
        <v>10164.26</v>
      </c>
      <c r="U206" s="2"/>
      <c r="V206" s="7">
        <f t="shared" si="86"/>
        <v>2.5577162571659823E-3</v>
      </c>
      <c r="W206" s="2"/>
      <c r="X206" s="6">
        <f t="shared" si="87"/>
        <v>-4550.12</v>
      </c>
      <c r="Y206" s="2"/>
      <c r="Z206" s="7">
        <f t="shared" si="88"/>
        <v>-0.44765875725335635</v>
      </c>
    </row>
    <row r="207" spans="1:26" s="29" customFormat="1" outlineLevel="1" collapsed="1" x14ac:dyDescent="0.3">
      <c r="A207" s="27"/>
      <c r="B207" s="14" t="str">
        <f>CONCATENATE("     ","Services                                          ")</f>
        <v xml:space="preserve">     Services                                          </v>
      </c>
      <c r="C207" s="14"/>
      <c r="D207" s="1">
        <f>SUM(OSRRefD22_18x_0)</f>
        <v>4823.41</v>
      </c>
      <c r="E207" s="1"/>
      <c r="F207" s="5">
        <f t="shared" ref="F207:F211" si="89">IF(D$12=0,0,D207/D$12)</f>
        <v>7.6348146891352039E-3</v>
      </c>
      <c r="G207" s="1"/>
      <c r="H207" s="1">
        <f>SUM(OSRRefH22_18x_0)</f>
        <v>2494.0299999999997</v>
      </c>
      <c r="I207" s="1"/>
      <c r="J207" s="5">
        <f t="shared" ref="J207:J211" si="90">IF(H$12=0,0,H207/H$12)</f>
        <v>7.9662798521087808E-3</v>
      </c>
      <c r="K207" s="1"/>
      <c r="L207" s="1">
        <f t="shared" ref="L207:L211" si="91">+D207-H207</f>
        <v>2329.38</v>
      </c>
      <c r="M207" s="1"/>
      <c r="N207" s="5">
        <f t="shared" ref="N207:N211" si="92">IF(H207=0,0,L207/H207)</f>
        <v>0.93398234985144535</v>
      </c>
      <c r="O207" s="14"/>
      <c r="P207" s="1">
        <f>SUM(OSRRefP22_18x_0)</f>
        <v>35786.99</v>
      </c>
      <c r="Q207" s="1"/>
      <c r="R207" s="5">
        <f t="shared" ref="R207:R211" si="93">IF(P$12=0,0,P207/P$12)</f>
        <v>7.7330790423734436E-3</v>
      </c>
      <c r="S207" s="1"/>
      <c r="T207" s="1">
        <f>SUM(OSRRefT22_18x_0)</f>
        <v>19183.75</v>
      </c>
      <c r="U207" s="1"/>
      <c r="V207" s="5">
        <f t="shared" ref="V207:V211" si="94">IF(T$12=0,0,T207/T$12)</f>
        <v>4.8273646333730066E-3</v>
      </c>
      <c r="W207" s="1"/>
      <c r="X207" s="1">
        <f t="shared" ref="X207:X211" si="95">+P207-T207</f>
        <v>16603.239999999998</v>
      </c>
      <c r="Y207" s="1"/>
      <c r="Z207" s="5">
        <f t="shared" ref="Z207:Z211" si="96">IF(T207=0,0,X207/T207)</f>
        <v>0.86548458982211496</v>
      </c>
    </row>
    <row r="208" spans="1:26" s="24" customFormat="1" hidden="1" outlineLevel="2" x14ac:dyDescent="0.3">
      <c r="A208" s="28"/>
      <c r="B208" s="11" t="str">
        <f>CONCATENATE("          ", "6282", " - ", "JANITORIAL/EXTERMINATOR EXPENS")</f>
        <v xml:space="preserve">          6282 - JANITORIAL/EXTERMINATOR EXPENS</v>
      </c>
      <c r="C208" s="11"/>
      <c r="D208" s="6">
        <v>267</v>
      </c>
      <c r="E208" s="2"/>
      <c r="F208" s="7">
        <f t="shared" si="89"/>
        <v>4.2262538784782958E-4</v>
      </c>
      <c r="G208" s="2"/>
      <c r="H208" s="6"/>
      <c r="I208" s="2"/>
      <c r="J208" s="7">
        <f t="shared" si="90"/>
        <v>0</v>
      </c>
      <c r="K208" s="2"/>
      <c r="L208" s="6">
        <f t="shared" si="91"/>
        <v>267</v>
      </c>
      <c r="M208" s="2"/>
      <c r="N208" s="7">
        <f t="shared" si="92"/>
        <v>0</v>
      </c>
      <c r="O208" s="11"/>
      <c r="P208" s="6">
        <v>2124.6799999999998</v>
      </c>
      <c r="Q208" s="2"/>
      <c r="R208" s="7">
        <f t="shared" si="93"/>
        <v>4.5911428649769118E-4</v>
      </c>
      <c r="S208" s="2"/>
      <c r="T208" s="6">
        <v>5340.12</v>
      </c>
      <c r="U208" s="2"/>
      <c r="V208" s="7">
        <f t="shared" si="94"/>
        <v>1.3437782720254307E-3</v>
      </c>
      <c r="W208" s="2"/>
      <c r="X208" s="6">
        <f t="shared" si="95"/>
        <v>-3215.44</v>
      </c>
      <c r="Y208" s="2"/>
      <c r="Z208" s="7">
        <f t="shared" si="96"/>
        <v>-0.6021287911133083</v>
      </c>
    </row>
    <row r="209" spans="1:26" s="24" customFormat="1" hidden="1" outlineLevel="2" x14ac:dyDescent="0.3">
      <c r="A209" s="28"/>
      <c r="B209" s="11" t="str">
        <f>CONCATENATE("          ", "6283", " - ", "PLANT SERVICE")</f>
        <v xml:space="preserve">          6283 - PLANT SERVICE</v>
      </c>
      <c r="C209" s="11"/>
      <c r="D209" s="6"/>
      <c r="E209" s="2"/>
      <c r="F209" s="7">
        <f t="shared" si="89"/>
        <v>0</v>
      </c>
      <c r="G209" s="2"/>
      <c r="H209" s="6"/>
      <c r="I209" s="2"/>
      <c r="J209" s="7">
        <f t="shared" si="90"/>
        <v>0</v>
      </c>
      <c r="K209" s="2"/>
      <c r="L209" s="6">
        <f t="shared" si="91"/>
        <v>0</v>
      </c>
      <c r="M209" s="2"/>
      <c r="N209" s="7">
        <f t="shared" si="92"/>
        <v>0</v>
      </c>
      <c r="O209" s="11"/>
      <c r="P209" s="6"/>
      <c r="Q209" s="2"/>
      <c r="R209" s="7">
        <f t="shared" si="93"/>
        <v>0</v>
      </c>
      <c r="S209" s="2"/>
      <c r="T209" s="6">
        <v>171.31</v>
      </c>
      <c r="U209" s="2"/>
      <c r="V209" s="7">
        <f t="shared" si="94"/>
        <v>4.3108142847103911E-5</v>
      </c>
      <c r="W209" s="2"/>
      <c r="X209" s="6">
        <f t="shared" si="95"/>
        <v>-171.31</v>
      </c>
      <c r="Y209" s="2"/>
      <c r="Z209" s="7">
        <f t="shared" si="96"/>
        <v>-1</v>
      </c>
    </row>
    <row r="210" spans="1:26" s="24" customFormat="1" hidden="1" outlineLevel="2" x14ac:dyDescent="0.3">
      <c r="A210" s="28"/>
      <c r="B210" s="11" t="str">
        <f>CONCATENATE("          ", "6284", " - ", "TRASH REMOVAL EXPENSE")</f>
        <v xml:space="preserve">          6284 - TRASH REMOVAL EXPENSE</v>
      </c>
      <c r="C210" s="11"/>
      <c r="D210" s="6">
        <v>149.69999999999999</v>
      </c>
      <c r="E210" s="2"/>
      <c r="F210" s="7">
        <f t="shared" si="89"/>
        <v>2.3695513318659206E-4</v>
      </c>
      <c r="G210" s="2"/>
      <c r="H210" s="6">
        <v>285.14</v>
      </c>
      <c r="I210" s="2"/>
      <c r="J210" s="7">
        <f t="shared" si="90"/>
        <v>9.1077695016912293E-4</v>
      </c>
      <c r="K210" s="2"/>
      <c r="L210" s="6">
        <f t="shared" si="91"/>
        <v>-135.44</v>
      </c>
      <c r="M210" s="2"/>
      <c r="N210" s="7">
        <f t="shared" si="92"/>
        <v>-0.47499473942624676</v>
      </c>
      <c r="O210" s="11"/>
      <c r="P210" s="6">
        <v>891.07</v>
      </c>
      <c r="Q210" s="2"/>
      <c r="R210" s="7">
        <f t="shared" si="93"/>
        <v>1.9254803889032595E-4</v>
      </c>
      <c r="S210" s="2"/>
      <c r="T210" s="6">
        <v>870.44</v>
      </c>
      <c r="U210" s="2"/>
      <c r="V210" s="7">
        <f t="shared" si="94"/>
        <v>2.1903596906096043E-4</v>
      </c>
      <c r="W210" s="2"/>
      <c r="X210" s="6">
        <f t="shared" si="95"/>
        <v>20.629999999999995</v>
      </c>
      <c r="Y210" s="2"/>
      <c r="Z210" s="7">
        <f t="shared" si="96"/>
        <v>2.3700657138918241E-2</v>
      </c>
    </row>
    <row r="211" spans="1:26" s="24" customFormat="1" hidden="1" outlineLevel="2" x14ac:dyDescent="0.3">
      <c r="A211" s="28"/>
      <c r="B211" s="11" t="str">
        <f>CONCATENATE("          ", "6285", " - ", "JANITORIAL SERVICES")</f>
        <v xml:space="preserve">          6285 - JANITORIAL SERVICES</v>
      </c>
      <c r="C211" s="11"/>
      <c r="D211" s="6">
        <v>4406.71</v>
      </c>
      <c r="E211" s="2"/>
      <c r="F211" s="7">
        <f t="shared" si="89"/>
        <v>6.9752341681007827E-3</v>
      </c>
      <c r="G211" s="2"/>
      <c r="H211" s="6">
        <v>2208.89</v>
      </c>
      <c r="I211" s="2"/>
      <c r="J211" s="7">
        <f t="shared" si="90"/>
        <v>7.0555029019396575E-3</v>
      </c>
      <c r="K211" s="2"/>
      <c r="L211" s="6">
        <f t="shared" si="91"/>
        <v>2197.8200000000002</v>
      </c>
      <c r="M211" s="2"/>
      <c r="N211" s="7">
        <f t="shared" si="92"/>
        <v>0.99498843310440999</v>
      </c>
      <c r="O211" s="11"/>
      <c r="P211" s="6">
        <v>32771.24</v>
      </c>
      <c r="Q211" s="2"/>
      <c r="R211" s="7">
        <f t="shared" si="93"/>
        <v>7.0814167169854269E-3</v>
      </c>
      <c r="S211" s="2"/>
      <c r="T211" s="6">
        <v>12801.88</v>
      </c>
      <c r="U211" s="2"/>
      <c r="V211" s="7">
        <f t="shared" si="94"/>
        <v>3.2214422494395109E-3</v>
      </c>
      <c r="W211" s="2"/>
      <c r="X211" s="6">
        <f t="shared" si="95"/>
        <v>19969.36</v>
      </c>
      <c r="Y211" s="2"/>
      <c r="Z211" s="7">
        <f t="shared" si="96"/>
        <v>1.5598771430446154</v>
      </c>
    </row>
    <row r="212" spans="1:26" s="29" customFormat="1" outlineLevel="1" collapsed="1" x14ac:dyDescent="0.3">
      <c r="A212" s="27"/>
      <c r="B212" s="14" t="str">
        <f>CONCATENATE("     ","Subscriptions &amp; Dues                              ")</f>
        <v xml:space="preserve">     Subscriptions &amp; Dues                              </v>
      </c>
      <c r="C212" s="14"/>
      <c r="D212" s="1">
        <f>SUM(OSRRefD22_19x_0)</f>
        <v>286.24</v>
      </c>
      <c r="E212" s="1"/>
      <c r="F212" s="5">
        <f t="shared" ref="F212:F214" si="97">IF(D$12=0,0,D212/D$12)</f>
        <v>4.5307974163881178E-4</v>
      </c>
      <c r="G212" s="1"/>
      <c r="H212" s="1">
        <f>SUM(OSRRefH22_19x_0)</f>
        <v>80.430000000000007</v>
      </c>
      <c r="I212" s="1"/>
      <c r="J212" s="5">
        <f t="shared" ref="J212:J214" si="98">IF(H$12=0,0,H212/H$12)</f>
        <v>2.5690464369117829E-4</v>
      </c>
      <c r="K212" s="1"/>
      <c r="L212" s="1">
        <f t="shared" ref="L212:L214" si="99">+D212-H212</f>
        <v>205.81</v>
      </c>
      <c r="M212" s="1"/>
      <c r="N212" s="5">
        <f t="shared" ref="N212:N214" si="100">IF(H212=0,0,L212/H212)</f>
        <v>2.5588710680094491</v>
      </c>
      <c r="O212" s="14"/>
      <c r="P212" s="1">
        <f>SUM(OSRRefP22_19x_0)</f>
        <v>1391.74</v>
      </c>
      <c r="Q212" s="1"/>
      <c r="R212" s="5">
        <f t="shared" ref="R212:R214" si="101">IF(P$12=0,0,P212/P$12)</f>
        <v>3.0073597769560438E-4</v>
      </c>
      <c r="S212" s="1"/>
      <c r="T212" s="1">
        <f>SUM(OSRRefT22_19x_0)</f>
        <v>1455.44</v>
      </c>
      <c r="U212" s="1"/>
      <c r="V212" s="5">
        <f t="shared" ref="V212:V214" si="102">IF(T$12=0,0,T212/T$12)</f>
        <v>3.6624432564000303E-4</v>
      </c>
      <c r="W212" s="1"/>
      <c r="X212" s="1">
        <f t="shared" ref="X212:X214" si="103">+P212-T212</f>
        <v>-63.700000000000045</v>
      </c>
      <c r="Y212" s="1"/>
      <c r="Z212" s="5">
        <f t="shared" ref="Z212:Z214" si="104">IF(T212=0,0,X212/T212)</f>
        <v>-4.376683339746059E-2</v>
      </c>
    </row>
    <row r="213" spans="1:26" s="24" customFormat="1" hidden="1" outlineLevel="2" x14ac:dyDescent="0.3">
      <c r="A213" s="28"/>
      <c r="B213" s="11" t="str">
        <f>CONCATENATE("          ", "6258", " - ", "MEMBERSHIP DUES")</f>
        <v xml:space="preserve">          6258 - MEMBERSHIP DUES</v>
      </c>
      <c r="C213" s="11"/>
      <c r="D213" s="6">
        <v>286.24</v>
      </c>
      <c r="E213" s="2"/>
      <c r="F213" s="7">
        <f t="shared" si="97"/>
        <v>4.5307974163881178E-4</v>
      </c>
      <c r="G213" s="2"/>
      <c r="H213" s="6">
        <v>80.430000000000007</v>
      </c>
      <c r="I213" s="2"/>
      <c r="J213" s="7">
        <f t="shared" si="98"/>
        <v>2.5690464369117829E-4</v>
      </c>
      <c r="K213" s="2"/>
      <c r="L213" s="6">
        <f t="shared" si="99"/>
        <v>205.81</v>
      </c>
      <c r="M213" s="2"/>
      <c r="N213" s="7">
        <f t="shared" si="100"/>
        <v>2.5588710680094491</v>
      </c>
      <c r="O213" s="11"/>
      <c r="P213" s="6">
        <v>1391.74</v>
      </c>
      <c r="Q213" s="2"/>
      <c r="R213" s="7">
        <f t="shared" si="101"/>
        <v>3.0073597769560438E-4</v>
      </c>
      <c r="S213" s="2"/>
      <c r="T213" s="6">
        <v>1229.71</v>
      </c>
      <c r="U213" s="2"/>
      <c r="V213" s="7">
        <f t="shared" si="102"/>
        <v>3.0944203105780254E-4</v>
      </c>
      <c r="W213" s="2"/>
      <c r="X213" s="6">
        <f t="shared" si="103"/>
        <v>162.02999999999997</v>
      </c>
      <c r="Y213" s="2"/>
      <c r="Z213" s="7">
        <f t="shared" si="104"/>
        <v>0.13176277333680295</v>
      </c>
    </row>
    <row r="214" spans="1:26" s="24" customFormat="1" hidden="1" outlineLevel="2" x14ac:dyDescent="0.3">
      <c r="A214" s="28"/>
      <c r="B214" s="11" t="str">
        <f>CONCATENATE("          ", "6275", " - ", "SUBSCRIPTIONS")</f>
        <v xml:space="preserve">          6275 - SUBSCRIPTIONS</v>
      </c>
      <c r="C214" s="11"/>
      <c r="D214" s="6"/>
      <c r="E214" s="2"/>
      <c r="F214" s="7">
        <f t="shared" si="97"/>
        <v>0</v>
      </c>
      <c r="G214" s="2"/>
      <c r="H214" s="6"/>
      <c r="I214" s="2"/>
      <c r="J214" s="7">
        <f t="shared" si="98"/>
        <v>0</v>
      </c>
      <c r="K214" s="2"/>
      <c r="L214" s="6">
        <f t="shared" si="99"/>
        <v>0</v>
      </c>
      <c r="M214" s="2"/>
      <c r="N214" s="7">
        <f t="shared" si="100"/>
        <v>0</v>
      </c>
      <c r="O214" s="11"/>
      <c r="P214" s="6"/>
      <c r="Q214" s="2"/>
      <c r="R214" s="7">
        <f t="shared" si="101"/>
        <v>0</v>
      </c>
      <c r="S214" s="2"/>
      <c r="T214" s="6">
        <v>225.73</v>
      </c>
      <c r="U214" s="2"/>
      <c r="V214" s="7">
        <f t="shared" si="102"/>
        <v>5.6802294582200487E-5</v>
      </c>
      <c r="W214" s="2"/>
      <c r="X214" s="6">
        <f t="shared" si="103"/>
        <v>-225.73</v>
      </c>
      <c r="Y214" s="2"/>
      <c r="Z214" s="7">
        <f t="shared" si="104"/>
        <v>-1</v>
      </c>
    </row>
    <row r="215" spans="1:26" s="29" customFormat="1" outlineLevel="1" collapsed="1" x14ac:dyDescent="0.3">
      <c r="A215" s="27"/>
      <c r="B215" s="14" t="str">
        <f>CONCATENATE("     ","Supplies                                          ")</f>
        <v xml:space="preserve">     Supplies                                          </v>
      </c>
      <c r="C215" s="14"/>
      <c r="D215" s="1">
        <f>SUM(OSRRefD22_20x_0)</f>
        <v>6011.63</v>
      </c>
      <c r="E215" s="1"/>
      <c r="F215" s="5">
        <f t="shared" ref="F215:F222" si="105">IF(D$12=0,0,D215/D$12)</f>
        <v>9.5156084657215274E-3</v>
      </c>
      <c r="G215" s="1"/>
      <c r="H215" s="1">
        <f>SUM(OSRRefH22_20x_0)</f>
        <v>6983.04</v>
      </c>
      <c r="I215" s="1"/>
      <c r="J215" s="5">
        <f t="shared" ref="J215:J222" si="106">IF(H$12=0,0,H215/H$12)</f>
        <v>2.2304804215855345E-2</v>
      </c>
      <c r="K215" s="1"/>
      <c r="L215" s="1">
        <f t="shared" ref="L215:L222" si="107">+D215-H215</f>
        <v>-971.40999999999985</v>
      </c>
      <c r="M215" s="1"/>
      <c r="N215" s="5">
        <f t="shared" ref="N215:N222" si="108">IF(H215=0,0,L215/H215)</f>
        <v>-0.1391099005590688</v>
      </c>
      <c r="O215" s="14"/>
      <c r="P215" s="1">
        <f>SUM(OSRRefP22_20x_0)</f>
        <v>56024.25</v>
      </c>
      <c r="Q215" s="1"/>
      <c r="R215" s="5">
        <f t="shared" ref="R215:R222" si="109">IF(P$12=0,0,P215/P$12)</f>
        <v>1.2106074121899898E-2</v>
      </c>
      <c r="S215" s="1"/>
      <c r="T215" s="1">
        <f>SUM(OSRRefT22_20x_0)</f>
        <v>80079.67</v>
      </c>
      <c r="U215" s="1"/>
      <c r="V215" s="5">
        <f t="shared" ref="V215:V222" si="110">IF(T$12=0,0,T215/T$12)</f>
        <v>2.0151105326653096E-2</v>
      </c>
      <c r="W215" s="1"/>
      <c r="X215" s="1">
        <f t="shared" ref="X215:X222" si="111">+P215-T215</f>
        <v>-24055.42</v>
      </c>
      <c r="Y215" s="1"/>
      <c r="Z215" s="5">
        <f t="shared" ref="Z215:Z222" si="112">IF(T215=0,0,X215/T215)</f>
        <v>-0.3003935955280535</v>
      </c>
    </row>
    <row r="216" spans="1:26" s="24" customFormat="1" hidden="1" outlineLevel="2" x14ac:dyDescent="0.3">
      <c r="A216" s="28"/>
      <c r="B216" s="11" t="str">
        <f>CONCATENATE("          ", "6234", " - ", "EXPENDABLE SUPPLIES &amp; EQUIPMEN")</f>
        <v xml:space="preserve">          6234 - EXPENDABLE SUPPLIES &amp; EQUIPMEN</v>
      </c>
      <c r="C216" s="11"/>
      <c r="D216" s="6"/>
      <c r="E216" s="2"/>
      <c r="F216" s="7">
        <f t="shared" si="105"/>
        <v>0</v>
      </c>
      <c r="G216" s="2"/>
      <c r="H216" s="6"/>
      <c r="I216" s="2"/>
      <c r="J216" s="7">
        <f t="shared" si="106"/>
        <v>0</v>
      </c>
      <c r="K216" s="2"/>
      <c r="L216" s="6">
        <f t="shared" si="107"/>
        <v>0</v>
      </c>
      <c r="M216" s="2"/>
      <c r="N216" s="7">
        <f t="shared" si="108"/>
        <v>0</v>
      </c>
      <c r="O216" s="11"/>
      <c r="P216" s="6">
        <v>5289.57</v>
      </c>
      <c r="Q216" s="2"/>
      <c r="R216" s="7">
        <f t="shared" si="109"/>
        <v>1.1430037259397144E-3</v>
      </c>
      <c r="S216" s="2"/>
      <c r="T216" s="6">
        <v>-449.34</v>
      </c>
      <c r="U216" s="2"/>
      <c r="V216" s="7">
        <f t="shared" si="110"/>
        <v>-1.1307111614568719E-4</v>
      </c>
      <c r="W216" s="2"/>
      <c r="X216" s="6">
        <f t="shared" si="111"/>
        <v>5738.91</v>
      </c>
      <c r="Y216" s="2"/>
      <c r="Z216" s="7">
        <f t="shared" si="112"/>
        <v>-12.771865402590466</v>
      </c>
    </row>
    <row r="217" spans="1:26" s="24" customFormat="1" hidden="1" outlineLevel="2" x14ac:dyDescent="0.3">
      <c r="A217" s="28"/>
      <c r="B217" s="11" t="str">
        <f>CONCATENATE("          ", "6235", " - ", "COVID-19 EXPENSES")</f>
        <v xml:space="preserve">          6235 - COVID-19 EXPENSES</v>
      </c>
      <c r="C217" s="11"/>
      <c r="D217" s="6"/>
      <c r="E217" s="2"/>
      <c r="F217" s="7">
        <f t="shared" si="105"/>
        <v>0</v>
      </c>
      <c r="G217" s="2"/>
      <c r="H217" s="6">
        <v>2921.2</v>
      </c>
      <c r="I217" s="2"/>
      <c r="J217" s="7">
        <f t="shared" si="106"/>
        <v>9.3307204420075823E-3</v>
      </c>
      <c r="K217" s="2"/>
      <c r="L217" s="6">
        <f t="shared" si="107"/>
        <v>-2921.2</v>
      </c>
      <c r="M217" s="2"/>
      <c r="N217" s="7">
        <f t="shared" si="108"/>
        <v>-1</v>
      </c>
      <c r="O217" s="11"/>
      <c r="P217" s="6">
        <v>3430.32</v>
      </c>
      <c r="Q217" s="2"/>
      <c r="R217" s="7">
        <f t="shared" si="109"/>
        <v>7.4124523187433405E-4</v>
      </c>
      <c r="S217" s="2"/>
      <c r="T217" s="6">
        <v>32045.95</v>
      </c>
      <c r="U217" s="2"/>
      <c r="V217" s="7">
        <f t="shared" si="110"/>
        <v>8.0639857000242236E-3</v>
      </c>
      <c r="W217" s="2"/>
      <c r="X217" s="6">
        <f t="shared" si="111"/>
        <v>-28615.63</v>
      </c>
      <c r="Y217" s="2"/>
      <c r="Z217" s="7">
        <f t="shared" si="112"/>
        <v>-0.89295620819479526</v>
      </c>
    </row>
    <row r="218" spans="1:26" s="24" customFormat="1" hidden="1" outlineLevel="2" x14ac:dyDescent="0.3">
      <c r="A218" s="28"/>
      <c r="B218" s="11" t="str">
        <f>CONCATENATE("          ", "6237", " - ", "JANITORIAL SUPPLIES")</f>
        <v xml:space="preserve">          6237 - JANITORIAL SUPPLIES</v>
      </c>
      <c r="C218" s="11"/>
      <c r="D218" s="6"/>
      <c r="E218" s="2"/>
      <c r="F218" s="7">
        <f t="shared" si="105"/>
        <v>0</v>
      </c>
      <c r="G218" s="2"/>
      <c r="H218" s="6">
        <v>438.53</v>
      </c>
      <c r="I218" s="2"/>
      <c r="J218" s="7">
        <f t="shared" si="106"/>
        <v>1.4007260151422652E-3</v>
      </c>
      <c r="K218" s="2"/>
      <c r="L218" s="6">
        <f t="shared" si="107"/>
        <v>-438.53</v>
      </c>
      <c r="M218" s="2"/>
      <c r="N218" s="7">
        <f t="shared" si="108"/>
        <v>-1</v>
      </c>
      <c r="O218" s="11"/>
      <c r="P218" s="6">
        <v>3866.14</v>
      </c>
      <c r="Q218" s="2"/>
      <c r="R218" s="7">
        <f t="shared" si="109"/>
        <v>8.3541997270185808E-4</v>
      </c>
      <c r="S218" s="2"/>
      <c r="T218" s="6">
        <v>1933.88</v>
      </c>
      <c r="U218" s="2"/>
      <c r="V218" s="7">
        <f t="shared" si="110"/>
        <v>4.8663811388218619E-4</v>
      </c>
      <c r="W218" s="2"/>
      <c r="X218" s="6">
        <f t="shared" si="111"/>
        <v>1932.2599999999998</v>
      </c>
      <c r="Y218" s="2"/>
      <c r="Z218" s="7">
        <f t="shared" si="112"/>
        <v>0.99916230583076493</v>
      </c>
    </row>
    <row r="219" spans="1:26" s="24" customFormat="1" hidden="1" outlineLevel="2" x14ac:dyDescent="0.3">
      <c r="A219" s="28"/>
      <c r="B219" s="11" t="str">
        <f>CONCATENATE("          ", "6241", " - ", "OFFICE EXPENSE")</f>
        <v xml:space="preserve">          6241 - OFFICE EXPENSE</v>
      </c>
      <c r="C219" s="11"/>
      <c r="D219" s="6">
        <v>886.72</v>
      </c>
      <c r="E219" s="2"/>
      <c r="F219" s="7">
        <f t="shared" si="105"/>
        <v>1.403559490308717E-3</v>
      </c>
      <c r="G219" s="2"/>
      <c r="H219" s="6">
        <v>1361.67</v>
      </c>
      <c r="I219" s="2"/>
      <c r="J219" s="7">
        <f t="shared" si="106"/>
        <v>4.3493639957101413E-3</v>
      </c>
      <c r="K219" s="2"/>
      <c r="L219" s="6">
        <f t="shared" si="107"/>
        <v>-474.95000000000005</v>
      </c>
      <c r="M219" s="2"/>
      <c r="N219" s="7">
        <f t="shared" si="108"/>
        <v>-0.34879963574140577</v>
      </c>
      <c r="O219" s="11"/>
      <c r="P219" s="6">
        <v>8792.24</v>
      </c>
      <c r="Q219" s="2"/>
      <c r="R219" s="7">
        <f t="shared" si="109"/>
        <v>1.8998828032063466E-3</v>
      </c>
      <c r="S219" s="2"/>
      <c r="T219" s="6">
        <v>10873.12</v>
      </c>
      <c r="U219" s="2"/>
      <c r="V219" s="7">
        <f t="shared" si="110"/>
        <v>2.7360925232251623E-3</v>
      </c>
      <c r="W219" s="2"/>
      <c r="X219" s="6">
        <f t="shared" si="111"/>
        <v>-2080.880000000001</v>
      </c>
      <c r="Y219" s="2"/>
      <c r="Z219" s="7">
        <f t="shared" si="112"/>
        <v>-0.19137837161734633</v>
      </c>
    </row>
    <row r="220" spans="1:26" s="24" customFormat="1" hidden="1" outlineLevel="2" x14ac:dyDescent="0.3">
      <c r="A220" s="28"/>
      <c r="B220" s="11" t="str">
        <f>CONCATENATE("          ", "6243", " - ", "PAPER SUPPLIES")</f>
        <v xml:space="preserve">          6243 - PAPER SUPPLIES</v>
      </c>
      <c r="C220" s="11"/>
      <c r="D220" s="6"/>
      <c r="E220" s="2"/>
      <c r="F220" s="7">
        <f t="shared" si="105"/>
        <v>0</v>
      </c>
      <c r="G220" s="2"/>
      <c r="H220" s="6">
        <v>411.1</v>
      </c>
      <c r="I220" s="2"/>
      <c r="J220" s="7">
        <f t="shared" si="106"/>
        <v>1.3131107673933033E-3</v>
      </c>
      <c r="K220" s="2"/>
      <c r="L220" s="6">
        <f t="shared" si="107"/>
        <v>-411.1</v>
      </c>
      <c r="M220" s="2"/>
      <c r="N220" s="7">
        <f t="shared" si="108"/>
        <v>-1</v>
      </c>
      <c r="O220" s="11"/>
      <c r="P220" s="6">
        <v>4470.8999999999996</v>
      </c>
      <c r="Q220" s="2"/>
      <c r="R220" s="7">
        <f t="shared" si="109"/>
        <v>9.6610033675778345E-4</v>
      </c>
      <c r="S220" s="2"/>
      <c r="T220" s="6">
        <v>5093.3999999999996</v>
      </c>
      <c r="U220" s="2"/>
      <c r="V220" s="7">
        <f t="shared" si="110"/>
        <v>1.2816940912815308E-3</v>
      </c>
      <c r="W220" s="2"/>
      <c r="X220" s="6">
        <f t="shared" si="111"/>
        <v>-622.5</v>
      </c>
      <c r="Y220" s="2"/>
      <c r="Z220" s="7">
        <f t="shared" si="112"/>
        <v>-0.12221698668865591</v>
      </c>
    </row>
    <row r="221" spans="1:26" s="24" customFormat="1" hidden="1" outlineLevel="2" x14ac:dyDescent="0.3">
      <c r="A221" s="28"/>
      <c r="B221" s="11" t="str">
        <f>CONCATENATE("          ", "6245", " - ", "PRINTING")</f>
        <v xml:space="preserve">          6245 - PRINTING</v>
      </c>
      <c r="C221" s="11"/>
      <c r="D221" s="6">
        <v>1046.49</v>
      </c>
      <c r="E221" s="2"/>
      <c r="F221" s="7">
        <f t="shared" si="105"/>
        <v>1.656454090370319E-3</v>
      </c>
      <c r="G221" s="2"/>
      <c r="H221" s="6"/>
      <c r="I221" s="2"/>
      <c r="J221" s="7">
        <f t="shared" si="106"/>
        <v>0</v>
      </c>
      <c r="K221" s="2"/>
      <c r="L221" s="6">
        <f t="shared" si="107"/>
        <v>1046.49</v>
      </c>
      <c r="M221" s="2"/>
      <c r="N221" s="7">
        <f t="shared" si="108"/>
        <v>0</v>
      </c>
      <c r="O221" s="11"/>
      <c r="P221" s="6">
        <v>2111.98</v>
      </c>
      <c r="Q221" s="2"/>
      <c r="R221" s="7">
        <f t="shared" si="109"/>
        <v>4.5636999020906387E-4</v>
      </c>
      <c r="S221" s="2"/>
      <c r="T221" s="6">
        <v>508.27</v>
      </c>
      <c r="U221" s="2"/>
      <c r="V221" s="7">
        <f t="shared" si="110"/>
        <v>1.2790015623663246E-4</v>
      </c>
      <c r="W221" s="2"/>
      <c r="X221" s="6">
        <f t="shared" si="111"/>
        <v>1603.71</v>
      </c>
      <c r="Y221" s="2"/>
      <c r="Z221" s="7">
        <f t="shared" si="112"/>
        <v>3.1552324551911388</v>
      </c>
    </row>
    <row r="222" spans="1:26" s="24" customFormat="1" hidden="1" outlineLevel="2" x14ac:dyDescent="0.3">
      <c r="A222" s="28"/>
      <c r="B222" s="11" t="str">
        <f>CONCATENATE("          ", "6247", " - ", "STORE SUPPLIES")</f>
        <v xml:space="preserve">          6247 - STORE SUPPLIES</v>
      </c>
      <c r="C222" s="11"/>
      <c r="D222" s="6">
        <v>4078.42</v>
      </c>
      <c r="E222" s="2"/>
      <c r="F222" s="7">
        <f t="shared" si="105"/>
        <v>6.4555948850424909E-3</v>
      </c>
      <c r="G222" s="2"/>
      <c r="H222" s="6">
        <v>1850.54</v>
      </c>
      <c r="I222" s="2"/>
      <c r="J222" s="7">
        <f t="shared" si="106"/>
        <v>5.9108829956020514E-3</v>
      </c>
      <c r="K222" s="2"/>
      <c r="L222" s="6">
        <f t="shared" si="107"/>
        <v>2227.88</v>
      </c>
      <c r="M222" s="2"/>
      <c r="N222" s="7">
        <f t="shared" si="108"/>
        <v>1.2039080484615303</v>
      </c>
      <c r="O222" s="11"/>
      <c r="P222" s="6">
        <v>28063.1</v>
      </c>
      <c r="Q222" s="2"/>
      <c r="R222" s="7">
        <f t="shared" si="109"/>
        <v>6.0640520612107972E-3</v>
      </c>
      <c r="S222" s="2"/>
      <c r="T222" s="6">
        <v>30074.39</v>
      </c>
      <c r="U222" s="2"/>
      <c r="V222" s="7">
        <f t="shared" si="110"/>
        <v>7.5678658581490484E-3</v>
      </c>
      <c r="W222" s="2"/>
      <c r="X222" s="6">
        <f t="shared" si="111"/>
        <v>-2011.2900000000009</v>
      </c>
      <c r="Y222" s="2"/>
      <c r="Z222" s="7">
        <f t="shared" si="112"/>
        <v>-6.6877166918431291E-2</v>
      </c>
    </row>
    <row r="223" spans="1:26" s="29" customFormat="1" outlineLevel="1" collapsed="1" x14ac:dyDescent="0.3">
      <c r="A223" s="27"/>
      <c r="B223" s="14" t="str">
        <f>CONCATENATE("     ","Telephone/Data Lines                              ")</f>
        <v xml:space="preserve">     Telephone/Data Lines                              </v>
      </c>
      <c r="C223" s="14"/>
      <c r="D223" s="1">
        <f>SUM(OSRRefD22_21x_0)</f>
        <v>1372.46</v>
      </c>
      <c r="E223" s="1"/>
      <c r="F223" s="5">
        <f t="shared" ref="F223:F225" si="113">IF(D$12=0,0,D223/D$12)</f>
        <v>2.1724211228675364E-3</v>
      </c>
      <c r="G223" s="1"/>
      <c r="H223" s="1">
        <f>SUM(OSRRefH22_21x_0)</f>
        <v>2254.4899999999998</v>
      </c>
      <c r="I223" s="1"/>
      <c r="J223" s="5">
        <f t="shared" ref="J223:J225" si="114">IF(H$12=0,0,H223/H$12)</f>
        <v>7.2011556652408848E-3</v>
      </c>
      <c r="K223" s="1"/>
      <c r="L223" s="1">
        <f t="shared" ref="L223:L225" si="115">+D223-H223</f>
        <v>-882.02999999999975</v>
      </c>
      <c r="M223" s="1"/>
      <c r="N223" s="5">
        <f t="shared" ref="N223:N225" si="116">IF(H223=0,0,L223/H223)</f>
        <v>-0.39123260693105749</v>
      </c>
      <c r="O223" s="14"/>
      <c r="P223" s="1">
        <f>SUM(OSRRefP22_21x_0)</f>
        <v>11921.21</v>
      </c>
      <c r="Q223" s="1"/>
      <c r="R223" s="5">
        <f t="shared" ref="R223:R225" si="117">IF(P$12=0,0,P223/P$12)</f>
        <v>2.5760104219643152E-3</v>
      </c>
      <c r="S223" s="1"/>
      <c r="T223" s="1">
        <f>SUM(OSRRefT22_21x_0)</f>
        <v>16881.489999999998</v>
      </c>
      <c r="U223" s="1"/>
      <c r="V223" s="5">
        <f t="shared" ref="V223:V225" si="118">IF(T$12=0,0,T223/T$12)</f>
        <v>4.248028033342806E-3</v>
      </c>
      <c r="W223" s="1"/>
      <c r="X223" s="1">
        <f t="shared" ref="X223:X225" si="119">+P223-T223</f>
        <v>-4960.2799999999988</v>
      </c>
      <c r="Y223" s="1"/>
      <c r="Z223" s="5">
        <f t="shared" ref="Z223:Z225" si="120">IF(T223=0,0,X223/T223)</f>
        <v>-0.2938295138640013</v>
      </c>
    </row>
    <row r="224" spans="1:26" s="24" customFormat="1" hidden="1" outlineLevel="2" x14ac:dyDescent="0.3">
      <c r="A224" s="28"/>
      <c r="B224" s="11" t="str">
        <f>CONCATENATE("          ", "6303", " - ", "DATA PHONE LINES")</f>
        <v xml:space="preserve">          6303 - DATA PHONE LINES</v>
      </c>
      <c r="C224" s="11"/>
      <c r="D224" s="6"/>
      <c r="E224" s="2"/>
      <c r="F224" s="7">
        <f t="shared" si="113"/>
        <v>0</v>
      </c>
      <c r="G224" s="2"/>
      <c r="H224" s="6"/>
      <c r="I224" s="2"/>
      <c r="J224" s="7">
        <f t="shared" si="114"/>
        <v>0</v>
      </c>
      <c r="K224" s="2"/>
      <c r="L224" s="6">
        <f t="shared" si="115"/>
        <v>0</v>
      </c>
      <c r="M224" s="2"/>
      <c r="N224" s="7">
        <f t="shared" si="116"/>
        <v>0</v>
      </c>
      <c r="O224" s="11"/>
      <c r="P224" s="6">
        <v>295</v>
      </c>
      <c r="Q224" s="2"/>
      <c r="R224" s="7">
        <f t="shared" si="117"/>
        <v>6.374546497205174E-5</v>
      </c>
      <c r="S224" s="2"/>
      <c r="T224" s="6">
        <v>2065</v>
      </c>
      <c r="U224" s="2"/>
      <c r="V224" s="7">
        <f t="shared" si="118"/>
        <v>5.1963291681320165E-4</v>
      </c>
      <c r="W224" s="2"/>
      <c r="X224" s="6">
        <f t="shared" si="119"/>
        <v>-1770</v>
      </c>
      <c r="Y224" s="2"/>
      <c r="Z224" s="7">
        <f t="shared" si="120"/>
        <v>-0.8571428571428571</v>
      </c>
    </row>
    <row r="225" spans="1:26" s="24" customFormat="1" hidden="1" outlineLevel="2" x14ac:dyDescent="0.3">
      <c r="A225" s="28"/>
      <c r="B225" s="11" t="str">
        <f>CONCATENATE("          ", "6309", " - ", "TELEPHONE")</f>
        <v xml:space="preserve">          6309 - TELEPHONE</v>
      </c>
      <c r="C225" s="11"/>
      <c r="D225" s="6">
        <v>1372.46</v>
      </c>
      <c r="E225" s="2"/>
      <c r="F225" s="7">
        <f t="shared" si="113"/>
        <v>2.1724211228675364E-3</v>
      </c>
      <c r="G225" s="2"/>
      <c r="H225" s="6">
        <v>2254.4899999999998</v>
      </c>
      <c r="I225" s="2"/>
      <c r="J225" s="7">
        <f t="shared" si="114"/>
        <v>7.2011556652408848E-3</v>
      </c>
      <c r="K225" s="2"/>
      <c r="L225" s="6">
        <f t="shared" si="115"/>
        <v>-882.02999999999975</v>
      </c>
      <c r="M225" s="2"/>
      <c r="N225" s="7">
        <f t="shared" si="116"/>
        <v>-0.39123260693105749</v>
      </c>
      <c r="O225" s="11"/>
      <c r="P225" s="6">
        <v>11626.21</v>
      </c>
      <c r="Q225" s="2"/>
      <c r="R225" s="7">
        <f t="shared" si="117"/>
        <v>2.5122649569922634E-3</v>
      </c>
      <c r="S225" s="2"/>
      <c r="T225" s="6">
        <v>14816.49</v>
      </c>
      <c r="U225" s="2"/>
      <c r="V225" s="7">
        <f t="shared" si="118"/>
        <v>3.7283951165296052E-3</v>
      </c>
      <c r="W225" s="2"/>
      <c r="X225" s="6">
        <f t="shared" si="119"/>
        <v>-3190.2800000000007</v>
      </c>
      <c r="Y225" s="2"/>
      <c r="Z225" s="7">
        <f t="shared" si="120"/>
        <v>-0.2153195527415738</v>
      </c>
    </row>
    <row r="226" spans="1:26" s="29" customFormat="1" outlineLevel="1" collapsed="1" x14ac:dyDescent="0.3">
      <c r="A226" s="27"/>
      <c r="B226" s="14" t="str">
        <f>CONCATENATE("     ","Training                                          ")</f>
        <v xml:space="preserve">     Training                                          </v>
      </c>
      <c r="C226" s="14"/>
      <c r="D226" s="1">
        <f>SUM(OSRRefD22_22x_0)</f>
        <v>0</v>
      </c>
      <c r="E226" s="1"/>
      <c r="F226" s="5">
        <f t="shared" ref="F226:F231" si="121">IF(D$12=0,0,D226/D$12)</f>
        <v>0</v>
      </c>
      <c r="G226" s="1"/>
      <c r="H226" s="1">
        <f>SUM(OSRRefH22_22x_0)</f>
        <v>0</v>
      </c>
      <c r="I226" s="1"/>
      <c r="J226" s="5">
        <f t="shared" ref="J226:J231" si="122">IF(H$12=0,0,H226/H$12)</f>
        <v>0</v>
      </c>
      <c r="K226" s="1"/>
      <c r="L226" s="1">
        <f t="shared" ref="L226:L231" si="123">+D226-H226</f>
        <v>0</v>
      </c>
      <c r="M226" s="1"/>
      <c r="N226" s="5">
        <f t="shared" ref="N226:N231" si="124">IF(H226=0,0,L226/H226)</f>
        <v>0</v>
      </c>
      <c r="O226" s="14"/>
      <c r="P226" s="1">
        <f>SUM(OSRRefP22_22x_0)</f>
        <v>595</v>
      </c>
      <c r="Q226" s="1"/>
      <c r="R226" s="5">
        <f t="shared" ref="R226:R231" si="125">IF(P$12=0,0,P226/P$12)</f>
        <v>1.2857136155379928E-4</v>
      </c>
      <c r="S226" s="1"/>
      <c r="T226" s="1">
        <f>SUM(OSRRefT22_22x_0)</f>
        <v>245.63</v>
      </c>
      <c r="U226" s="1"/>
      <c r="V226" s="5">
        <f t="shared" ref="V226:V231" si="126">IF(T$12=0,0,T226/T$12)</f>
        <v>6.1809895088051683E-5</v>
      </c>
      <c r="W226" s="1"/>
      <c r="X226" s="1">
        <f t="shared" ref="X226:X231" si="127">+P226-T226</f>
        <v>349.37</v>
      </c>
      <c r="Y226" s="1"/>
      <c r="Z226" s="5">
        <f t="shared" ref="Z226:Z231" si="128">IF(T226=0,0,X226/T226)</f>
        <v>1.4223425477343974</v>
      </c>
    </row>
    <row r="227" spans="1:26" s="24" customFormat="1" hidden="1" outlineLevel="2" x14ac:dyDescent="0.3">
      <c r="A227" s="28"/>
      <c r="B227" s="11" t="str">
        <f>CONCATENATE("          ", "6376", " - ", "TRAINING")</f>
        <v xml:space="preserve">          6376 - TRAINING</v>
      </c>
      <c r="C227" s="11"/>
      <c r="D227" s="6"/>
      <c r="E227" s="2"/>
      <c r="F227" s="7">
        <f t="shared" si="121"/>
        <v>0</v>
      </c>
      <c r="G227" s="2"/>
      <c r="H227" s="6"/>
      <c r="I227" s="2"/>
      <c r="J227" s="7">
        <f t="shared" si="122"/>
        <v>0</v>
      </c>
      <c r="K227" s="2"/>
      <c r="L227" s="6">
        <f t="shared" si="123"/>
        <v>0</v>
      </c>
      <c r="M227" s="2"/>
      <c r="N227" s="7">
        <f t="shared" si="124"/>
        <v>0</v>
      </c>
      <c r="O227" s="11"/>
      <c r="P227" s="6">
        <v>595</v>
      </c>
      <c r="Q227" s="2"/>
      <c r="R227" s="7">
        <f t="shared" si="125"/>
        <v>1.2857136155379928E-4</v>
      </c>
      <c r="S227" s="2"/>
      <c r="T227" s="6">
        <v>245.63</v>
      </c>
      <c r="U227" s="2"/>
      <c r="V227" s="7">
        <f t="shared" si="126"/>
        <v>6.1809895088051683E-5</v>
      </c>
      <c r="W227" s="2"/>
      <c r="X227" s="6">
        <f t="shared" si="127"/>
        <v>349.37</v>
      </c>
      <c r="Y227" s="2"/>
      <c r="Z227" s="7">
        <f t="shared" si="128"/>
        <v>1.4223425477343974</v>
      </c>
    </row>
    <row r="228" spans="1:26" s="29" customFormat="1" outlineLevel="1" collapsed="1" x14ac:dyDescent="0.3">
      <c r="A228" s="27"/>
      <c r="B228" s="14" t="str">
        <f>CONCATENATE("     ","Travel                                            ")</f>
        <v xml:space="preserve">     Travel                                            </v>
      </c>
      <c r="C228" s="14"/>
      <c r="D228" s="1">
        <f>SUM(OSRRefD22_23x_0)</f>
        <v>24.4</v>
      </c>
      <c r="E228" s="1"/>
      <c r="F228" s="5">
        <f t="shared" si="121"/>
        <v>3.8621945556131238E-5</v>
      </c>
      <c r="G228" s="1"/>
      <c r="H228" s="1">
        <f>SUM(OSRRefH22_23x_0)</f>
        <v>0</v>
      </c>
      <c r="I228" s="1"/>
      <c r="J228" s="5">
        <f t="shared" si="122"/>
        <v>0</v>
      </c>
      <c r="K228" s="1"/>
      <c r="L228" s="1">
        <f t="shared" si="123"/>
        <v>24.4</v>
      </c>
      <c r="M228" s="1"/>
      <c r="N228" s="5">
        <f t="shared" si="124"/>
        <v>0</v>
      </c>
      <c r="O228" s="14"/>
      <c r="P228" s="1">
        <f>SUM(OSRRefP22_23x_0)</f>
        <v>882.0100000000001</v>
      </c>
      <c r="Q228" s="1"/>
      <c r="R228" s="5">
        <f t="shared" si="125"/>
        <v>1.9059029681355719E-4</v>
      </c>
      <c r="S228" s="1"/>
      <c r="T228" s="1">
        <f>SUM(OSRRefT22_23x_0)</f>
        <v>680.93</v>
      </c>
      <c r="U228" s="1"/>
      <c r="V228" s="5">
        <f t="shared" si="126"/>
        <v>1.7134801067584184E-4</v>
      </c>
      <c r="W228" s="1"/>
      <c r="X228" s="1">
        <f t="shared" si="127"/>
        <v>201.08000000000015</v>
      </c>
      <c r="Y228" s="1"/>
      <c r="Z228" s="5">
        <f t="shared" si="128"/>
        <v>0.29530201342281903</v>
      </c>
    </row>
    <row r="229" spans="1:26" s="24" customFormat="1" hidden="1" outlineLevel="2" x14ac:dyDescent="0.3">
      <c r="A229" s="28"/>
      <c r="B229" s="11" t="str">
        <f>CONCATENATE("          ", "6292", " - ", "TRAVEL/CONFERENCE")</f>
        <v xml:space="preserve">          6292 - TRAVEL/CONFERENCE</v>
      </c>
      <c r="C229" s="11"/>
      <c r="D229" s="6"/>
      <c r="E229" s="2"/>
      <c r="F229" s="7">
        <f t="shared" si="121"/>
        <v>0</v>
      </c>
      <c r="G229" s="2"/>
      <c r="H229" s="6"/>
      <c r="I229" s="2"/>
      <c r="J229" s="7">
        <f t="shared" si="122"/>
        <v>0</v>
      </c>
      <c r="K229" s="2"/>
      <c r="L229" s="6">
        <f t="shared" si="123"/>
        <v>0</v>
      </c>
      <c r="M229" s="2"/>
      <c r="N229" s="7">
        <f t="shared" si="124"/>
        <v>0</v>
      </c>
      <c r="O229" s="11"/>
      <c r="P229" s="6">
        <v>495</v>
      </c>
      <c r="Q229" s="2"/>
      <c r="R229" s="7">
        <f t="shared" si="125"/>
        <v>1.0696272935988344E-4</v>
      </c>
      <c r="S229" s="2"/>
      <c r="T229" s="6">
        <v>299.16000000000003</v>
      </c>
      <c r="U229" s="2"/>
      <c r="V229" s="7">
        <f t="shared" si="126"/>
        <v>7.5280088810575021E-5</v>
      </c>
      <c r="W229" s="2"/>
      <c r="X229" s="6">
        <f t="shared" si="127"/>
        <v>195.83999999999997</v>
      </c>
      <c r="Y229" s="2"/>
      <c r="Z229" s="7">
        <f t="shared" si="128"/>
        <v>0.65463297232250284</v>
      </c>
    </row>
    <row r="230" spans="1:26" s="24" customFormat="1" hidden="1" outlineLevel="2" x14ac:dyDescent="0.3">
      <c r="A230" s="28"/>
      <c r="B230" s="11" t="str">
        <f>CONCATENATE("          ", "6294", " - ", "TRAVEL OPERATIONAL")</f>
        <v xml:space="preserve">          6294 - TRAVEL OPERATIONAL</v>
      </c>
      <c r="C230" s="11"/>
      <c r="D230" s="6">
        <v>24.4</v>
      </c>
      <c r="E230" s="2"/>
      <c r="F230" s="7">
        <f t="shared" si="121"/>
        <v>3.8621945556131238E-5</v>
      </c>
      <c r="G230" s="2"/>
      <c r="H230" s="6"/>
      <c r="I230" s="2"/>
      <c r="J230" s="7">
        <f t="shared" si="122"/>
        <v>0</v>
      </c>
      <c r="K230" s="2"/>
      <c r="L230" s="6">
        <f t="shared" si="123"/>
        <v>24.4</v>
      </c>
      <c r="M230" s="2"/>
      <c r="N230" s="7">
        <f t="shared" si="124"/>
        <v>0</v>
      </c>
      <c r="O230" s="11"/>
      <c r="P230" s="6">
        <v>239.93</v>
      </c>
      <c r="Q230" s="2"/>
      <c r="R230" s="7">
        <f t="shared" si="125"/>
        <v>5.1845591222862289E-5</v>
      </c>
      <c r="S230" s="2"/>
      <c r="T230" s="6">
        <v>321.88</v>
      </c>
      <c r="U230" s="2"/>
      <c r="V230" s="7">
        <f t="shared" si="126"/>
        <v>8.0997309086602108E-5</v>
      </c>
      <c r="W230" s="2"/>
      <c r="X230" s="6">
        <f t="shared" si="127"/>
        <v>-81.949999999999989</v>
      </c>
      <c r="Y230" s="2"/>
      <c r="Z230" s="7">
        <f t="shared" si="128"/>
        <v>-0.25459798682738904</v>
      </c>
    </row>
    <row r="231" spans="1:26" s="24" customFormat="1" hidden="1" outlineLevel="2" x14ac:dyDescent="0.3">
      <c r="A231" s="28"/>
      <c r="B231" s="11" t="str">
        <f>CONCATENATE("          ", "6298", " - ", "VEHICLE MILEAGE")</f>
        <v xml:space="preserve">          6298 - VEHICLE MILEAGE</v>
      </c>
      <c r="C231" s="11"/>
      <c r="D231" s="6"/>
      <c r="E231" s="2"/>
      <c r="F231" s="7">
        <f t="shared" si="121"/>
        <v>0</v>
      </c>
      <c r="G231" s="2"/>
      <c r="H231" s="6"/>
      <c r="I231" s="2"/>
      <c r="J231" s="7">
        <f t="shared" si="122"/>
        <v>0</v>
      </c>
      <c r="K231" s="2"/>
      <c r="L231" s="6">
        <f t="shared" si="123"/>
        <v>0</v>
      </c>
      <c r="M231" s="2"/>
      <c r="N231" s="7">
        <f t="shared" si="124"/>
        <v>0</v>
      </c>
      <c r="O231" s="11"/>
      <c r="P231" s="6">
        <v>147.08000000000001</v>
      </c>
      <c r="Q231" s="2"/>
      <c r="R231" s="7">
        <f t="shared" si="125"/>
        <v>3.1781976230811432E-5</v>
      </c>
      <c r="S231" s="2"/>
      <c r="T231" s="6">
        <v>59.89</v>
      </c>
      <c r="U231" s="2"/>
      <c r="V231" s="7">
        <f t="shared" si="126"/>
        <v>1.5070612778664721E-5</v>
      </c>
      <c r="W231" s="2"/>
      <c r="X231" s="6">
        <f t="shared" si="127"/>
        <v>87.190000000000012</v>
      </c>
      <c r="Y231" s="2"/>
      <c r="Z231" s="7">
        <f t="shared" si="128"/>
        <v>1.455835698781099</v>
      </c>
    </row>
    <row r="232" spans="1:26" s="29" customFormat="1" outlineLevel="1" collapsed="1" x14ac:dyDescent="0.3">
      <c r="A232" s="27"/>
      <c r="B232" s="14" t="str">
        <f>CONCATENATE("     ","Utilities                                         ")</f>
        <v xml:space="preserve">     Utilities                                         </v>
      </c>
      <c r="C232" s="14"/>
      <c r="D232" s="1">
        <f>SUM(OSRRefD22_24x_0)</f>
        <v>62.92</v>
      </c>
      <c r="E232" s="1"/>
      <c r="F232" s="5">
        <f t="shared" ref="F232:F233" si="129">IF(D$12=0,0,D232/D$12)</f>
        <v>9.9593967802941716E-5</v>
      </c>
      <c r="G232" s="1"/>
      <c r="H232" s="1">
        <f>SUM(OSRRefH22_24x_0)</f>
        <v>6175.61</v>
      </c>
      <c r="I232" s="1"/>
      <c r="J232" s="5">
        <f t="shared" ref="J232:J233" si="130">IF(H$12=0,0,H232/H$12)</f>
        <v>1.9725760122164333E-2</v>
      </c>
      <c r="K232" s="1"/>
      <c r="L232" s="1">
        <f t="shared" ref="L232:L233" si="131">+D232-H232</f>
        <v>-6112.69</v>
      </c>
      <c r="M232" s="1"/>
      <c r="N232" s="5">
        <f t="shared" ref="N232:N233" si="132">IF(H232=0,0,L232/H232)</f>
        <v>-0.98981153278785416</v>
      </c>
      <c r="O232" s="14"/>
      <c r="P232" s="1">
        <f>SUM(OSRRefP22_24x_0)</f>
        <v>30246.51</v>
      </c>
      <c r="Q232" s="1"/>
      <c r="R232" s="5">
        <f t="shared" ref="R232:R233" si="133">IF(P$12=0,0,P232/P$12)</f>
        <v>6.5358570973959758E-3</v>
      </c>
      <c r="S232" s="1"/>
      <c r="T232" s="1">
        <f>SUM(OSRRefT22_24x_0)</f>
        <v>36761.42</v>
      </c>
      <c r="U232" s="1"/>
      <c r="V232" s="5">
        <f t="shared" ref="V232:V233" si="134">IF(T$12=0,0,T232/T$12)</f>
        <v>9.2505781601913643E-3</v>
      </c>
      <c r="W232" s="1"/>
      <c r="X232" s="1">
        <f t="shared" ref="X232:X233" si="135">+P232-T232</f>
        <v>-6514.91</v>
      </c>
      <c r="Y232" s="1"/>
      <c r="Z232" s="5">
        <f t="shared" ref="Z232:Z233" si="136">IF(T232=0,0,X232/T232)</f>
        <v>-0.17722139133907233</v>
      </c>
    </row>
    <row r="233" spans="1:26" s="24" customFormat="1" hidden="1" outlineLevel="2" x14ac:dyDescent="0.3">
      <c r="A233" s="28"/>
      <c r="B233" s="11" t="str">
        <f>CONCATENATE("          ", "6274", " - ", "UTILITIES")</f>
        <v xml:space="preserve">          6274 - UTILITIES</v>
      </c>
      <c r="C233" s="11"/>
      <c r="D233" s="6">
        <v>62.92</v>
      </c>
      <c r="E233" s="2"/>
      <c r="F233" s="7">
        <f t="shared" si="129"/>
        <v>9.9593967802941716E-5</v>
      </c>
      <c r="G233" s="2"/>
      <c r="H233" s="6">
        <v>6175.61</v>
      </c>
      <c r="I233" s="2"/>
      <c r="J233" s="7">
        <f t="shared" si="130"/>
        <v>1.9725760122164333E-2</v>
      </c>
      <c r="K233" s="2"/>
      <c r="L233" s="6">
        <f t="shared" si="131"/>
        <v>-6112.69</v>
      </c>
      <c r="M233" s="2"/>
      <c r="N233" s="7">
        <f t="shared" si="132"/>
        <v>-0.98981153278785416</v>
      </c>
      <c r="O233" s="11"/>
      <c r="P233" s="6">
        <v>30246.51</v>
      </c>
      <c r="Q233" s="2"/>
      <c r="R233" s="7">
        <f t="shared" si="133"/>
        <v>6.5358570973959758E-3</v>
      </c>
      <c r="S233" s="2"/>
      <c r="T233" s="6">
        <v>36761.42</v>
      </c>
      <c r="U233" s="2"/>
      <c r="V233" s="7">
        <f t="shared" si="134"/>
        <v>9.2505781601913643E-3</v>
      </c>
      <c r="W233" s="2"/>
      <c r="X233" s="6">
        <f t="shared" si="135"/>
        <v>-6514.91</v>
      </c>
      <c r="Y233" s="2"/>
      <c r="Z233" s="7">
        <f t="shared" si="136"/>
        <v>-0.17722139133907233</v>
      </c>
    </row>
    <row r="234" spans="1:26" s="53" customFormat="1" x14ac:dyDescent="0.3">
      <c r="A234" s="37"/>
      <c r="B234" s="37"/>
      <c r="C234" s="37"/>
      <c r="D234" s="1"/>
      <c r="E234" s="1"/>
      <c r="F234" s="5"/>
      <c r="G234" s="1"/>
      <c r="H234" s="1"/>
      <c r="I234" s="1"/>
      <c r="J234" s="5"/>
      <c r="K234" s="1"/>
      <c r="L234" s="1"/>
      <c r="M234" s="1"/>
      <c r="N234" s="5"/>
      <c r="O234" s="37"/>
      <c r="P234" s="1"/>
      <c r="Q234" s="1"/>
      <c r="R234" s="5"/>
      <c r="S234" s="1"/>
      <c r="T234" s="1"/>
      <c r="U234" s="1"/>
      <c r="V234" s="5"/>
      <c r="W234" s="1"/>
      <c r="X234" s="1"/>
      <c r="Y234" s="1"/>
      <c r="Z234" s="5"/>
    </row>
    <row r="235" spans="1:26" s="23" customFormat="1" collapsed="1" x14ac:dyDescent="0.3">
      <c r="A235" s="10"/>
      <c r="B235" s="25" t="s">
        <v>292</v>
      </c>
      <c r="C235" s="10"/>
      <c r="D235" s="4">
        <f>SUM(OSRRefD25x_0)</f>
        <v>14550.550000000001</v>
      </c>
      <c r="E235" s="4"/>
      <c r="F235" s="12">
        <f t="shared" ref="F235:F241" si="137">IF(D$12=0,0,D235/D$12)</f>
        <v>2.3031579914416619E-2</v>
      </c>
      <c r="G235" s="4"/>
      <c r="H235" s="4">
        <f>SUM(OSRRefH25x_0)</f>
        <v>19597.010000000002</v>
      </c>
      <c r="I235" s="4"/>
      <c r="J235" s="12">
        <f t="shared" ref="J235:J241" si="138">IF(H$12=0,0,H235/H$12)</f>
        <v>6.2595584625916412E-2</v>
      </c>
      <c r="K235" s="4"/>
      <c r="L235" s="4">
        <f t="shared" ref="L235:L241" si="139">+D235-H235</f>
        <v>-5046.4600000000009</v>
      </c>
      <c r="M235" s="4"/>
      <c r="N235" s="12">
        <f t="shared" ref="N235:N241" si="140">IF(H235=0,0,L235/H235)</f>
        <v>-0.25751173265717581</v>
      </c>
      <c r="O235" s="10"/>
      <c r="P235" s="4">
        <f>SUM(OSRRefP25x_0)</f>
        <v>472506.75</v>
      </c>
      <c r="Q235" s="4"/>
      <c r="R235" s="12">
        <f t="shared" ref="R235:R241" si="141">IF(P$12=0,0,P235/P$12)</f>
        <v>0.10210224569892547</v>
      </c>
      <c r="S235" s="4"/>
      <c r="T235" s="4">
        <f>SUM(OSRRefT25x_0)</f>
        <v>544732.37</v>
      </c>
      <c r="U235" s="4"/>
      <c r="V235" s="12">
        <f t="shared" ref="V235:V241" si="142">IF(T$12=0,0,T235/T$12)</f>
        <v>0.13707548198821704</v>
      </c>
      <c r="W235" s="4"/>
      <c r="X235" s="4">
        <f t="shared" ref="X235:X241" si="143">+P235-T235</f>
        <v>-72225.62</v>
      </c>
      <c r="Y235" s="4"/>
      <c r="Z235" s="12">
        <f t="shared" ref="Z235:Z241" si="144">IF(T235=0,0,X235/T235)</f>
        <v>-0.13258918319834748</v>
      </c>
    </row>
    <row r="236" spans="1:26" s="24" customFormat="1" hidden="1" outlineLevel="1" x14ac:dyDescent="0.3">
      <c r="A236" s="44"/>
      <c r="B236" s="11" t="str">
        <f>CONCATENATE("          ", "4187", " - ", "NON-TAXABLE SALES-COMPUTER REP")</f>
        <v xml:space="preserve">          4187 - NON-TAXABLE SALES-COMPUTER REP</v>
      </c>
      <c r="C236" s="11"/>
      <c r="D236" s="2">
        <f>0</f>
        <v>0</v>
      </c>
      <c r="E236" s="2"/>
      <c r="F236" s="19">
        <f t="shared" si="137"/>
        <v>0</v>
      </c>
      <c r="G236" s="2"/>
      <c r="H236" s="2">
        <f>--471.29</f>
        <v>471.29</v>
      </c>
      <c r="I236" s="2"/>
      <c r="J236" s="19">
        <f t="shared" si="138"/>
        <v>1.5053660266718314E-3</v>
      </c>
      <c r="K236" s="2"/>
      <c r="L236" s="2">
        <f t="shared" si="139"/>
        <v>-471.29</v>
      </c>
      <c r="M236" s="2"/>
      <c r="N236" s="19">
        <f t="shared" si="140"/>
        <v>-1</v>
      </c>
      <c r="O236" s="11"/>
      <c r="P236" s="2">
        <f>0</f>
        <v>0</v>
      </c>
      <c r="Q236" s="2"/>
      <c r="R236" s="19">
        <f t="shared" si="141"/>
        <v>0</v>
      </c>
      <c r="S236" s="2"/>
      <c r="T236" s="2">
        <f>--1034.5</f>
        <v>1034.5</v>
      </c>
      <c r="U236" s="2"/>
      <c r="V236" s="19">
        <f t="shared" si="142"/>
        <v>2.603197348393497E-4</v>
      </c>
      <c r="W236" s="2"/>
      <c r="X236" s="2">
        <f t="shared" si="143"/>
        <v>-1034.5</v>
      </c>
      <c r="Y236" s="2"/>
      <c r="Z236" s="19">
        <f t="shared" si="144"/>
        <v>-1</v>
      </c>
    </row>
    <row r="237" spans="1:26" s="24" customFormat="1" hidden="1" outlineLevel="1" x14ac:dyDescent="0.3">
      <c r="A237" s="44"/>
      <c r="B237" s="11" t="str">
        <f>CONCATENATE("          ", "9087", " - ", "")</f>
        <v xml:space="preserve">          9087 - </v>
      </c>
      <c r="C237" s="11"/>
      <c r="D237" s="2">
        <f>--730.08</f>
        <v>730.08</v>
      </c>
      <c r="E237" s="2"/>
      <c r="F237" s="19">
        <f t="shared" si="137"/>
        <v>1.1556192627713237E-3</v>
      </c>
      <c r="G237" s="2"/>
      <c r="H237" s="2">
        <f>0</f>
        <v>0</v>
      </c>
      <c r="I237" s="2"/>
      <c r="J237" s="19">
        <f t="shared" si="138"/>
        <v>0</v>
      </c>
      <c r="K237" s="2"/>
      <c r="L237" s="2">
        <f t="shared" si="139"/>
        <v>730.08</v>
      </c>
      <c r="M237" s="2"/>
      <c r="N237" s="19">
        <f t="shared" si="140"/>
        <v>0</v>
      </c>
      <c r="O237" s="11"/>
      <c r="P237" s="2">
        <f>--337.7</f>
        <v>337.7</v>
      </c>
      <c r="Q237" s="2"/>
      <c r="R237" s="19">
        <f t="shared" si="141"/>
        <v>7.2972350918853809E-5</v>
      </c>
      <c r="S237" s="2"/>
      <c r="T237" s="2">
        <f>0</f>
        <v>0</v>
      </c>
      <c r="U237" s="2"/>
      <c r="V237" s="19">
        <f t="shared" si="142"/>
        <v>0</v>
      </c>
      <c r="W237" s="2"/>
      <c r="X237" s="2">
        <f t="shared" si="143"/>
        <v>337.7</v>
      </c>
      <c r="Y237" s="2"/>
      <c r="Z237" s="19">
        <f t="shared" si="144"/>
        <v>0</v>
      </c>
    </row>
    <row r="238" spans="1:26" s="24" customFormat="1" hidden="1" outlineLevel="1" x14ac:dyDescent="0.3">
      <c r="A238" s="44"/>
      <c r="B238" s="11" t="str">
        <f>CONCATENATE("          ", "9150", " - ", "MISC. INCOME")</f>
        <v xml:space="preserve">          9150 - MISC. INCOME</v>
      </c>
      <c r="C238" s="11"/>
      <c r="D238" s="2">
        <f>--12888.78</f>
        <v>12888.78</v>
      </c>
      <c r="E238" s="2"/>
      <c r="F238" s="19">
        <f t="shared" si="137"/>
        <v>2.040121964938333E-2</v>
      </c>
      <c r="G238" s="2"/>
      <c r="H238" s="2">
        <f>--18646.02</f>
        <v>18646.02</v>
      </c>
      <c r="I238" s="2"/>
      <c r="J238" s="19">
        <f t="shared" si="138"/>
        <v>5.9557989858990218E-2</v>
      </c>
      <c r="K238" s="2"/>
      <c r="L238" s="2">
        <f t="shared" si="139"/>
        <v>-5757.24</v>
      </c>
      <c r="M238" s="2"/>
      <c r="N238" s="19">
        <f t="shared" si="140"/>
        <v>-0.30876508767018374</v>
      </c>
      <c r="O238" s="11"/>
      <c r="P238" s="2">
        <f>--227830.39</f>
        <v>227830.39</v>
      </c>
      <c r="Q238" s="2"/>
      <c r="R238" s="19">
        <f t="shared" si="141"/>
        <v>4.9231031001064032E-2</v>
      </c>
      <c r="S238" s="2"/>
      <c r="T238" s="2">
        <f>--217920.71</f>
        <v>217920.71</v>
      </c>
      <c r="U238" s="2"/>
      <c r="V238" s="19">
        <f t="shared" si="142"/>
        <v>5.4837178775449802E-2</v>
      </c>
      <c r="W238" s="2"/>
      <c r="X238" s="2">
        <f t="shared" si="143"/>
        <v>9909.6800000000221</v>
      </c>
      <c r="Y238" s="2"/>
      <c r="Z238" s="19">
        <f t="shared" si="144"/>
        <v>4.5473787232062628E-2</v>
      </c>
    </row>
    <row r="239" spans="1:26" s="24" customFormat="1" hidden="1" outlineLevel="1" x14ac:dyDescent="0.3">
      <c r="A239" s="44"/>
      <c r="B239" s="11" t="str">
        <f>CONCATENATE("          ", "9151", " - ", "MISC. INCOME")</f>
        <v xml:space="preserve">          9151 - MISC. INCOME</v>
      </c>
      <c r="C239" s="11"/>
      <c r="D239" s="2">
        <f>0</f>
        <v>0</v>
      </c>
      <c r="E239" s="2"/>
      <c r="F239" s="19">
        <f t="shared" si="137"/>
        <v>0</v>
      </c>
      <c r="G239" s="2"/>
      <c r="H239" s="2">
        <f>0</f>
        <v>0</v>
      </c>
      <c r="I239" s="2"/>
      <c r="J239" s="19">
        <f t="shared" si="138"/>
        <v>0</v>
      </c>
      <c r="K239" s="2"/>
      <c r="L239" s="2">
        <f t="shared" si="139"/>
        <v>0</v>
      </c>
      <c r="M239" s="2"/>
      <c r="N239" s="19">
        <f t="shared" si="140"/>
        <v>0</v>
      </c>
      <c r="O239" s="11"/>
      <c r="P239" s="2">
        <f>--168463.36</f>
        <v>168463.35999999999</v>
      </c>
      <c r="Q239" s="2"/>
      <c r="R239" s="19">
        <f t="shared" si="141"/>
        <v>3.640262784391235E-2</v>
      </c>
      <c r="S239" s="2"/>
      <c r="T239" s="2">
        <f>--147285.39</f>
        <v>147285.39000000001</v>
      </c>
      <c r="U239" s="2"/>
      <c r="V239" s="19">
        <f t="shared" si="142"/>
        <v>3.7062632837612582E-2</v>
      </c>
      <c r="W239" s="2"/>
      <c r="X239" s="2">
        <f t="shared" si="143"/>
        <v>21177.969999999972</v>
      </c>
      <c r="Y239" s="2"/>
      <c r="Z239" s="19">
        <f t="shared" si="144"/>
        <v>0.14378866770152809</v>
      </c>
    </row>
    <row r="240" spans="1:26" s="24" customFormat="1" hidden="1" outlineLevel="1" x14ac:dyDescent="0.3">
      <c r="A240" s="44"/>
      <c r="B240" s="11" t="str">
        <f>CONCATENATE("          ", "9152", " - ", "MISC. INCOME")</f>
        <v xml:space="preserve">          9152 - MISC. INCOME</v>
      </c>
      <c r="C240" s="11"/>
      <c r="D240" s="2">
        <f>--931.69</f>
        <v>931.69</v>
      </c>
      <c r="E240" s="2"/>
      <c r="F240" s="19">
        <f t="shared" si="137"/>
        <v>1.474741002261964E-3</v>
      </c>
      <c r="G240" s="2"/>
      <c r="H240" s="2">
        <f>--479.7</f>
        <v>479.7</v>
      </c>
      <c r="I240" s="2"/>
      <c r="J240" s="19">
        <f t="shared" si="138"/>
        <v>1.5322287402543603E-3</v>
      </c>
      <c r="K240" s="2"/>
      <c r="L240" s="2">
        <f t="shared" si="139"/>
        <v>451.99000000000007</v>
      </c>
      <c r="M240" s="2"/>
      <c r="N240" s="19">
        <f t="shared" si="140"/>
        <v>0.94223473003960823</v>
      </c>
      <c r="O240" s="11"/>
      <c r="P240" s="2">
        <f>--3127.1</f>
        <v>3127.1</v>
      </c>
      <c r="Q240" s="2"/>
      <c r="R240" s="19">
        <f t="shared" si="141"/>
        <v>6.7572353733594238E-4</v>
      </c>
      <c r="S240" s="2"/>
      <c r="T240" s="2">
        <f>--3085.93</f>
        <v>3085.93</v>
      </c>
      <c r="U240" s="2"/>
      <c r="V240" s="19">
        <f t="shared" si="142"/>
        <v>7.7653792105635033E-4</v>
      </c>
      <c r="W240" s="2"/>
      <c r="X240" s="2">
        <f t="shared" si="143"/>
        <v>41.170000000000073</v>
      </c>
      <c r="Y240" s="2"/>
      <c r="Z240" s="19">
        <f t="shared" si="144"/>
        <v>1.3341196981136991E-2</v>
      </c>
    </row>
    <row r="241" spans="1:26" s="24" customFormat="1" hidden="1" outlineLevel="1" x14ac:dyDescent="0.3">
      <c r="A241" s="44"/>
      <c r="B241" s="11" t="str">
        <f>CONCATENATE("          ", "9163", " - ", "MISC. INCOME")</f>
        <v xml:space="preserve">          9163 - MISC. INCOME</v>
      </c>
      <c r="C241" s="11"/>
      <c r="D241" s="2">
        <f>0</f>
        <v>0</v>
      </c>
      <c r="E241" s="2"/>
      <c r="F241" s="19">
        <f t="shared" si="137"/>
        <v>0</v>
      </c>
      <c r="G241" s="2"/>
      <c r="H241" s="2">
        <f>0</f>
        <v>0</v>
      </c>
      <c r="I241" s="2"/>
      <c r="J241" s="19">
        <f t="shared" si="138"/>
        <v>0</v>
      </c>
      <c r="K241" s="2"/>
      <c r="L241" s="2">
        <f t="shared" si="139"/>
        <v>0</v>
      </c>
      <c r="M241" s="2"/>
      <c r="N241" s="19">
        <f t="shared" si="140"/>
        <v>0</v>
      </c>
      <c r="O241" s="11"/>
      <c r="P241" s="2">
        <f>--72748.2</f>
        <v>72748.2</v>
      </c>
      <c r="Q241" s="2"/>
      <c r="R241" s="19">
        <f t="shared" si="141"/>
        <v>1.5719890965694285E-2</v>
      </c>
      <c r="S241" s="2"/>
      <c r="T241" s="2">
        <f>--175405.84</f>
        <v>175405.84</v>
      </c>
      <c r="U241" s="2"/>
      <c r="V241" s="19">
        <f t="shared" si="142"/>
        <v>4.4138812719258964E-2</v>
      </c>
      <c r="W241" s="2"/>
      <c r="X241" s="2">
        <f t="shared" si="143"/>
        <v>-102657.64</v>
      </c>
      <c r="Y241" s="2"/>
      <c r="Z241" s="19">
        <f t="shared" si="144"/>
        <v>-0.58525782265858428</v>
      </c>
    </row>
    <row r="242" spans="1:26" x14ac:dyDescent="0.3">
      <c r="A242" s="9"/>
      <c r="B242" s="10"/>
      <c r="C242" s="10"/>
      <c r="D242" s="3"/>
      <c r="E242" s="3"/>
      <c r="F242" s="8"/>
      <c r="G242" s="3"/>
      <c r="H242" s="3"/>
      <c r="I242" s="3"/>
      <c r="J242" s="8"/>
      <c r="K242" s="3"/>
      <c r="L242" s="3"/>
      <c r="M242" s="3"/>
      <c r="N242" s="8"/>
      <c r="O242" s="10"/>
      <c r="P242" s="3"/>
      <c r="Q242" s="3"/>
      <c r="R242" s="8"/>
      <c r="S242" s="3"/>
      <c r="T242" s="3"/>
      <c r="U242" s="3"/>
      <c r="V242" s="8"/>
      <c r="W242" s="3"/>
      <c r="X242" s="3"/>
      <c r="Y242" s="3"/>
      <c r="Z242" s="8"/>
    </row>
    <row r="243" spans="1:26" s="23" customFormat="1" x14ac:dyDescent="0.3">
      <c r="A243" s="10"/>
      <c r="B243" s="26" t="s">
        <v>276</v>
      </c>
      <c r="C243" s="26"/>
      <c r="D243" s="20">
        <f>+D144-D146+D235</f>
        <v>-20578.609999999913</v>
      </c>
      <c r="E243" s="13"/>
      <c r="F243" s="21">
        <f>IF(D$12=0,0,D243/D$12)</f>
        <v>-3.2573194878723545E-2</v>
      </c>
      <c r="G243" s="13"/>
      <c r="H243" s="20">
        <f>+H144-H146+H235</f>
        <v>-136975.07999999996</v>
      </c>
      <c r="I243" s="13"/>
      <c r="J243" s="21">
        <f>IF(H$12=0,0,H243/H$12)</f>
        <v>-0.43751751985540999</v>
      </c>
      <c r="K243" s="15"/>
      <c r="L243" s="20">
        <f>+D243-H243</f>
        <v>116396.47000000004</v>
      </c>
      <c r="M243" s="15"/>
      <c r="N243" s="21">
        <f>IF(H243=0,0,L243/H243)</f>
        <v>-0.84976384025473894</v>
      </c>
      <c r="O243" s="25"/>
      <c r="P243" s="20">
        <f>+P144-P146+P235</f>
        <v>113787.46000000066</v>
      </c>
      <c r="Q243" s="13"/>
      <c r="R243" s="21">
        <f>IF(P$12=0,0,P243/P$12)</f>
        <v>2.4587913714199258E-2</v>
      </c>
      <c r="S243" s="13"/>
      <c r="T243" s="20">
        <f>+T144-T146+T235</f>
        <v>-119550.31999999669</v>
      </c>
      <c r="U243" s="13"/>
      <c r="V243" s="21">
        <f>IF(T$12=0,0,T243/T$12)</f>
        <v>-3.0083429291791728E-2</v>
      </c>
      <c r="W243" s="15"/>
      <c r="X243" s="20">
        <f>+P243-T243</f>
        <v>233337.77999999735</v>
      </c>
      <c r="Y243" s="15"/>
      <c r="Z243" s="21">
        <f>IF(T243=0,0,X243/T243)</f>
        <v>-1.9517955284436195</v>
      </c>
    </row>
    <row r="244" spans="1:26" x14ac:dyDescent="0.3">
      <c r="A244" s="9"/>
      <c r="B244" s="10"/>
      <c r="C244" s="9"/>
      <c r="D244" s="3"/>
      <c r="E244" s="3"/>
      <c r="F244" s="8"/>
      <c r="G244" s="3"/>
      <c r="H244" s="3"/>
      <c r="I244" s="3"/>
      <c r="J244" s="8"/>
      <c r="K244" s="3"/>
      <c r="L244" s="3"/>
      <c r="M244" s="3"/>
      <c r="N244" s="8"/>
      <c r="P244" s="3"/>
      <c r="Q244" s="3"/>
      <c r="R244" s="8"/>
      <c r="S244" s="3"/>
      <c r="T244" s="3"/>
      <c r="U244" s="3"/>
      <c r="V244" s="8"/>
      <c r="W244" s="3"/>
      <c r="X244" s="3"/>
      <c r="Y244" s="3"/>
      <c r="Z244" s="8"/>
    </row>
    <row r="245" spans="1:26" s="23" customFormat="1" x14ac:dyDescent="0.3">
      <c r="A245" s="51"/>
      <c r="B245" s="10" t="s">
        <v>127</v>
      </c>
      <c r="C245" s="10"/>
      <c r="D245" s="4">
        <v>81077.320000000007</v>
      </c>
      <c r="E245" s="4"/>
      <c r="F245" s="12">
        <f>IF(D$12=0,0,D245/D$12)</f>
        <v>0.12833458356053407</v>
      </c>
      <c r="G245" s="4"/>
      <c r="H245" s="4">
        <v>153558.1</v>
      </c>
      <c r="I245" s="4"/>
      <c r="J245" s="12">
        <f>IF(H$12=0,0,H245/H$12)</f>
        <v>0.49048599983083824</v>
      </c>
      <c r="K245" s="4"/>
      <c r="L245" s="4">
        <f>+D245-H245</f>
        <v>-72480.78</v>
      </c>
      <c r="M245" s="4"/>
      <c r="N245" s="12">
        <f>IF(H245=0,0,L245/H245)</f>
        <v>-0.47200883574360453</v>
      </c>
      <c r="O245" s="10"/>
      <c r="P245" s="4">
        <v>557049.61</v>
      </c>
      <c r="Q245" s="4"/>
      <c r="R245" s="12">
        <f>IF(P$12=0,0,P245/P$12)</f>
        <v>0.12037080136254266</v>
      </c>
      <c r="S245" s="4"/>
      <c r="T245" s="4">
        <v>735266.59</v>
      </c>
      <c r="U245" s="4"/>
      <c r="V245" s="12">
        <f>IF(T$12=0,0,T245/T$12)</f>
        <v>0.18502117326731063</v>
      </c>
      <c r="W245" s="4"/>
      <c r="X245" s="4">
        <f>+P245-T245</f>
        <v>-178216.97999999998</v>
      </c>
      <c r="Y245" s="4"/>
      <c r="Z245" s="12">
        <f>IF(T245=0,0,X245/T245)</f>
        <v>-0.24238416708149352</v>
      </c>
    </row>
    <row r="246" spans="1:26" x14ac:dyDescent="0.3">
      <c r="A246" s="9"/>
      <c r="B246" s="10"/>
      <c r="C246" s="10"/>
      <c r="D246" s="3"/>
      <c r="E246" s="3"/>
      <c r="F246" s="8"/>
      <c r="G246" s="3"/>
      <c r="H246" s="3"/>
      <c r="I246" s="3"/>
      <c r="J246" s="8"/>
      <c r="K246" s="3"/>
      <c r="L246" s="3"/>
      <c r="M246" s="3"/>
      <c r="N246" s="8"/>
      <c r="O246" s="10"/>
      <c r="P246" s="3"/>
      <c r="Q246" s="3"/>
      <c r="R246" s="8"/>
      <c r="S246" s="3"/>
      <c r="T246" s="3"/>
      <c r="U246" s="3"/>
      <c r="V246" s="8"/>
      <c r="W246" s="3"/>
      <c r="X246" s="3"/>
      <c r="Y246" s="3"/>
      <c r="Z246" s="8"/>
    </row>
    <row r="247" spans="1:26" s="23" customFormat="1" ht="15" thickBot="1" x14ac:dyDescent="0.35">
      <c r="A247" s="10"/>
      <c r="B247" s="26" t="s">
        <v>125</v>
      </c>
      <c r="C247" s="26"/>
      <c r="D247" s="32">
        <f>+D243-D245</f>
        <v>-101655.92999999992</v>
      </c>
      <c r="E247" s="13"/>
      <c r="F247" s="35">
        <f>IF(D$12=0,0,D247/D$12)</f>
        <v>-0.1609077784392576</v>
      </c>
      <c r="G247" s="13"/>
      <c r="H247" s="32">
        <f>+H243-H245</f>
        <v>-290533.17999999993</v>
      </c>
      <c r="I247" s="13"/>
      <c r="J247" s="35">
        <f>IF(H$12=0,0,H247/H$12)</f>
        <v>-0.92800351968624806</v>
      </c>
      <c r="K247" s="15"/>
      <c r="L247" s="32">
        <f>D247-H247</f>
        <v>188877.25</v>
      </c>
      <c r="M247" s="15"/>
      <c r="N247" s="35">
        <f>IF(H247=0,0,L247/H247)</f>
        <v>-0.65010560928015193</v>
      </c>
      <c r="O247" s="25"/>
      <c r="P247" s="32">
        <f>+P243-P245</f>
        <v>-443262.14999999932</v>
      </c>
      <c r="Q247" s="13"/>
      <c r="R247" s="35">
        <f>IF(P$12=0,0,P247/P$12)</f>
        <v>-9.5782887648343404E-2</v>
      </c>
      <c r="S247" s="13"/>
      <c r="T247" s="32">
        <f>+T243-T245</f>
        <v>-854816.90999999666</v>
      </c>
      <c r="U247" s="13"/>
      <c r="V247" s="35">
        <f>IF(T$12=0,0,T247/T$12)</f>
        <v>-0.21510460255910235</v>
      </c>
      <c r="W247" s="15"/>
      <c r="X247" s="32">
        <f>P247-T247</f>
        <v>411554.75999999733</v>
      </c>
      <c r="Y247" s="15"/>
      <c r="Z247" s="35">
        <f>IF(T247=0,0,X247/T247)</f>
        <v>-0.48145369515443831</v>
      </c>
    </row>
    <row r="248" spans="1:26" ht="15" thickTop="1" x14ac:dyDescent="0.3">
      <c r="A248" s="9"/>
      <c r="B248" s="9"/>
      <c r="C248" s="9"/>
      <c r="D248" s="3"/>
      <c r="E248" s="3"/>
      <c r="F248" s="8"/>
      <c r="G248" s="3"/>
      <c r="H248" s="3"/>
      <c r="I248" s="3"/>
      <c r="J248" s="8"/>
      <c r="K248" s="3"/>
      <c r="L248" s="3"/>
      <c r="M248" s="3"/>
      <c r="N248" s="8"/>
      <c r="P248" s="3"/>
      <c r="Q248" s="3"/>
      <c r="R248" s="8"/>
      <c r="S248" s="3"/>
      <c r="T248" s="3"/>
      <c r="U248" s="3"/>
      <c r="V248" s="8"/>
      <c r="W248" s="3"/>
      <c r="X248" s="3"/>
      <c r="Y248" s="3"/>
      <c r="Z248" s="8"/>
    </row>
    <row r="249" spans="1:26" x14ac:dyDescent="0.3">
      <c r="A249" s="9"/>
      <c r="B249" s="9"/>
      <c r="C249" s="9"/>
      <c r="D249" s="3"/>
      <c r="E249" s="3"/>
      <c r="F249" s="8"/>
      <c r="G249" s="3"/>
      <c r="H249" s="3"/>
      <c r="I249" s="3"/>
      <c r="J249" s="8"/>
      <c r="K249" s="3"/>
      <c r="L249" s="3"/>
      <c r="M249" s="3"/>
      <c r="N249" s="8"/>
      <c r="P249" s="3"/>
      <c r="Q249" s="3"/>
      <c r="R249" s="8"/>
      <c r="S249" s="3"/>
      <c r="T249" s="3"/>
      <c r="U249" s="3"/>
      <c r="V249" s="8"/>
      <c r="W249" s="3"/>
      <c r="X249" s="3"/>
      <c r="Y249" s="3"/>
      <c r="Z249" s="8"/>
    </row>
    <row r="250" spans="1:26" s="23" customFormat="1" ht="15" thickBot="1" x14ac:dyDescent="0.35">
      <c r="A250" s="10"/>
      <c r="B250" s="26" t="s">
        <v>293</v>
      </c>
      <c r="C250" s="26"/>
      <c r="D250" s="31">
        <f>SUM(D247:D249)</f>
        <v>-101655.92999999992</v>
      </c>
      <c r="E250" s="13"/>
      <c r="F250" s="33">
        <f>IF(D$12=0,0,D250/D$12)</f>
        <v>-0.1609077784392576</v>
      </c>
      <c r="G250" s="13"/>
      <c r="H250" s="31">
        <f>SUM(H247:H249)</f>
        <v>-290533.17999999993</v>
      </c>
      <c r="I250" s="13"/>
      <c r="J250" s="33">
        <f>IF(H$12=0,0,H250/H$12)</f>
        <v>-0.92800351968624806</v>
      </c>
      <c r="K250" s="15"/>
      <c r="L250" s="31">
        <f>+D250-H250</f>
        <v>188877.25</v>
      </c>
      <c r="M250" s="15"/>
      <c r="N250" s="33">
        <f>IF(H250=0,0,L250/H250)</f>
        <v>-0.65010560928015193</v>
      </c>
      <c r="O250" s="25"/>
      <c r="P250" s="31">
        <f>SUM(P247:P249)</f>
        <v>-443262.14999999932</v>
      </c>
      <c r="Q250" s="13"/>
      <c r="R250" s="33">
        <f>IF(P$12=0,0,P250/P$12)</f>
        <v>-9.5782887648343404E-2</v>
      </c>
      <c r="S250" s="13"/>
      <c r="T250" s="31">
        <f>SUM(T247:T249)</f>
        <v>-854816.90999999666</v>
      </c>
      <c r="U250" s="13"/>
      <c r="V250" s="33">
        <f>IF(T$12=0,0,T250/T$12)</f>
        <v>-0.21510460255910235</v>
      </c>
      <c r="W250" s="15"/>
      <c r="X250" s="31">
        <f>+P250-T250</f>
        <v>411554.75999999733</v>
      </c>
      <c r="Y250" s="15"/>
      <c r="Z250" s="33">
        <f>IF(T250=0,0,X250/T250)</f>
        <v>-0.48145369515443831</v>
      </c>
    </row>
    <row r="251" spans="1:26" ht="15" thickTop="1" x14ac:dyDescent="0.3">
      <c r="A251" s="9"/>
      <c r="C251" s="9"/>
      <c r="D251" s="17"/>
      <c r="E251" s="17"/>
      <c r="G251" s="17"/>
      <c r="H251" s="17"/>
      <c r="I251" s="17"/>
      <c r="J251" s="43"/>
      <c r="K251" s="17"/>
      <c r="L251" s="17"/>
      <c r="M251" s="17"/>
      <c r="P251" s="17"/>
      <c r="Q251" s="17"/>
      <c r="R251" s="43"/>
      <c r="S251" s="17"/>
      <c r="T251" s="17"/>
      <c r="U251" s="17"/>
      <c r="V251" s="43"/>
      <c r="W251" s="17"/>
      <c r="X251" s="17"/>
    </row>
    <row r="252" spans="1:26" x14ac:dyDescent="0.3">
      <c r="A252" s="9"/>
      <c r="B252" s="60">
        <v>44575.854642280094</v>
      </c>
      <c r="D252" s="17"/>
      <c r="E252" s="17"/>
      <c r="G252" s="17"/>
      <c r="H252" s="17"/>
      <c r="I252" s="17"/>
      <c r="J252" s="43"/>
      <c r="K252" s="17"/>
      <c r="L252" s="17"/>
      <c r="M252" s="17"/>
      <c r="P252" s="17"/>
      <c r="Q252" s="17"/>
      <c r="R252" s="43"/>
      <c r="S252" s="17"/>
      <c r="T252" s="17"/>
      <c r="U252" s="17"/>
      <c r="V252" s="43"/>
      <c r="W252" s="17"/>
      <c r="X252" s="17"/>
    </row>
    <row r="253" spans="1:26" x14ac:dyDescent="0.3">
      <c r="A253" s="9"/>
      <c r="B253" s="57" t="s">
        <v>56</v>
      </c>
      <c r="D253" s="17"/>
      <c r="E253" s="17"/>
      <c r="G253" s="17"/>
      <c r="H253" s="17"/>
      <c r="I253" s="17"/>
      <c r="J253" s="43"/>
      <c r="K253" s="17"/>
      <c r="L253" s="17"/>
      <c r="M253" s="17"/>
      <c r="P253" s="17"/>
      <c r="Q253" s="17"/>
      <c r="R253" s="43"/>
      <c r="S253" s="17"/>
      <c r="T253" s="17"/>
      <c r="U253" s="17"/>
      <c r="V253" s="43"/>
      <c r="W253" s="17"/>
      <c r="X253" s="17"/>
    </row>
    <row r="254" spans="1:26" x14ac:dyDescent="0.3">
      <c r="A254" s="9"/>
      <c r="B254" s="59"/>
      <c r="D254" s="17"/>
      <c r="E254" s="17"/>
      <c r="G254" s="17"/>
      <c r="H254" s="17"/>
      <c r="I254" s="17"/>
      <c r="J254" s="43"/>
      <c r="K254" s="17"/>
      <c r="L254" s="17"/>
      <c r="M254" s="17"/>
      <c r="P254" s="17"/>
      <c r="Q254" s="17"/>
      <c r="R254" s="43"/>
      <c r="S254" s="17"/>
      <c r="T254" s="17"/>
      <c r="U254" s="17"/>
      <c r="V254" s="43"/>
      <c r="W254" s="17"/>
      <c r="X254" s="17"/>
    </row>
    <row r="255" spans="1:26" x14ac:dyDescent="0.3">
      <c r="D255" s="17"/>
      <c r="E255" s="17"/>
      <c r="G255" s="17"/>
      <c r="H255" s="17"/>
      <c r="I255" s="17"/>
      <c r="J255" s="43"/>
      <c r="K255" s="17"/>
      <c r="L255" s="17"/>
      <c r="M255" s="17"/>
      <c r="P255" s="17"/>
      <c r="Q255" s="17"/>
      <c r="R255" s="43"/>
      <c r="S255" s="17"/>
      <c r="T255" s="17"/>
      <c r="U255" s="17"/>
      <c r="V255" s="43"/>
      <c r="W255" s="17"/>
      <c r="X255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outlinePr summaryBelow="0" summaryRight="0"/>
  </sheetPr>
  <dimension ref="A2:Z11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","301", " - ", "Bookstore Operations")</f>
        <v>Department 301 - Bookstore Operations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3">
      <c r="A14" s="10"/>
      <c r="B14" s="25" t="s">
        <v>256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0</v>
      </c>
      <c r="Y14" s="4"/>
      <c r="Z14" s="12">
        <f t="shared" ref="Z14:Z15" si="7">IF(T14=0,0,X14/T14)</f>
        <v>0</v>
      </c>
    </row>
    <row r="15" spans="1:26" s="24" customFormat="1" hidden="1" outlineLevel="1" x14ac:dyDescent="0.3">
      <c r="A15" s="44"/>
      <c r="B15" s="11" t="str">
        <f>CONCATENATE("          ", "5000", " - ", "PURCHASES @ COST")</f>
        <v xml:space="preserve">          5000 - PURCHASES @ COST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0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0</v>
      </c>
      <c r="Y15" s="2"/>
      <c r="Z15" s="19">
        <f t="shared" si="7"/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6" t="s">
        <v>107</v>
      </c>
      <c r="C17" s="26"/>
      <c r="D17" s="20">
        <f>D12-D14</f>
        <v>0</v>
      </c>
      <c r="E17" s="13"/>
      <c r="F17" s="21">
        <f>IF(D$12=0,0,D17/D$12)</f>
        <v>0</v>
      </c>
      <c r="G17" s="13"/>
      <c r="H17" s="20">
        <f>H12-H14</f>
        <v>0</v>
      </c>
      <c r="I17" s="13"/>
      <c r="J17" s="21">
        <f>IF(H$12=0,0,H17/H$12)</f>
        <v>0</v>
      </c>
      <c r="K17" s="15"/>
      <c r="L17" s="20">
        <f>+D17-H17</f>
        <v>0</v>
      </c>
      <c r="M17" s="15"/>
      <c r="N17" s="21">
        <f>IF(H17=0,0,L17/H17)</f>
        <v>0</v>
      </c>
      <c r="O17" s="25"/>
      <c r="P17" s="20">
        <f>P12-P14</f>
        <v>0</v>
      </c>
      <c r="Q17" s="13"/>
      <c r="R17" s="21">
        <f>IF(P$12=0,0,P17/P$12)</f>
        <v>0</v>
      </c>
      <c r="S17" s="13"/>
      <c r="T17" s="20">
        <f>T12-T14</f>
        <v>0</v>
      </c>
      <c r="U17" s="13"/>
      <c r="V17" s="21">
        <f>IF(T$12=0,0,T17/T$12)</f>
        <v>0</v>
      </c>
      <c r="W17" s="15"/>
      <c r="X17" s="20">
        <f>+P17-T17</f>
        <v>0</v>
      </c>
      <c r="Y17" s="15"/>
      <c r="Z17" s="21">
        <f>IF(T17=0,0,X17/T17)</f>
        <v>0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294</v>
      </c>
      <c r="C19" s="10"/>
      <c r="D19" s="22">
        <f>SUM(OSRRefD22x_0)</f>
        <v>117030.11</v>
      </c>
      <c r="E19" s="22"/>
      <c r="F19" s="34">
        <f t="shared" ref="F19:F30" si="8">IF(D$12=0,0,D19/D$12)</f>
        <v>0</v>
      </c>
      <c r="G19" s="22"/>
      <c r="H19" s="22">
        <f>SUM(OSRRefH22x_0)</f>
        <v>101696.02999999997</v>
      </c>
      <c r="I19" s="22"/>
      <c r="J19" s="34">
        <f t="shared" ref="J19:J30" si="9">IF(H$12=0,0,H19/H$12)</f>
        <v>0</v>
      </c>
      <c r="K19" s="4"/>
      <c r="L19" s="22">
        <f t="shared" ref="L19:L30" si="10">+D19-H19</f>
        <v>15334.080000000031</v>
      </c>
      <c r="M19" s="4"/>
      <c r="N19" s="34">
        <f t="shared" ref="N19:N30" si="11">IF(H19=0,0,L19/H19)</f>
        <v>0.15078346716189447</v>
      </c>
      <c r="O19" s="10"/>
      <c r="P19" s="22">
        <f>SUM(OSRRefP22x_0)</f>
        <v>862369.05999999971</v>
      </c>
      <c r="Q19" s="22"/>
      <c r="R19" s="34">
        <f t="shared" ref="R19:R30" si="12">IF(P$12=0,0,P19/P$12)</f>
        <v>0</v>
      </c>
      <c r="S19" s="22"/>
      <c r="T19" s="22">
        <f>SUM(OSRRefT22x_0)</f>
        <v>733088.14000000013</v>
      </c>
      <c r="U19" s="22"/>
      <c r="V19" s="34">
        <f t="shared" ref="V19:V30" si="13">IF(T$12=0,0,T19/T$12)</f>
        <v>0</v>
      </c>
      <c r="W19" s="4"/>
      <c r="X19" s="22">
        <f t="shared" ref="X19:X30" si="14">+P19-T19</f>
        <v>129280.91999999958</v>
      </c>
      <c r="Y19" s="4"/>
      <c r="Z19" s="34">
        <f t="shared" ref="Z19:Z30" si="15">IF(T19=0,0,X19/T19)</f>
        <v>0.17635112743741777</v>
      </c>
    </row>
    <row r="20" spans="1:26" s="29" customFormat="1" outlineLevel="1" collapsed="1" x14ac:dyDescent="0.3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13685.689999999999</v>
      </c>
      <c r="E20" s="1"/>
      <c r="F20" s="5">
        <f t="shared" si="8"/>
        <v>0</v>
      </c>
      <c r="G20" s="1"/>
      <c r="H20" s="1">
        <f>SUM(OSRRefH22_0x_0)</f>
        <v>8093.39</v>
      </c>
      <c r="I20" s="1"/>
      <c r="J20" s="5">
        <f t="shared" si="9"/>
        <v>0</v>
      </c>
      <c r="K20" s="1"/>
      <c r="L20" s="1">
        <f t="shared" si="10"/>
        <v>5592.2999999999984</v>
      </c>
      <c r="M20" s="1"/>
      <c r="N20" s="5">
        <f t="shared" si="11"/>
        <v>0.69097127408910208</v>
      </c>
      <c r="O20" s="14"/>
      <c r="P20" s="1">
        <f>SUM(OSRRefP22_0x_0)</f>
        <v>85456.290000000008</v>
      </c>
      <c r="Q20" s="1"/>
      <c r="R20" s="5">
        <f t="shared" si="12"/>
        <v>0</v>
      </c>
      <c r="S20" s="1"/>
      <c r="T20" s="1">
        <f>SUM(OSRRefT22_0x_0)</f>
        <v>50633.89</v>
      </c>
      <c r="U20" s="1"/>
      <c r="V20" s="5">
        <f t="shared" si="13"/>
        <v>0</v>
      </c>
      <c r="W20" s="1"/>
      <c r="X20" s="1">
        <f t="shared" si="14"/>
        <v>34822.400000000009</v>
      </c>
      <c r="Y20" s="1"/>
      <c r="Z20" s="5">
        <f t="shared" si="15"/>
        <v>0.68772910791566699</v>
      </c>
    </row>
    <row r="21" spans="1:26" s="24" customFormat="1" hidden="1" outlineLevel="2" x14ac:dyDescent="0.3">
      <c r="A21" s="28"/>
      <c r="B21" s="11" t="str">
        <f>CONCATENATE("          ", "6111", " - ", "F.I.C.A.")</f>
        <v xml:space="preserve">          6111 - F.I.C.A.</v>
      </c>
      <c r="C21" s="11"/>
      <c r="D21" s="6">
        <v>2010.69</v>
      </c>
      <c r="E21" s="2"/>
      <c r="F21" s="7">
        <f t="shared" si="8"/>
        <v>0</v>
      </c>
      <c r="G21" s="2"/>
      <c r="H21" s="6">
        <v>1775.58</v>
      </c>
      <c r="I21" s="2"/>
      <c r="J21" s="7">
        <f t="shared" si="9"/>
        <v>0</v>
      </c>
      <c r="K21" s="2"/>
      <c r="L21" s="6">
        <f t="shared" si="10"/>
        <v>235.11000000000013</v>
      </c>
      <c r="M21" s="2"/>
      <c r="N21" s="7">
        <f t="shared" si="11"/>
        <v>0.13241307065860178</v>
      </c>
      <c r="O21" s="11"/>
      <c r="P21" s="6">
        <v>16446.53</v>
      </c>
      <c r="Q21" s="2"/>
      <c r="R21" s="7">
        <f t="shared" si="12"/>
        <v>0</v>
      </c>
      <c r="S21" s="2"/>
      <c r="T21" s="6">
        <v>15013.12</v>
      </c>
      <c r="U21" s="2"/>
      <c r="V21" s="7">
        <f t="shared" si="13"/>
        <v>0</v>
      </c>
      <c r="W21" s="2"/>
      <c r="X21" s="6">
        <f t="shared" si="14"/>
        <v>1433.409999999998</v>
      </c>
      <c r="Y21" s="2"/>
      <c r="Z21" s="7">
        <f t="shared" si="15"/>
        <v>9.5477155980901895E-2</v>
      </c>
    </row>
    <row r="22" spans="1:26" s="24" customFormat="1" hidden="1" outlineLevel="2" x14ac:dyDescent="0.3">
      <c r="A22" s="28"/>
      <c r="B22" s="11" t="str">
        <f>CONCATENATE("          ", "6112", " - ", "COMPENSATION INSURANCE")</f>
        <v xml:space="preserve">          6112 - COMPENSATION INSURANCE</v>
      </c>
      <c r="C22" s="11"/>
      <c r="D22" s="6">
        <v>695.61</v>
      </c>
      <c r="E22" s="2"/>
      <c r="F22" s="7">
        <f t="shared" si="8"/>
        <v>0</v>
      </c>
      <c r="G22" s="2"/>
      <c r="H22" s="6">
        <v>841.14</v>
      </c>
      <c r="I22" s="2"/>
      <c r="J22" s="7">
        <f t="shared" si="9"/>
        <v>0</v>
      </c>
      <c r="K22" s="2"/>
      <c r="L22" s="6">
        <f t="shared" si="10"/>
        <v>-145.52999999999997</v>
      </c>
      <c r="M22" s="2"/>
      <c r="N22" s="7">
        <f t="shared" si="11"/>
        <v>-0.17301519366573934</v>
      </c>
      <c r="O22" s="11"/>
      <c r="P22" s="6">
        <v>4583.26</v>
      </c>
      <c r="Q22" s="2"/>
      <c r="R22" s="7">
        <f t="shared" si="12"/>
        <v>0</v>
      </c>
      <c r="S22" s="2"/>
      <c r="T22" s="6">
        <v>4629.07</v>
      </c>
      <c r="U22" s="2"/>
      <c r="V22" s="7">
        <f t="shared" si="13"/>
        <v>0</v>
      </c>
      <c r="W22" s="2"/>
      <c r="X22" s="6">
        <f t="shared" si="14"/>
        <v>-45.809999999999491</v>
      </c>
      <c r="Y22" s="2"/>
      <c r="Z22" s="7">
        <f t="shared" si="15"/>
        <v>-9.8961562473670727E-3</v>
      </c>
    </row>
    <row r="23" spans="1:26" s="24" customFormat="1" hidden="1" outlineLevel="2" x14ac:dyDescent="0.3">
      <c r="A23" s="28"/>
      <c r="B23" s="11" t="str">
        <f>CONCATENATE("          ", "6113", " - ", "GROUP INSURANCE")</f>
        <v xml:space="preserve">          6113 - GROUP INSURANCE</v>
      </c>
      <c r="C23" s="11"/>
      <c r="D23" s="6">
        <v>5752.3</v>
      </c>
      <c r="E23" s="2"/>
      <c r="F23" s="7">
        <f t="shared" si="8"/>
        <v>0</v>
      </c>
      <c r="G23" s="2"/>
      <c r="H23" s="6">
        <v>1727.95</v>
      </c>
      <c r="I23" s="2"/>
      <c r="J23" s="7">
        <f t="shared" si="9"/>
        <v>0</v>
      </c>
      <c r="K23" s="2"/>
      <c r="L23" s="6">
        <f t="shared" si="10"/>
        <v>4024.3500000000004</v>
      </c>
      <c r="M23" s="2"/>
      <c r="N23" s="7">
        <f t="shared" si="11"/>
        <v>2.3289736392835443</v>
      </c>
      <c r="O23" s="11"/>
      <c r="P23" s="6">
        <v>32401.08</v>
      </c>
      <c r="Q23" s="2"/>
      <c r="R23" s="7">
        <f t="shared" si="12"/>
        <v>0</v>
      </c>
      <c r="S23" s="2"/>
      <c r="T23" s="6">
        <v>9851.73</v>
      </c>
      <c r="U23" s="2"/>
      <c r="V23" s="7">
        <f t="shared" si="13"/>
        <v>0</v>
      </c>
      <c r="W23" s="2"/>
      <c r="X23" s="6">
        <f t="shared" si="14"/>
        <v>22549.350000000002</v>
      </c>
      <c r="Y23" s="2"/>
      <c r="Z23" s="7">
        <f t="shared" si="15"/>
        <v>2.288872106726433</v>
      </c>
    </row>
    <row r="24" spans="1:26" s="24" customFormat="1" hidden="1" outlineLevel="2" x14ac:dyDescent="0.3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6">
        <v>123.73</v>
      </c>
      <c r="E24" s="2"/>
      <c r="F24" s="7">
        <f t="shared" si="8"/>
        <v>0</v>
      </c>
      <c r="G24" s="2"/>
      <c r="H24" s="6"/>
      <c r="I24" s="2"/>
      <c r="J24" s="7">
        <f t="shared" si="9"/>
        <v>0</v>
      </c>
      <c r="K24" s="2"/>
      <c r="L24" s="6">
        <f t="shared" si="10"/>
        <v>123.73</v>
      </c>
      <c r="M24" s="2"/>
      <c r="N24" s="7">
        <f t="shared" si="11"/>
        <v>0</v>
      </c>
      <c r="O24" s="11"/>
      <c r="P24" s="6">
        <v>818.57</v>
      </c>
      <c r="Q24" s="2"/>
      <c r="R24" s="7">
        <f t="shared" si="12"/>
        <v>0</v>
      </c>
      <c r="S24" s="2"/>
      <c r="T24" s="6">
        <v>599.66999999999996</v>
      </c>
      <c r="U24" s="2"/>
      <c r="V24" s="7">
        <f t="shared" si="13"/>
        <v>0</v>
      </c>
      <c r="W24" s="2"/>
      <c r="X24" s="6">
        <f t="shared" si="14"/>
        <v>218.90000000000009</v>
      </c>
      <c r="Y24" s="2"/>
      <c r="Z24" s="7">
        <f t="shared" si="15"/>
        <v>0.36503410208948273</v>
      </c>
    </row>
    <row r="25" spans="1:26" s="24" customFormat="1" hidden="1" outlineLevel="2" x14ac:dyDescent="0.3">
      <c r="A25" s="28"/>
      <c r="B25" s="11" t="str">
        <f>CONCATENATE("          ", "6115", " - ", "P.E.R.S.")</f>
        <v xml:space="preserve">          6115 - P.E.R.S.</v>
      </c>
      <c r="C25" s="11"/>
      <c r="D25" s="6">
        <v>1579.6</v>
      </c>
      <c r="E25" s="2"/>
      <c r="F25" s="7">
        <f t="shared" si="8"/>
        <v>0</v>
      </c>
      <c r="G25" s="2"/>
      <c r="H25" s="6">
        <v>1371.62</v>
      </c>
      <c r="I25" s="2"/>
      <c r="J25" s="7">
        <f t="shared" si="9"/>
        <v>0</v>
      </c>
      <c r="K25" s="2"/>
      <c r="L25" s="6">
        <f t="shared" si="10"/>
        <v>207.98000000000002</v>
      </c>
      <c r="M25" s="2"/>
      <c r="N25" s="7">
        <f t="shared" si="11"/>
        <v>0.1516309181843368</v>
      </c>
      <c r="O25" s="11"/>
      <c r="P25" s="6">
        <v>9994.06</v>
      </c>
      <c r="Q25" s="2"/>
      <c r="R25" s="7">
        <f t="shared" si="12"/>
        <v>0</v>
      </c>
      <c r="S25" s="2"/>
      <c r="T25" s="6">
        <v>7907.48</v>
      </c>
      <c r="U25" s="2"/>
      <c r="V25" s="7">
        <f t="shared" si="13"/>
        <v>0</v>
      </c>
      <c r="W25" s="2"/>
      <c r="X25" s="6">
        <f t="shared" si="14"/>
        <v>2086.58</v>
      </c>
      <c r="Y25" s="2"/>
      <c r="Z25" s="7">
        <f t="shared" si="15"/>
        <v>0.26387420518294069</v>
      </c>
    </row>
    <row r="26" spans="1:26" s="24" customFormat="1" hidden="1" outlineLevel="2" x14ac:dyDescent="0.3">
      <c r="A26" s="28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8"/>
        <v>0</v>
      </c>
      <c r="G26" s="2"/>
      <c r="H26" s="6"/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/>
      <c r="Q26" s="2"/>
      <c r="R26" s="7">
        <f t="shared" si="12"/>
        <v>0</v>
      </c>
      <c r="S26" s="2"/>
      <c r="T26" s="6">
        <v>401.9</v>
      </c>
      <c r="U26" s="2"/>
      <c r="V26" s="7">
        <f t="shared" si="13"/>
        <v>0</v>
      </c>
      <c r="W26" s="2"/>
      <c r="X26" s="6">
        <f t="shared" si="14"/>
        <v>-401.9</v>
      </c>
      <c r="Y26" s="2"/>
      <c r="Z26" s="7">
        <f t="shared" si="15"/>
        <v>-1</v>
      </c>
    </row>
    <row r="27" spans="1:26" s="24" customFormat="1" hidden="1" outlineLevel="2" x14ac:dyDescent="0.3">
      <c r="A27" s="28"/>
      <c r="B27" s="11" t="str">
        <f>CONCATENATE("          ", "6117", " - ", "RETIREMENT STAFF HOURLY")</f>
        <v xml:space="preserve">          6117 - RETIREMENT STAFF HOURLY</v>
      </c>
      <c r="C27" s="11"/>
      <c r="D27" s="6">
        <v>305.18</v>
      </c>
      <c r="E27" s="2"/>
      <c r="F27" s="7">
        <f t="shared" si="8"/>
        <v>0</v>
      </c>
      <c r="G27" s="2"/>
      <c r="H27" s="6">
        <v>189.96</v>
      </c>
      <c r="I27" s="2"/>
      <c r="J27" s="7">
        <f t="shared" si="9"/>
        <v>0</v>
      </c>
      <c r="K27" s="2"/>
      <c r="L27" s="6">
        <f t="shared" si="10"/>
        <v>115.22</v>
      </c>
      <c r="M27" s="2"/>
      <c r="N27" s="7">
        <f t="shared" si="11"/>
        <v>0.60654874710465356</v>
      </c>
      <c r="O27" s="11"/>
      <c r="P27" s="6">
        <v>1886.46</v>
      </c>
      <c r="Q27" s="2"/>
      <c r="R27" s="7">
        <f t="shared" si="12"/>
        <v>0</v>
      </c>
      <c r="S27" s="2"/>
      <c r="T27" s="6">
        <v>189.96</v>
      </c>
      <c r="U27" s="2"/>
      <c r="V27" s="7">
        <f t="shared" si="13"/>
        <v>0</v>
      </c>
      <c r="W27" s="2"/>
      <c r="X27" s="6">
        <f t="shared" si="14"/>
        <v>1696.5</v>
      </c>
      <c r="Y27" s="2"/>
      <c r="Z27" s="7">
        <f t="shared" si="15"/>
        <v>8.9308275426405554</v>
      </c>
    </row>
    <row r="28" spans="1:26" s="24" customFormat="1" hidden="1" outlineLevel="2" x14ac:dyDescent="0.3">
      <c r="A28" s="28"/>
      <c r="B28" s="11" t="str">
        <f>CONCATENATE("          ", "6118", " - ", "VACATION")</f>
        <v xml:space="preserve">          6118 - VACATION</v>
      </c>
      <c r="C28" s="11"/>
      <c r="D28" s="6">
        <v>1450.87</v>
      </c>
      <c r="E28" s="2"/>
      <c r="F28" s="7">
        <f t="shared" si="8"/>
        <v>0</v>
      </c>
      <c r="G28" s="2"/>
      <c r="H28" s="6">
        <v>1231.6600000000001</v>
      </c>
      <c r="I28" s="2"/>
      <c r="J28" s="7">
        <f t="shared" si="9"/>
        <v>0</v>
      </c>
      <c r="K28" s="2"/>
      <c r="L28" s="6">
        <f t="shared" si="10"/>
        <v>219.20999999999981</v>
      </c>
      <c r="M28" s="2"/>
      <c r="N28" s="7">
        <f t="shared" si="11"/>
        <v>0.17797931247259779</v>
      </c>
      <c r="O28" s="11"/>
      <c r="P28" s="6">
        <v>8686.59</v>
      </c>
      <c r="Q28" s="2"/>
      <c r="R28" s="7">
        <f t="shared" si="12"/>
        <v>0</v>
      </c>
      <c r="S28" s="2"/>
      <c r="T28" s="6">
        <v>6575.37</v>
      </c>
      <c r="U28" s="2"/>
      <c r="V28" s="7">
        <f t="shared" si="13"/>
        <v>0</v>
      </c>
      <c r="W28" s="2"/>
      <c r="X28" s="6">
        <f t="shared" si="14"/>
        <v>2111.2200000000003</v>
      </c>
      <c r="Y28" s="2"/>
      <c r="Z28" s="7">
        <f t="shared" si="15"/>
        <v>0.32108003047737244</v>
      </c>
    </row>
    <row r="29" spans="1:26" s="24" customFormat="1" hidden="1" outlineLevel="2" x14ac:dyDescent="0.3">
      <c r="A29" s="28"/>
      <c r="B29" s="11" t="str">
        <f>CONCATENATE("          ", "6119", " - ", "SICK LEAVE")</f>
        <v xml:space="preserve">          6119 - SICK LEAVE</v>
      </c>
      <c r="C29" s="11"/>
      <c r="D29" s="6">
        <v>1115.22</v>
      </c>
      <c r="E29" s="2"/>
      <c r="F29" s="7">
        <f t="shared" si="8"/>
        <v>0</v>
      </c>
      <c r="G29" s="2"/>
      <c r="H29" s="6">
        <v>809.69</v>
      </c>
      <c r="I29" s="2"/>
      <c r="J29" s="7">
        <f t="shared" si="9"/>
        <v>0</v>
      </c>
      <c r="K29" s="2"/>
      <c r="L29" s="6">
        <f t="shared" si="10"/>
        <v>305.52999999999997</v>
      </c>
      <c r="M29" s="2"/>
      <c r="N29" s="7">
        <f t="shared" si="11"/>
        <v>0.37734194568291562</v>
      </c>
      <c r="O29" s="11"/>
      <c r="P29" s="6">
        <v>6899.66</v>
      </c>
      <c r="Q29" s="2"/>
      <c r="R29" s="7">
        <f t="shared" si="12"/>
        <v>0</v>
      </c>
      <c r="S29" s="2"/>
      <c r="T29" s="6">
        <v>4438.03</v>
      </c>
      <c r="U29" s="2"/>
      <c r="V29" s="7">
        <f t="shared" si="13"/>
        <v>0</v>
      </c>
      <c r="W29" s="2"/>
      <c r="X29" s="6">
        <f t="shared" si="14"/>
        <v>2461.63</v>
      </c>
      <c r="Y29" s="2"/>
      <c r="Z29" s="7">
        <f t="shared" si="15"/>
        <v>0.55466727354254031</v>
      </c>
    </row>
    <row r="30" spans="1:26" s="24" customFormat="1" hidden="1" outlineLevel="2" x14ac:dyDescent="0.3">
      <c r="A30" s="28"/>
      <c r="B30" s="11" t="str">
        <f>CONCATENATE("          ", "6156", " - ", "EMPLOYEE MEALS")</f>
        <v xml:space="preserve">          6156 - EMPLOYEE MEALS</v>
      </c>
      <c r="C30" s="11"/>
      <c r="D30" s="6">
        <v>652.49</v>
      </c>
      <c r="E30" s="2"/>
      <c r="F30" s="7">
        <f t="shared" si="8"/>
        <v>0</v>
      </c>
      <c r="G30" s="2"/>
      <c r="H30" s="6">
        <v>145.79</v>
      </c>
      <c r="I30" s="2"/>
      <c r="J30" s="7">
        <f t="shared" si="9"/>
        <v>0</v>
      </c>
      <c r="K30" s="2"/>
      <c r="L30" s="6">
        <f t="shared" si="10"/>
        <v>506.70000000000005</v>
      </c>
      <c r="M30" s="2"/>
      <c r="N30" s="7">
        <f t="shared" si="11"/>
        <v>3.47554701968585</v>
      </c>
      <c r="O30" s="11"/>
      <c r="P30" s="6">
        <v>3740.08</v>
      </c>
      <c r="Q30" s="2"/>
      <c r="R30" s="7">
        <f t="shared" si="12"/>
        <v>0</v>
      </c>
      <c r="S30" s="2"/>
      <c r="T30" s="6">
        <v>1027.56</v>
      </c>
      <c r="U30" s="2"/>
      <c r="V30" s="7">
        <f t="shared" si="13"/>
        <v>0</v>
      </c>
      <c r="W30" s="2"/>
      <c r="X30" s="6">
        <f t="shared" si="14"/>
        <v>2712.52</v>
      </c>
      <c r="Y30" s="2"/>
      <c r="Z30" s="7">
        <f t="shared" si="15"/>
        <v>2.6397679940830705</v>
      </c>
    </row>
    <row r="31" spans="1:26" s="29" customFormat="1" outlineLevel="1" collapsed="1" x14ac:dyDescent="0.3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47876.54</v>
      </c>
      <c r="E31" s="1"/>
      <c r="F31" s="5">
        <f t="shared" ref="F31:F38" si="16">IF(D$12=0,0,D31/D$12)</f>
        <v>0</v>
      </c>
      <c r="G31" s="1"/>
      <c r="H31" s="1">
        <f>SUM(OSRRefH22_1x_0)</f>
        <v>39622.089999999997</v>
      </c>
      <c r="I31" s="1"/>
      <c r="J31" s="5">
        <f t="shared" ref="J31:J38" si="17">IF(H$12=0,0,H31/H$12)</f>
        <v>0</v>
      </c>
      <c r="K31" s="1"/>
      <c r="L31" s="1">
        <f t="shared" ref="L31:L38" si="18">+D31-H31</f>
        <v>8254.4500000000044</v>
      </c>
      <c r="M31" s="1"/>
      <c r="N31" s="5">
        <f t="shared" ref="N31:N38" si="19">IF(H31=0,0,L31/H31)</f>
        <v>0.20832949498625652</v>
      </c>
      <c r="O31" s="14"/>
      <c r="P31" s="1">
        <f>SUM(OSRRefP22_1x_0)</f>
        <v>311615.81999999995</v>
      </c>
      <c r="Q31" s="1"/>
      <c r="R31" s="5">
        <f t="shared" ref="R31:R38" si="20">IF(P$12=0,0,P31/P$12)</f>
        <v>0</v>
      </c>
      <c r="S31" s="1"/>
      <c r="T31" s="1">
        <f>SUM(OSRRefT22_1x_0)</f>
        <v>248185.47999999998</v>
      </c>
      <c r="U31" s="1"/>
      <c r="V31" s="5">
        <f t="shared" ref="V31:V38" si="21">IF(T$12=0,0,T31/T$12)</f>
        <v>0</v>
      </c>
      <c r="W31" s="1"/>
      <c r="X31" s="1">
        <f t="shared" ref="X31:X38" si="22">+P31-T31</f>
        <v>63430.339999999967</v>
      </c>
      <c r="Y31" s="1"/>
      <c r="Z31" s="5">
        <f t="shared" ref="Z31:Z38" si="23">IF(T31=0,0,X31/T31)</f>
        <v>0.25557635362068715</v>
      </c>
    </row>
    <row r="32" spans="1:26" s="24" customFormat="1" hidden="1" outlineLevel="2" x14ac:dyDescent="0.3">
      <c r="A32" s="28"/>
      <c r="B32" s="11" t="str">
        <f>CONCATENATE("          ", "6001", " - ", "ADMINISTRATIVE SALARIES")</f>
        <v xml:space="preserve">          6001 - ADMINISTRATIVE SALARIES</v>
      </c>
      <c r="C32" s="11"/>
      <c r="D32" s="6">
        <v>4658.26</v>
      </c>
      <c r="E32" s="2"/>
      <c r="F32" s="7">
        <f t="shared" si="16"/>
        <v>0</v>
      </c>
      <c r="G32" s="2"/>
      <c r="H32" s="6">
        <v>3745.16</v>
      </c>
      <c r="I32" s="2"/>
      <c r="J32" s="7">
        <f t="shared" si="17"/>
        <v>0</v>
      </c>
      <c r="K32" s="2"/>
      <c r="L32" s="6">
        <f t="shared" si="18"/>
        <v>913.10000000000036</v>
      </c>
      <c r="M32" s="2"/>
      <c r="N32" s="7">
        <f t="shared" si="19"/>
        <v>0.24380800820258691</v>
      </c>
      <c r="O32" s="11"/>
      <c r="P32" s="6">
        <v>28334.77</v>
      </c>
      <c r="Q32" s="2"/>
      <c r="R32" s="7">
        <f t="shared" si="20"/>
        <v>0</v>
      </c>
      <c r="S32" s="2"/>
      <c r="T32" s="6">
        <v>25194.43</v>
      </c>
      <c r="U32" s="2"/>
      <c r="V32" s="7">
        <f t="shared" si="21"/>
        <v>0</v>
      </c>
      <c r="W32" s="2"/>
      <c r="X32" s="6">
        <f t="shared" si="22"/>
        <v>3140.34</v>
      </c>
      <c r="Y32" s="2"/>
      <c r="Z32" s="7">
        <f t="shared" si="23"/>
        <v>0.12464421699558197</v>
      </c>
    </row>
    <row r="33" spans="1:26" s="24" customFormat="1" hidden="1" outlineLevel="2" x14ac:dyDescent="0.3">
      <c r="A33" s="28"/>
      <c r="B33" s="11" t="str">
        <f>CONCATENATE("          ", "6002", " - ", "STAFF SALARIES")</f>
        <v xml:space="preserve">          6002 - STAFF SALARIES</v>
      </c>
      <c r="C33" s="11"/>
      <c r="D33" s="6">
        <v>11360.02</v>
      </c>
      <c r="E33" s="2"/>
      <c r="F33" s="7">
        <f t="shared" si="16"/>
        <v>0</v>
      </c>
      <c r="G33" s="2"/>
      <c r="H33" s="6">
        <v>9294.73</v>
      </c>
      <c r="I33" s="2"/>
      <c r="J33" s="7">
        <f t="shared" si="17"/>
        <v>0</v>
      </c>
      <c r="K33" s="2"/>
      <c r="L33" s="6">
        <f t="shared" si="18"/>
        <v>2065.2900000000009</v>
      </c>
      <c r="M33" s="2"/>
      <c r="N33" s="7">
        <f t="shared" si="19"/>
        <v>0.22220010694232117</v>
      </c>
      <c r="O33" s="11"/>
      <c r="P33" s="6">
        <v>65552.45</v>
      </c>
      <c r="Q33" s="2"/>
      <c r="R33" s="7">
        <f t="shared" si="20"/>
        <v>0</v>
      </c>
      <c r="S33" s="2"/>
      <c r="T33" s="6">
        <v>52290.09</v>
      </c>
      <c r="U33" s="2"/>
      <c r="V33" s="7">
        <f t="shared" si="21"/>
        <v>0</v>
      </c>
      <c r="W33" s="2"/>
      <c r="X33" s="6">
        <f t="shared" si="22"/>
        <v>13262.36</v>
      </c>
      <c r="Y33" s="2"/>
      <c r="Z33" s="7">
        <f t="shared" si="23"/>
        <v>0.25363046802941058</v>
      </c>
    </row>
    <row r="34" spans="1:26" s="24" customFormat="1" hidden="1" outlineLevel="2" x14ac:dyDescent="0.3">
      <c r="A34" s="28"/>
      <c r="B34" s="11" t="str">
        <f>CONCATENATE("          ", "6004", " - ", "STAFF HOURLY")</f>
        <v xml:space="preserve">          6004 - STAFF HOURLY</v>
      </c>
      <c r="C34" s="11"/>
      <c r="D34" s="6">
        <v>7509.18</v>
      </c>
      <c r="E34" s="2"/>
      <c r="F34" s="7">
        <f t="shared" si="16"/>
        <v>0</v>
      </c>
      <c r="G34" s="2"/>
      <c r="H34" s="6">
        <v>4510.4799999999996</v>
      </c>
      <c r="I34" s="2"/>
      <c r="J34" s="7">
        <f t="shared" si="17"/>
        <v>0</v>
      </c>
      <c r="K34" s="2"/>
      <c r="L34" s="6">
        <f t="shared" si="18"/>
        <v>2998.7000000000007</v>
      </c>
      <c r="M34" s="2"/>
      <c r="N34" s="7">
        <f t="shared" si="19"/>
        <v>0.66482946382646657</v>
      </c>
      <c r="O34" s="11"/>
      <c r="P34" s="6">
        <v>42623.05</v>
      </c>
      <c r="Q34" s="2"/>
      <c r="R34" s="7">
        <f t="shared" si="20"/>
        <v>0</v>
      </c>
      <c r="S34" s="2"/>
      <c r="T34" s="6">
        <v>9306.8799999999992</v>
      </c>
      <c r="U34" s="2"/>
      <c r="V34" s="7">
        <f t="shared" si="21"/>
        <v>0</v>
      </c>
      <c r="W34" s="2"/>
      <c r="X34" s="6">
        <f t="shared" si="22"/>
        <v>33316.170000000006</v>
      </c>
      <c r="Y34" s="2"/>
      <c r="Z34" s="7">
        <f t="shared" si="23"/>
        <v>3.5797356364324036</v>
      </c>
    </row>
    <row r="35" spans="1:26" s="24" customFormat="1" hidden="1" outlineLevel="2" x14ac:dyDescent="0.3">
      <c r="A35" s="28"/>
      <c r="B35" s="11" t="str">
        <f>CONCATENATE("          ", "6005", " - ", "TEMPORARY WAGES-HOURLY")</f>
        <v xml:space="preserve">          6005 - TEMPORARY WAGES-HOURLY</v>
      </c>
      <c r="C35" s="11"/>
      <c r="D35" s="6">
        <v>2095.19</v>
      </c>
      <c r="E35" s="2"/>
      <c r="F35" s="7">
        <f t="shared" si="16"/>
        <v>0</v>
      </c>
      <c r="G35" s="2"/>
      <c r="H35" s="6">
        <v>3938.93</v>
      </c>
      <c r="I35" s="2"/>
      <c r="J35" s="7">
        <f t="shared" si="17"/>
        <v>0</v>
      </c>
      <c r="K35" s="2"/>
      <c r="L35" s="6">
        <f t="shared" si="18"/>
        <v>-1843.7399999999998</v>
      </c>
      <c r="M35" s="2"/>
      <c r="N35" s="7">
        <f t="shared" si="19"/>
        <v>-0.46808143328264273</v>
      </c>
      <c r="O35" s="11"/>
      <c r="P35" s="6">
        <v>17937.669999999998</v>
      </c>
      <c r="Q35" s="2"/>
      <c r="R35" s="7">
        <f t="shared" si="20"/>
        <v>0</v>
      </c>
      <c r="S35" s="2"/>
      <c r="T35" s="6">
        <v>47517.68</v>
      </c>
      <c r="U35" s="2"/>
      <c r="V35" s="7">
        <f t="shared" si="21"/>
        <v>0</v>
      </c>
      <c r="W35" s="2"/>
      <c r="X35" s="6">
        <f t="shared" si="22"/>
        <v>-29580.010000000002</v>
      </c>
      <c r="Y35" s="2"/>
      <c r="Z35" s="7">
        <f t="shared" si="23"/>
        <v>-0.62250534958777448</v>
      </c>
    </row>
    <row r="36" spans="1:26" s="24" customFormat="1" hidden="1" outlineLevel="2" x14ac:dyDescent="0.3">
      <c r="A36" s="28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6"/>
        <v>0</v>
      </c>
      <c r="G36" s="2"/>
      <c r="H36" s="6">
        <v>1432.35</v>
      </c>
      <c r="I36" s="2"/>
      <c r="J36" s="7">
        <f t="shared" si="17"/>
        <v>0</v>
      </c>
      <c r="K36" s="2"/>
      <c r="L36" s="6">
        <f t="shared" si="18"/>
        <v>-1432.35</v>
      </c>
      <c r="M36" s="2"/>
      <c r="N36" s="7">
        <f t="shared" si="19"/>
        <v>-1</v>
      </c>
      <c r="O36" s="11"/>
      <c r="P36" s="6">
        <v>9877.6200000000008</v>
      </c>
      <c r="Q36" s="2"/>
      <c r="R36" s="7">
        <f t="shared" si="20"/>
        <v>0</v>
      </c>
      <c r="S36" s="2"/>
      <c r="T36" s="6">
        <v>9485.67</v>
      </c>
      <c r="U36" s="2"/>
      <c r="V36" s="7">
        <f t="shared" si="21"/>
        <v>0</v>
      </c>
      <c r="W36" s="2"/>
      <c r="X36" s="6">
        <f t="shared" si="22"/>
        <v>391.95000000000073</v>
      </c>
      <c r="Y36" s="2"/>
      <c r="Z36" s="7">
        <f t="shared" si="23"/>
        <v>4.1320223031161819E-2</v>
      </c>
    </row>
    <row r="37" spans="1:26" s="24" customFormat="1" hidden="1" outlineLevel="2" x14ac:dyDescent="0.3">
      <c r="A37" s="28"/>
      <c r="B37" s="11" t="str">
        <f>CONCATENATE("          ", "6007", " - ", "STUDENT HOURLY")</f>
        <v xml:space="preserve">          6007 - STUDENT HOURLY</v>
      </c>
      <c r="C37" s="11"/>
      <c r="D37" s="6">
        <v>21435.59</v>
      </c>
      <c r="E37" s="2"/>
      <c r="F37" s="7">
        <f t="shared" si="16"/>
        <v>0</v>
      </c>
      <c r="G37" s="2"/>
      <c r="H37" s="6">
        <v>16700.439999999999</v>
      </c>
      <c r="I37" s="2"/>
      <c r="J37" s="7">
        <f t="shared" si="17"/>
        <v>0</v>
      </c>
      <c r="K37" s="2"/>
      <c r="L37" s="6">
        <f t="shared" si="18"/>
        <v>4735.1500000000015</v>
      </c>
      <c r="M37" s="2"/>
      <c r="N37" s="7">
        <f t="shared" si="19"/>
        <v>0.28353444579903297</v>
      </c>
      <c r="O37" s="11"/>
      <c r="P37" s="6">
        <v>136679.03</v>
      </c>
      <c r="Q37" s="2"/>
      <c r="R37" s="7">
        <f t="shared" si="20"/>
        <v>0</v>
      </c>
      <c r="S37" s="2"/>
      <c r="T37" s="6">
        <v>104390.73</v>
      </c>
      <c r="U37" s="2"/>
      <c r="V37" s="7">
        <f t="shared" si="21"/>
        <v>0</v>
      </c>
      <c r="W37" s="2"/>
      <c r="X37" s="6">
        <f t="shared" si="22"/>
        <v>32288.300000000003</v>
      </c>
      <c r="Y37" s="2"/>
      <c r="Z37" s="7">
        <f t="shared" si="23"/>
        <v>0.30930236813172973</v>
      </c>
    </row>
    <row r="38" spans="1:26" s="24" customFormat="1" hidden="1" outlineLevel="2" x14ac:dyDescent="0.3">
      <c r="A38" s="28"/>
      <c r="B38" s="11" t="str">
        <f>CONCATENATE("          ", "6008", " - ", "STUDENT HOURLY-FICA EXEMPT")</f>
        <v xml:space="preserve">          6008 - STUDENT HOURLY-FICA EXEMPT</v>
      </c>
      <c r="C38" s="11"/>
      <c r="D38" s="6">
        <v>818.3</v>
      </c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818.3</v>
      </c>
      <c r="M38" s="2"/>
      <c r="N38" s="7">
        <f t="shared" si="19"/>
        <v>0</v>
      </c>
      <c r="O38" s="11"/>
      <c r="P38" s="6">
        <v>10611.23</v>
      </c>
      <c r="Q38" s="2"/>
      <c r="R38" s="7">
        <f t="shared" si="20"/>
        <v>0</v>
      </c>
      <c r="S38" s="2"/>
      <c r="T38" s="6"/>
      <c r="U38" s="2"/>
      <c r="V38" s="7">
        <f t="shared" si="21"/>
        <v>0</v>
      </c>
      <c r="W38" s="2"/>
      <c r="X38" s="6">
        <f t="shared" si="22"/>
        <v>10611.23</v>
      </c>
      <c r="Y38" s="2"/>
      <c r="Z38" s="7">
        <f t="shared" si="23"/>
        <v>0</v>
      </c>
    </row>
    <row r="39" spans="1:26" s="29" customFormat="1" outlineLevel="1" collapsed="1" x14ac:dyDescent="0.3">
      <c r="A39" s="27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0</v>
      </c>
      <c r="E39" s="1"/>
      <c r="F39" s="5">
        <f t="shared" ref="F39:F47" si="24">IF(D$12=0,0,D39/D$12)</f>
        <v>0</v>
      </c>
      <c r="G39" s="1"/>
      <c r="H39" s="1">
        <f>SUM(OSRRefH22_2x_0)</f>
        <v>0</v>
      </c>
      <c r="I39" s="1"/>
      <c r="J39" s="5">
        <f t="shared" ref="J39:J47" si="25">IF(H$12=0,0,H39/H$12)</f>
        <v>0</v>
      </c>
      <c r="K39" s="1"/>
      <c r="L39" s="1">
        <f t="shared" ref="L39:L47" si="26">+D39-H39</f>
        <v>0</v>
      </c>
      <c r="M39" s="1"/>
      <c r="N39" s="5">
        <f t="shared" ref="N39:N47" si="27">IF(H39=0,0,L39/H39)</f>
        <v>0</v>
      </c>
      <c r="O39" s="14"/>
      <c r="P39" s="1">
        <f>SUM(OSRRefP22_2x_0)</f>
        <v>160</v>
      </c>
      <c r="Q39" s="1"/>
      <c r="R39" s="5">
        <f t="shared" ref="R39:R47" si="28">IF(P$12=0,0,P39/P$12)</f>
        <v>0</v>
      </c>
      <c r="S39" s="1"/>
      <c r="T39" s="1">
        <f>SUM(OSRRefT22_2x_0)</f>
        <v>100</v>
      </c>
      <c r="U39" s="1"/>
      <c r="V39" s="5">
        <f t="shared" ref="V39:V47" si="29">IF(T$12=0,0,T39/T$12)</f>
        <v>0</v>
      </c>
      <c r="W39" s="1"/>
      <c r="X39" s="1">
        <f t="shared" ref="X39:X47" si="30">+P39-T39</f>
        <v>60</v>
      </c>
      <c r="Y39" s="1"/>
      <c r="Z39" s="5">
        <f t="shared" ref="Z39:Z47" si="31">IF(T39=0,0,X39/T39)</f>
        <v>0.6</v>
      </c>
    </row>
    <row r="40" spans="1:26" s="24" customFormat="1" hidden="1" outlineLevel="2" x14ac:dyDescent="0.3">
      <c r="A40" s="28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24"/>
        <v>0</v>
      </c>
      <c r="G40" s="2"/>
      <c r="H40" s="6"/>
      <c r="I40" s="2"/>
      <c r="J40" s="7">
        <f t="shared" si="25"/>
        <v>0</v>
      </c>
      <c r="K40" s="2"/>
      <c r="L40" s="6">
        <f t="shared" si="26"/>
        <v>0</v>
      </c>
      <c r="M40" s="2"/>
      <c r="N40" s="7">
        <f t="shared" si="27"/>
        <v>0</v>
      </c>
      <c r="O40" s="11"/>
      <c r="P40" s="6">
        <v>160</v>
      </c>
      <c r="Q40" s="2"/>
      <c r="R40" s="7">
        <f t="shared" si="28"/>
        <v>0</v>
      </c>
      <c r="S40" s="2"/>
      <c r="T40" s="6">
        <v>100</v>
      </c>
      <c r="U40" s="2"/>
      <c r="V40" s="7">
        <f t="shared" si="29"/>
        <v>0</v>
      </c>
      <c r="W40" s="2"/>
      <c r="X40" s="6">
        <f t="shared" si="30"/>
        <v>60</v>
      </c>
      <c r="Y40" s="2"/>
      <c r="Z40" s="7">
        <f t="shared" si="31"/>
        <v>0.6</v>
      </c>
    </row>
    <row r="41" spans="1:26" s="29" customFormat="1" outlineLevel="1" collapsed="1" x14ac:dyDescent="0.3">
      <c r="A41" s="27"/>
      <c r="B41" s="14" t="str">
        <f>CONCATENATE("     ","Bad Debts/Over/Short                              ")</f>
        <v xml:space="preserve">     Bad Debts/Over/Short                              </v>
      </c>
      <c r="C41" s="14"/>
      <c r="D41" s="1">
        <f>SUM(OSRRefD22_3x_0)</f>
        <v>-23.67</v>
      </c>
      <c r="E41" s="1"/>
      <c r="F41" s="5">
        <f t="shared" si="24"/>
        <v>0</v>
      </c>
      <c r="G41" s="1"/>
      <c r="H41" s="1">
        <f>SUM(OSRRefH22_3x_0)</f>
        <v>-4.96</v>
      </c>
      <c r="I41" s="1"/>
      <c r="J41" s="5">
        <f t="shared" si="25"/>
        <v>0</v>
      </c>
      <c r="K41" s="1"/>
      <c r="L41" s="1">
        <f t="shared" si="26"/>
        <v>-18.71</v>
      </c>
      <c r="M41" s="1"/>
      <c r="N41" s="5">
        <f t="shared" si="27"/>
        <v>3.772177419354839</v>
      </c>
      <c r="O41" s="14"/>
      <c r="P41" s="1">
        <f>SUM(OSRRefP22_3x_0)</f>
        <v>166.54</v>
      </c>
      <c r="Q41" s="1"/>
      <c r="R41" s="5">
        <f t="shared" si="28"/>
        <v>0</v>
      </c>
      <c r="S41" s="1"/>
      <c r="T41" s="1">
        <f>SUM(OSRRefT22_3x_0)</f>
        <v>46.25</v>
      </c>
      <c r="U41" s="1"/>
      <c r="V41" s="5">
        <f t="shared" si="29"/>
        <v>0</v>
      </c>
      <c r="W41" s="1"/>
      <c r="X41" s="1">
        <f t="shared" si="30"/>
        <v>120.28999999999999</v>
      </c>
      <c r="Y41" s="1"/>
      <c r="Z41" s="5">
        <f t="shared" si="31"/>
        <v>2.6008648648648647</v>
      </c>
    </row>
    <row r="42" spans="1:26" s="24" customFormat="1" hidden="1" outlineLevel="2" x14ac:dyDescent="0.3">
      <c r="A42" s="28"/>
      <c r="B42" s="11" t="str">
        <f>CONCATENATE("          ", "6272", " - ", "CASH (OVER/SHORT)")</f>
        <v xml:space="preserve">          6272 - CASH (OVER/SHORT)</v>
      </c>
      <c r="C42" s="11"/>
      <c r="D42" s="6">
        <v>-23.67</v>
      </c>
      <c r="E42" s="2"/>
      <c r="F42" s="7">
        <f t="shared" si="24"/>
        <v>0</v>
      </c>
      <c r="G42" s="2"/>
      <c r="H42" s="6">
        <v>-4.96</v>
      </c>
      <c r="I42" s="2"/>
      <c r="J42" s="7">
        <f t="shared" si="25"/>
        <v>0</v>
      </c>
      <c r="K42" s="2"/>
      <c r="L42" s="6">
        <f t="shared" si="26"/>
        <v>-18.71</v>
      </c>
      <c r="M42" s="2"/>
      <c r="N42" s="7">
        <f t="shared" si="27"/>
        <v>3.772177419354839</v>
      </c>
      <c r="O42" s="11"/>
      <c r="P42" s="6">
        <v>166.54</v>
      </c>
      <c r="Q42" s="2"/>
      <c r="R42" s="7">
        <f t="shared" si="28"/>
        <v>0</v>
      </c>
      <c r="S42" s="2"/>
      <c r="T42" s="6">
        <v>46.25</v>
      </c>
      <c r="U42" s="2"/>
      <c r="V42" s="7">
        <f t="shared" si="29"/>
        <v>0</v>
      </c>
      <c r="W42" s="2"/>
      <c r="X42" s="6">
        <f t="shared" si="30"/>
        <v>120.28999999999999</v>
      </c>
      <c r="Y42" s="2"/>
      <c r="Z42" s="7">
        <f t="shared" si="31"/>
        <v>2.6008648648648647</v>
      </c>
    </row>
    <row r="43" spans="1:26" s="29" customFormat="1" outlineLevel="1" collapsed="1" x14ac:dyDescent="0.3">
      <c r="A43" s="27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SUM(OSRRefD22_4x_0)</f>
        <v>8159.3</v>
      </c>
      <c r="E43" s="1"/>
      <c r="F43" s="5">
        <f t="shared" si="24"/>
        <v>0</v>
      </c>
      <c r="G43" s="1"/>
      <c r="H43" s="1">
        <f>SUM(OSRRefH22_4x_0)</f>
        <v>4573.05</v>
      </c>
      <c r="I43" s="1"/>
      <c r="J43" s="5">
        <f t="shared" si="25"/>
        <v>0</v>
      </c>
      <c r="K43" s="1"/>
      <c r="L43" s="1">
        <f t="shared" si="26"/>
        <v>3586.25</v>
      </c>
      <c r="M43" s="1"/>
      <c r="N43" s="5">
        <f t="shared" si="27"/>
        <v>0.7842140365838991</v>
      </c>
      <c r="O43" s="14"/>
      <c r="P43" s="1">
        <f>SUM(OSRRefP22_4x_0)</f>
        <v>63892.01</v>
      </c>
      <c r="Q43" s="1"/>
      <c r="R43" s="5">
        <f t="shared" si="28"/>
        <v>0</v>
      </c>
      <c r="S43" s="1"/>
      <c r="T43" s="1">
        <f>SUM(OSRRefT22_4x_0)</f>
        <v>44482.51</v>
      </c>
      <c r="U43" s="1"/>
      <c r="V43" s="5">
        <f t="shared" si="29"/>
        <v>0</v>
      </c>
      <c r="W43" s="1"/>
      <c r="X43" s="1">
        <f t="shared" si="30"/>
        <v>19409.5</v>
      </c>
      <c r="Y43" s="1"/>
      <c r="Z43" s="5">
        <f t="shared" si="31"/>
        <v>0.43634003566795126</v>
      </c>
    </row>
    <row r="44" spans="1:26" s="24" customFormat="1" hidden="1" outlineLevel="2" x14ac:dyDescent="0.3">
      <c r="A44" s="28"/>
      <c r="B44" s="11" t="str">
        <f>CONCATENATE("          ", "6381", " - ", "BANK/CREDIT CARD FEES")</f>
        <v xml:space="preserve">          6381 - BANK/CREDIT CARD FEES</v>
      </c>
      <c r="C44" s="11"/>
      <c r="D44" s="6">
        <v>8159.3</v>
      </c>
      <c r="E44" s="2"/>
      <c r="F44" s="7">
        <f t="shared" si="24"/>
        <v>0</v>
      </c>
      <c r="G44" s="2"/>
      <c r="H44" s="6">
        <v>4573.05</v>
      </c>
      <c r="I44" s="2"/>
      <c r="J44" s="7">
        <f t="shared" si="25"/>
        <v>0</v>
      </c>
      <c r="K44" s="2"/>
      <c r="L44" s="6">
        <f t="shared" si="26"/>
        <v>3586.25</v>
      </c>
      <c r="M44" s="2"/>
      <c r="N44" s="7">
        <f t="shared" si="27"/>
        <v>0.7842140365838991</v>
      </c>
      <c r="O44" s="11"/>
      <c r="P44" s="6">
        <v>63892.01</v>
      </c>
      <c r="Q44" s="2"/>
      <c r="R44" s="7">
        <f t="shared" si="28"/>
        <v>0</v>
      </c>
      <c r="S44" s="2"/>
      <c r="T44" s="6">
        <v>44482.51</v>
      </c>
      <c r="U44" s="2"/>
      <c r="V44" s="7">
        <f t="shared" si="29"/>
        <v>0</v>
      </c>
      <c r="W44" s="2"/>
      <c r="X44" s="6">
        <f t="shared" si="30"/>
        <v>19409.5</v>
      </c>
      <c r="Y44" s="2"/>
      <c r="Z44" s="7">
        <f t="shared" si="31"/>
        <v>0.43634003566795126</v>
      </c>
    </row>
    <row r="45" spans="1:26" s="29" customFormat="1" outlineLevel="1" collapsed="1" x14ac:dyDescent="0.3">
      <c r="A45" s="27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SUM(OSRRefD22_5x_0)</f>
        <v>30444.959999999999</v>
      </c>
      <c r="E45" s="1"/>
      <c r="F45" s="5">
        <f t="shared" si="24"/>
        <v>0</v>
      </c>
      <c r="G45" s="1"/>
      <c r="H45" s="1">
        <f>SUM(OSRRefH22_5x_0)</f>
        <v>30565.97</v>
      </c>
      <c r="I45" s="1"/>
      <c r="J45" s="5">
        <f t="shared" si="25"/>
        <v>0</v>
      </c>
      <c r="K45" s="1"/>
      <c r="L45" s="1">
        <f t="shared" si="26"/>
        <v>-121.01000000000204</v>
      </c>
      <c r="M45" s="1"/>
      <c r="N45" s="5">
        <f t="shared" si="27"/>
        <v>-3.9589779090930871E-3</v>
      </c>
      <c r="O45" s="14"/>
      <c r="P45" s="1">
        <f>SUM(OSRRefP22_5x_0)</f>
        <v>182987.31</v>
      </c>
      <c r="Q45" s="1"/>
      <c r="R45" s="5">
        <f t="shared" si="28"/>
        <v>0</v>
      </c>
      <c r="S45" s="1"/>
      <c r="T45" s="1">
        <f>SUM(OSRRefT22_5x_0)</f>
        <v>183691.31</v>
      </c>
      <c r="U45" s="1"/>
      <c r="V45" s="5">
        <f t="shared" si="29"/>
        <v>0</v>
      </c>
      <c r="W45" s="1"/>
      <c r="X45" s="1">
        <f t="shared" si="30"/>
        <v>-704</v>
      </c>
      <c r="Y45" s="1"/>
      <c r="Z45" s="5">
        <f t="shared" si="31"/>
        <v>-3.8325166280321044E-3</v>
      </c>
    </row>
    <row r="46" spans="1:26" s="24" customFormat="1" hidden="1" outlineLevel="2" x14ac:dyDescent="0.3">
      <c r="A46" s="28"/>
      <c r="B46" s="11" t="str">
        <f>CONCATENATE("          ", "6321", " - ", "BUILDING DEPRECIATION")</f>
        <v xml:space="preserve">          6321 - BUILDING DEPRECIATION</v>
      </c>
      <c r="C46" s="11"/>
      <c r="D46" s="6">
        <v>16396.509999999998</v>
      </c>
      <c r="E46" s="2"/>
      <c r="F46" s="7">
        <f t="shared" si="24"/>
        <v>0</v>
      </c>
      <c r="G46" s="2"/>
      <c r="H46" s="6">
        <v>16396.52</v>
      </c>
      <c r="I46" s="2"/>
      <c r="J46" s="7">
        <f t="shared" si="25"/>
        <v>0</v>
      </c>
      <c r="K46" s="2"/>
      <c r="L46" s="6">
        <f t="shared" si="26"/>
        <v>-1.0000000002037268E-2</v>
      </c>
      <c r="M46" s="2"/>
      <c r="N46" s="7">
        <f t="shared" si="27"/>
        <v>-6.0988551241588263E-7</v>
      </c>
      <c r="O46" s="11"/>
      <c r="P46" s="6">
        <v>98379.11</v>
      </c>
      <c r="Q46" s="2"/>
      <c r="R46" s="7">
        <f t="shared" si="28"/>
        <v>0</v>
      </c>
      <c r="S46" s="2"/>
      <c r="T46" s="6">
        <v>98379.12</v>
      </c>
      <c r="U46" s="2"/>
      <c r="V46" s="7">
        <f t="shared" si="29"/>
        <v>0</v>
      </c>
      <c r="W46" s="2"/>
      <c r="X46" s="6">
        <f t="shared" si="30"/>
        <v>-9.9999999947613105E-3</v>
      </c>
      <c r="Y46" s="2"/>
      <c r="Z46" s="7">
        <f t="shared" si="31"/>
        <v>-1.0164758532868875E-7</v>
      </c>
    </row>
    <row r="47" spans="1:26" s="24" customFormat="1" hidden="1" outlineLevel="2" x14ac:dyDescent="0.3">
      <c r="A47" s="28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14048.45</v>
      </c>
      <c r="E47" s="2"/>
      <c r="F47" s="7">
        <f t="shared" si="24"/>
        <v>0</v>
      </c>
      <c r="G47" s="2"/>
      <c r="H47" s="6">
        <v>14169.45</v>
      </c>
      <c r="I47" s="2"/>
      <c r="J47" s="7">
        <f t="shared" si="25"/>
        <v>0</v>
      </c>
      <c r="K47" s="2"/>
      <c r="L47" s="6">
        <f t="shared" si="26"/>
        <v>-121</v>
      </c>
      <c r="M47" s="2"/>
      <c r="N47" s="7">
        <f t="shared" si="27"/>
        <v>-8.5394987102533973E-3</v>
      </c>
      <c r="O47" s="11"/>
      <c r="P47" s="6">
        <v>84608.2</v>
      </c>
      <c r="Q47" s="2"/>
      <c r="R47" s="7">
        <f t="shared" si="28"/>
        <v>0</v>
      </c>
      <c r="S47" s="2"/>
      <c r="T47" s="6">
        <v>85312.19</v>
      </c>
      <c r="U47" s="2"/>
      <c r="V47" s="7">
        <f t="shared" si="29"/>
        <v>0</v>
      </c>
      <c r="W47" s="2"/>
      <c r="X47" s="6">
        <f t="shared" si="30"/>
        <v>-703.99000000000524</v>
      </c>
      <c r="Y47" s="2"/>
      <c r="Z47" s="7">
        <f t="shared" si="31"/>
        <v>-8.2519274209231445E-3</v>
      </c>
    </row>
    <row r="48" spans="1:26" s="29" customFormat="1" outlineLevel="1" collapsed="1" x14ac:dyDescent="0.3">
      <c r="A48" s="27"/>
      <c r="B48" s="14" t="str">
        <f>CONCATENATE("     ","Discounts and Markdowns                           ")</f>
        <v xml:space="preserve">     Discounts and Markdowns                           </v>
      </c>
      <c r="C48" s="14"/>
      <c r="D48" s="1">
        <f>SUM(OSRRefD22_6x_0)</f>
        <v>-1.29</v>
      </c>
      <c r="E48" s="1"/>
      <c r="F48" s="5">
        <f t="shared" ref="F48:F50" si="32">IF(D$12=0,0,D48/D$12)</f>
        <v>0</v>
      </c>
      <c r="G48" s="1"/>
      <c r="H48" s="1">
        <f>SUM(OSRRefH22_6x_0)</f>
        <v>0</v>
      </c>
      <c r="I48" s="1"/>
      <c r="J48" s="5">
        <f t="shared" ref="J48:J50" si="33">IF(H$12=0,0,H48/H$12)</f>
        <v>0</v>
      </c>
      <c r="K48" s="1"/>
      <c r="L48" s="1">
        <f t="shared" ref="L48:L50" si="34">+D48-H48</f>
        <v>-1.29</v>
      </c>
      <c r="M48" s="1"/>
      <c r="N48" s="5">
        <f t="shared" ref="N48:N50" si="35">IF(H48=0,0,L48/H48)</f>
        <v>0</v>
      </c>
      <c r="O48" s="14"/>
      <c r="P48" s="1">
        <f>SUM(OSRRefP22_6x_0)</f>
        <v>3383.69</v>
      </c>
      <c r="Q48" s="1"/>
      <c r="R48" s="5">
        <f t="shared" ref="R48:R50" si="36">IF(P$12=0,0,P48/P$12)</f>
        <v>0</v>
      </c>
      <c r="S48" s="1"/>
      <c r="T48" s="1">
        <f>SUM(OSRRefT22_6x_0)</f>
        <v>0</v>
      </c>
      <c r="U48" s="1"/>
      <c r="V48" s="5">
        <f t="shared" ref="V48:V50" si="37">IF(T$12=0,0,T48/T$12)</f>
        <v>0</v>
      </c>
      <c r="W48" s="1"/>
      <c r="X48" s="1">
        <f t="shared" ref="X48:X50" si="38">+P48-T48</f>
        <v>3383.69</v>
      </c>
      <c r="Y48" s="1"/>
      <c r="Z48" s="5">
        <f t="shared" ref="Z48:Z50" si="39">IF(T48=0,0,X48/T48)</f>
        <v>0</v>
      </c>
    </row>
    <row r="49" spans="1:26" s="24" customFormat="1" hidden="1" outlineLevel="2" x14ac:dyDescent="0.3">
      <c r="A49" s="28"/>
      <c r="B49" s="11" t="str">
        <f>CONCATENATE("          ", "6382", " - ", "DISCOUNTS/MARK DOWNS")</f>
        <v xml:space="preserve">          6382 - DISCOUNTS/MARK DOWNS</v>
      </c>
      <c r="C49" s="11"/>
      <c r="D49" s="6"/>
      <c r="E49" s="2"/>
      <c r="F49" s="7">
        <f t="shared" si="32"/>
        <v>0</v>
      </c>
      <c r="G49" s="2"/>
      <c r="H49" s="6"/>
      <c r="I49" s="2"/>
      <c r="J49" s="7">
        <f t="shared" si="33"/>
        <v>0</v>
      </c>
      <c r="K49" s="2"/>
      <c r="L49" s="6">
        <f t="shared" si="34"/>
        <v>0</v>
      </c>
      <c r="M49" s="2"/>
      <c r="N49" s="7">
        <f t="shared" si="35"/>
        <v>0</v>
      </c>
      <c r="O49" s="11"/>
      <c r="P49" s="6">
        <v>3410</v>
      </c>
      <c r="Q49" s="2"/>
      <c r="R49" s="7">
        <f t="shared" si="36"/>
        <v>0</v>
      </c>
      <c r="S49" s="2"/>
      <c r="T49" s="6"/>
      <c r="U49" s="2"/>
      <c r="V49" s="7">
        <f t="shared" si="37"/>
        <v>0</v>
      </c>
      <c r="W49" s="2"/>
      <c r="X49" s="6">
        <f t="shared" si="38"/>
        <v>3410</v>
      </c>
      <c r="Y49" s="2"/>
      <c r="Z49" s="7">
        <f t="shared" si="39"/>
        <v>0</v>
      </c>
    </row>
    <row r="50" spans="1:26" s="24" customFormat="1" hidden="1" outlineLevel="2" x14ac:dyDescent="0.3">
      <c r="A50" s="28"/>
      <c r="B50" s="11" t="str">
        <f>CONCATENATE("          ", "9175", " - ", "EARNED DISCOUNTS")</f>
        <v xml:space="preserve">          9175 - EARNED DISCOUNTS</v>
      </c>
      <c r="C50" s="11"/>
      <c r="D50" s="6">
        <v>-1.29</v>
      </c>
      <c r="E50" s="2"/>
      <c r="F50" s="7">
        <f t="shared" si="32"/>
        <v>0</v>
      </c>
      <c r="G50" s="2"/>
      <c r="H50" s="6"/>
      <c r="I50" s="2"/>
      <c r="J50" s="7">
        <f t="shared" si="33"/>
        <v>0</v>
      </c>
      <c r="K50" s="2"/>
      <c r="L50" s="6">
        <f t="shared" si="34"/>
        <v>-1.29</v>
      </c>
      <c r="M50" s="2"/>
      <c r="N50" s="7">
        <f t="shared" si="35"/>
        <v>0</v>
      </c>
      <c r="O50" s="11"/>
      <c r="P50" s="6">
        <v>-26.31</v>
      </c>
      <c r="Q50" s="2"/>
      <c r="R50" s="7">
        <f t="shared" si="36"/>
        <v>0</v>
      </c>
      <c r="S50" s="2"/>
      <c r="T50" s="6"/>
      <c r="U50" s="2"/>
      <c r="V50" s="7">
        <f t="shared" si="37"/>
        <v>0</v>
      </c>
      <c r="W50" s="2"/>
      <c r="X50" s="6">
        <f t="shared" si="38"/>
        <v>-26.31</v>
      </c>
      <c r="Y50" s="2"/>
      <c r="Z50" s="7">
        <f t="shared" si="39"/>
        <v>0</v>
      </c>
    </row>
    <row r="51" spans="1:26" s="29" customFormat="1" outlineLevel="1" collapsed="1" x14ac:dyDescent="0.3">
      <c r="A51" s="27"/>
      <c r="B51" s="14" t="str">
        <f>CONCATENATE("     ","Donations                                         ")</f>
        <v xml:space="preserve">     Donations                                         </v>
      </c>
      <c r="C51" s="14"/>
      <c r="D51" s="1">
        <f>SUM(OSRRefD22_7x_0)</f>
        <v>0</v>
      </c>
      <c r="E51" s="1"/>
      <c r="F51" s="5">
        <f t="shared" ref="F51:F71" si="40">IF(D$12=0,0,D51/D$12)</f>
        <v>0</v>
      </c>
      <c r="G51" s="1"/>
      <c r="H51" s="1">
        <f>SUM(OSRRefH22_7x_0)</f>
        <v>0</v>
      </c>
      <c r="I51" s="1"/>
      <c r="J51" s="5">
        <f t="shared" ref="J51:J71" si="41">IF(H$12=0,0,H51/H$12)</f>
        <v>0</v>
      </c>
      <c r="K51" s="1"/>
      <c r="L51" s="1">
        <f t="shared" ref="L51:L71" si="42">+D51-H51</f>
        <v>0</v>
      </c>
      <c r="M51" s="1"/>
      <c r="N51" s="5">
        <f t="shared" ref="N51:N71" si="43">IF(H51=0,0,L51/H51)</f>
        <v>0</v>
      </c>
      <c r="O51" s="14"/>
      <c r="P51" s="1">
        <f>SUM(OSRRefP22_7x_0)</f>
        <v>2820.22</v>
      </c>
      <c r="Q51" s="1"/>
      <c r="R51" s="5">
        <f t="shared" ref="R51:R71" si="44">IF(P$12=0,0,P51/P$12)</f>
        <v>0</v>
      </c>
      <c r="S51" s="1"/>
      <c r="T51" s="1">
        <f>SUM(OSRRefT22_7x_0)</f>
        <v>0</v>
      </c>
      <c r="U51" s="1"/>
      <c r="V51" s="5">
        <f t="shared" ref="V51:V71" si="45">IF(T$12=0,0,T51/T$12)</f>
        <v>0</v>
      </c>
      <c r="W51" s="1"/>
      <c r="X51" s="1">
        <f t="shared" ref="X51:X71" si="46">+P51-T51</f>
        <v>2820.22</v>
      </c>
      <c r="Y51" s="1"/>
      <c r="Z51" s="5">
        <f t="shared" ref="Z51:Z71" si="47">IF(T51=0,0,X51/T51)</f>
        <v>0</v>
      </c>
    </row>
    <row r="52" spans="1:26" s="24" customFormat="1" hidden="1" outlineLevel="2" x14ac:dyDescent="0.3">
      <c r="A52" s="28"/>
      <c r="B52" s="11" t="str">
        <f>CONCATENATE("          ", "6399", " - ", "DONATION-ON CAMPUS")</f>
        <v xml:space="preserve">          6399 - DONATION-ON CAMPUS</v>
      </c>
      <c r="C52" s="11"/>
      <c r="D52" s="6"/>
      <c r="E52" s="2"/>
      <c r="F52" s="7">
        <f t="shared" si="40"/>
        <v>0</v>
      </c>
      <c r="G52" s="2"/>
      <c r="H52" s="6"/>
      <c r="I52" s="2"/>
      <c r="J52" s="7">
        <f t="shared" si="41"/>
        <v>0</v>
      </c>
      <c r="K52" s="2"/>
      <c r="L52" s="6">
        <f t="shared" si="42"/>
        <v>0</v>
      </c>
      <c r="M52" s="2"/>
      <c r="N52" s="7">
        <f t="shared" si="43"/>
        <v>0</v>
      </c>
      <c r="O52" s="11"/>
      <c r="P52" s="6">
        <v>2820.22</v>
      </c>
      <c r="Q52" s="2"/>
      <c r="R52" s="7">
        <f t="shared" si="44"/>
        <v>0</v>
      </c>
      <c r="S52" s="2"/>
      <c r="T52" s="6"/>
      <c r="U52" s="2"/>
      <c r="V52" s="7">
        <f t="shared" si="45"/>
        <v>0</v>
      </c>
      <c r="W52" s="2"/>
      <c r="X52" s="6">
        <f t="shared" si="46"/>
        <v>2820.22</v>
      </c>
      <c r="Y52" s="2"/>
      <c r="Z52" s="7">
        <f t="shared" si="47"/>
        <v>0</v>
      </c>
    </row>
    <row r="53" spans="1:26" s="29" customFormat="1" outlineLevel="1" collapsed="1" x14ac:dyDescent="0.3">
      <c r="A53" s="27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SUM(OSRRefD22_8x_0)</f>
        <v>949.16</v>
      </c>
      <c r="E53" s="1"/>
      <c r="F53" s="5">
        <f t="shared" si="40"/>
        <v>0</v>
      </c>
      <c r="G53" s="1"/>
      <c r="H53" s="1">
        <f>SUM(OSRRefH22_8x_0)</f>
        <v>0</v>
      </c>
      <c r="I53" s="1"/>
      <c r="J53" s="5">
        <f t="shared" si="41"/>
        <v>0</v>
      </c>
      <c r="K53" s="1"/>
      <c r="L53" s="1">
        <f t="shared" si="42"/>
        <v>949.16</v>
      </c>
      <c r="M53" s="1"/>
      <c r="N53" s="5">
        <f t="shared" si="43"/>
        <v>0</v>
      </c>
      <c r="O53" s="14"/>
      <c r="P53" s="1">
        <f>SUM(OSRRefP22_8x_0)</f>
        <v>2607.37</v>
      </c>
      <c r="Q53" s="1"/>
      <c r="R53" s="5">
        <f t="shared" si="44"/>
        <v>0</v>
      </c>
      <c r="S53" s="1"/>
      <c r="T53" s="1">
        <f>SUM(OSRRefT22_8x_0)</f>
        <v>0</v>
      </c>
      <c r="U53" s="1"/>
      <c r="V53" s="5">
        <f t="shared" si="45"/>
        <v>0</v>
      </c>
      <c r="W53" s="1"/>
      <c r="X53" s="1">
        <f t="shared" si="46"/>
        <v>2607.37</v>
      </c>
      <c r="Y53" s="1"/>
      <c r="Z53" s="5">
        <f t="shared" si="47"/>
        <v>0</v>
      </c>
    </row>
    <row r="54" spans="1:26" s="24" customFormat="1" hidden="1" outlineLevel="2" x14ac:dyDescent="0.3">
      <c r="A54" s="28"/>
      <c r="B54" s="11" t="str">
        <f>CONCATENATE("          ", "6277", " - ", "EMPLOYEE APPRECIATION")</f>
        <v xml:space="preserve">          6277 - EMPLOYEE APPRECIATION</v>
      </c>
      <c r="C54" s="11"/>
      <c r="D54" s="6">
        <v>949.16</v>
      </c>
      <c r="E54" s="2"/>
      <c r="F54" s="7">
        <f t="shared" si="40"/>
        <v>0</v>
      </c>
      <c r="G54" s="2"/>
      <c r="H54" s="6"/>
      <c r="I54" s="2"/>
      <c r="J54" s="7">
        <f t="shared" si="41"/>
        <v>0</v>
      </c>
      <c r="K54" s="2"/>
      <c r="L54" s="6">
        <f t="shared" si="42"/>
        <v>949.16</v>
      </c>
      <c r="M54" s="2"/>
      <c r="N54" s="7">
        <f t="shared" si="43"/>
        <v>0</v>
      </c>
      <c r="O54" s="11"/>
      <c r="P54" s="6">
        <v>2607.37</v>
      </c>
      <c r="Q54" s="2"/>
      <c r="R54" s="7">
        <f t="shared" si="44"/>
        <v>0</v>
      </c>
      <c r="S54" s="2"/>
      <c r="T54" s="6"/>
      <c r="U54" s="2"/>
      <c r="V54" s="7">
        <f t="shared" si="45"/>
        <v>0</v>
      </c>
      <c r="W54" s="2"/>
      <c r="X54" s="6">
        <f t="shared" si="46"/>
        <v>2607.37</v>
      </c>
      <c r="Y54" s="2"/>
      <c r="Z54" s="7">
        <f t="shared" si="47"/>
        <v>0</v>
      </c>
    </row>
    <row r="55" spans="1:26" s="29" customFormat="1" outlineLevel="1" collapsed="1" x14ac:dyDescent="0.3">
      <c r="A55" s="27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SUM(OSRRefD22_9x_0)</f>
        <v>91.26</v>
      </c>
      <c r="E55" s="1"/>
      <c r="F55" s="5">
        <f t="shared" si="40"/>
        <v>0</v>
      </c>
      <c r="G55" s="1"/>
      <c r="H55" s="1">
        <f>SUM(OSRRefH22_9x_0)</f>
        <v>91.26</v>
      </c>
      <c r="I55" s="1"/>
      <c r="J55" s="5">
        <f t="shared" si="41"/>
        <v>0</v>
      </c>
      <c r="K55" s="1"/>
      <c r="L55" s="1">
        <f t="shared" si="42"/>
        <v>0</v>
      </c>
      <c r="M55" s="1"/>
      <c r="N55" s="5">
        <f t="shared" si="43"/>
        <v>0</v>
      </c>
      <c r="O55" s="14"/>
      <c r="P55" s="1">
        <f>SUM(OSRRefP22_9x_0)</f>
        <v>1930.21</v>
      </c>
      <c r="Q55" s="1"/>
      <c r="R55" s="5">
        <f t="shared" si="44"/>
        <v>0</v>
      </c>
      <c r="S55" s="1"/>
      <c r="T55" s="1">
        <f>SUM(OSRRefT22_9x_0)</f>
        <v>1195.3399999999999</v>
      </c>
      <c r="U55" s="1"/>
      <c r="V55" s="5">
        <f t="shared" si="45"/>
        <v>0</v>
      </c>
      <c r="W55" s="1"/>
      <c r="X55" s="1">
        <f t="shared" si="46"/>
        <v>734.87000000000012</v>
      </c>
      <c r="Y55" s="1"/>
      <c r="Z55" s="5">
        <f t="shared" si="47"/>
        <v>0.61477905867786586</v>
      </c>
    </row>
    <row r="56" spans="1:26" s="24" customFormat="1" hidden="1" outlineLevel="2" x14ac:dyDescent="0.3">
      <c r="A56" s="28"/>
      <c r="B56" s="11" t="str">
        <f>CONCATENATE("          ", "6351", " - ", "EQUIPMENT RENTAL")</f>
        <v xml:space="preserve">          6351 - EQUIPMENT RENTAL</v>
      </c>
      <c r="C56" s="11"/>
      <c r="D56" s="6">
        <v>91.26</v>
      </c>
      <c r="E56" s="2"/>
      <c r="F56" s="7">
        <f t="shared" si="40"/>
        <v>0</v>
      </c>
      <c r="G56" s="2"/>
      <c r="H56" s="6">
        <v>91.26</v>
      </c>
      <c r="I56" s="2"/>
      <c r="J56" s="7">
        <f t="shared" si="41"/>
        <v>0</v>
      </c>
      <c r="K56" s="2"/>
      <c r="L56" s="6">
        <f t="shared" si="42"/>
        <v>0</v>
      </c>
      <c r="M56" s="2"/>
      <c r="N56" s="7">
        <f t="shared" si="43"/>
        <v>0</v>
      </c>
      <c r="O56" s="11"/>
      <c r="P56" s="6">
        <v>1930.21</v>
      </c>
      <c r="Q56" s="2"/>
      <c r="R56" s="7">
        <f t="shared" si="44"/>
        <v>0</v>
      </c>
      <c r="S56" s="2"/>
      <c r="T56" s="6">
        <v>1195.3399999999999</v>
      </c>
      <c r="U56" s="2"/>
      <c r="V56" s="7">
        <f t="shared" si="45"/>
        <v>0</v>
      </c>
      <c r="W56" s="2"/>
      <c r="X56" s="6">
        <f t="shared" si="46"/>
        <v>734.87000000000012</v>
      </c>
      <c r="Y56" s="2"/>
      <c r="Z56" s="7">
        <f t="shared" si="47"/>
        <v>0.61477905867786586</v>
      </c>
    </row>
    <row r="57" spans="1:26" s="29" customFormat="1" outlineLevel="1" collapsed="1" x14ac:dyDescent="0.3">
      <c r="A57" s="27"/>
      <c r="B57" s="14" t="str">
        <f>CONCATENATE("     ","Freight out/Postage                               ")</f>
        <v xml:space="preserve">     Freight out/Postage                               </v>
      </c>
      <c r="C57" s="14"/>
      <c r="D57" s="1">
        <f>SUM(OSRRefD22_10x_0)</f>
        <v>15.95</v>
      </c>
      <c r="E57" s="1"/>
      <c r="F57" s="5">
        <f t="shared" si="40"/>
        <v>0</v>
      </c>
      <c r="G57" s="1"/>
      <c r="H57" s="1">
        <f>SUM(OSRRefH22_10x_0)</f>
        <v>15.95</v>
      </c>
      <c r="I57" s="1"/>
      <c r="J57" s="5">
        <f t="shared" si="41"/>
        <v>0</v>
      </c>
      <c r="K57" s="1"/>
      <c r="L57" s="1">
        <f t="shared" si="42"/>
        <v>0</v>
      </c>
      <c r="M57" s="1"/>
      <c r="N57" s="5">
        <f t="shared" si="43"/>
        <v>0</v>
      </c>
      <c r="O57" s="14"/>
      <c r="P57" s="1">
        <f>SUM(OSRRefP22_10x_0)</f>
        <v>9506.24</v>
      </c>
      <c r="Q57" s="1"/>
      <c r="R57" s="5">
        <f t="shared" si="44"/>
        <v>0</v>
      </c>
      <c r="S57" s="1"/>
      <c r="T57" s="1">
        <f>SUM(OSRRefT22_10x_0)</f>
        <v>679.75</v>
      </c>
      <c r="U57" s="1"/>
      <c r="V57" s="5">
        <f t="shared" si="45"/>
        <v>0</v>
      </c>
      <c r="W57" s="1"/>
      <c r="X57" s="1">
        <f t="shared" si="46"/>
        <v>8826.49</v>
      </c>
      <c r="Y57" s="1"/>
      <c r="Z57" s="5">
        <f t="shared" si="47"/>
        <v>12.984906215520411</v>
      </c>
    </row>
    <row r="58" spans="1:26" s="24" customFormat="1" hidden="1" outlineLevel="2" x14ac:dyDescent="0.3">
      <c r="A58" s="28"/>
      <c r="B58" s="11" t="str">
        <f>CONCATENATE("          ", "6307", " - ", "POSTAGE")</f>
        <v xml:space="preserve">          6307 - POSTAGE</v>
      </c>
      <c r="C58" s="11"/>
      <c r="D58" s="6">
        <v>15.95</v>
      </c>
      <c r="E58" s="2"/>
      <c r="F58" s="7">
        <f t="shared" si="40"/>
        <v>0</v>
      </c>
      <c r="G58" s="2"/>
      <c r="H58" s="6">
        <v>15.95</v>
      </c>
      <c r="I58" s="2"/>
      <c r="J58" s="7">
        <f t="shared" si="41"/>
        <v>0</v>
      </c>
      <c r="K58" s="2"/>
      <c r="L58" s="6">
        <f t="shared" si="42"/>
        <v>0</v>
      </c>
      <c r="M58" s="2"/>
      <c r="N58" s="7">
        <f t="shared" si="43"/>
        <v>0</v>
      </c>
      <c r="O58" s="11"/>
      <c r="P58" s="6">
        <v>9506.24</v>
      </c>
      <c r="Q58" s="2"/>
      <c r="R58" s="7">
        <f t="shared" si="44"/>
        <v>0</v>
      </c>
      <c r="S58" s="2"/>
      <c r="T58" s="6">
        <v>679.75</v>
      </c>
      <c r="U58" s="2"/>
      <c r="V58" s="7">
        <f t="shared" si="45"/>
        <v>0</v>
      </c>
      <c r="W58" s="2"/>
      <c r="X58" s="6">
        <f t="shared" si="46"/>
        <v>8826.49</v>
      </c>
      <c r="Y58" s="2"/>
      <c r="Z58" s="7">
        <f t="shared" si="47"/>
        <v>12.984906215520411</v>
      </c>
    </row>
    <row r="59" spans="1:26" s="29" customFormat="1" outlineLevel="1" collapsed="1" x14ac:dyDescent="0.3">
      <c r="A59" s="27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SUM(OSRRefD22_11x_0)</f>
        <v>682</v>
      </c>
      <c r="E59" s="1"/>
      <c r="F59" s="5">
        <f t="shared" si="40"/>
        <v>0</v>
      </c>
      <c r="G59" s="1"/>
      <c r="H59" s="1">
        <f>SUM(OSRRefH22_11x_0)</f>
        <v>300</v>
      </c>
      <c r="I59" s="1"/>
      <c r="J59" s="5">
        <f t="shared" si="41"/>
        <v>0</v>
      </c>
      <c r="K59" s="1"/>
      <c r="L59" s="1">
        <f t="shared" si="42"/>
        <v>382</v>
      </c>
      <c r="M59" s="1"/>
      <c r="N59" s="5">
        <f t="shared" si="43"/>
        <v>1.2733333333333334</v>
      </c>
      <c r="O59" s="14"/>
      <c r="P59" s="1">
        <f>SUM(OSRRefP22_11x_0)</f>
        <v>2556.75</v>
      </c>
      <c r="Q59" s="1"/>
      <c r="R59" s="5">
        <f t="shared" si="44"/>
        <v>0</v>
      </c>
      <c r="S59" s="1"/>
      <c r="T59" s="1">
        <f>SUM(OSRRefT22_11x_0)</f>
        <v>1167.81</v>
      </c>
      <c r="U59" s="1"/>
      <c r="V59" s="5">
        <f t="shared" si="45"/>
        <v>0</v>
      </c>
      <c r="W59" s="1"/>
      <c r="X59" s="1">
        <f t="shared" si="46"/>
        <v>1388.94</v>
      </c>
      <c r="Y59" s="1"/>
      <c r="Z59" s="5">
        <f t="shared" si="47"/>
        <v>1.1893544326559973</v>
      </c>
    </row>
    <row r="60" spans="1:26" s="24" customFormat="1" hidden="1" outlineLevel="2" x14ac:dyDescent="0.3">
      <c r="A60" s="28"/>
      <c r="B60" s="11" t="str">
        <f>CONCATENATE("          ", "6279", " - ", "GENERAL EXPENSE")</f>
        <v xml:space="preserve">          6279 - GENERAL EXPENSE</v>
      </c>
      <c r="C60" s="11"/>
      <c r="D60" s="6">
        <v>682</v>
      </c>
      <c r="E60" s="2"/>
      <c r="F60" s="7">
        <f t="shared" si="40"/>
        <v>0</v>
      </c>
      <c r="G60" s="2"/>
      <c r="H60" s="6">
        <v>300</v>
      </c>
      <c r="I60" s="2"/>
      <c r="J60" s="7">
        <f t="shared" si="41"/>
        <v>0</v>
      </c>
      <c r="K60" s="2"/>
      <c r="L60" s="6">
        <f t="shared" si="42"/>
        <v>382</v>
      </c>
      <c r="M60" s="2"/>
      <c r="N60" s="7">
        <f t="shared" si="43"/>
        <v>1.2733333333333334</v>
      </c>
      <c r="O60" s="11"/>
      <c r="P60" s="6">
        <v>2556.75</v>
      </c>
      <c r="Q60" s="2"/>
      <c r="R60" s="7">
        <f t="shared" si="44"/>
        <v>0</v>
      </c>
      <c r="S60" s="2"/>
      <c r="T60" s="6">
        <v>1167.81</v>
      </c>
      <c r="U60" s="2"/>
      <c r="V60" s="7">
        <f t="shared" si="45"/>
        <v>0</v>
      </c>
      <c r="W60" s="2"/>
      <c r="X60" s="6">
        <f t="shared" si="46"/>
        <v>1388.94</v>
      </c>
      <c r="Y60" s="2"/>
      <c r="Z60" s="7">
        <f t="shared" si="47"/>
        <v>1.1893544326559973</v>
      </c>
    </row>
    <row r="61" spans="1:26" s="29" customFormat="1" outlineLevel="1" collapsed="1" x14ac:dyDescent="0.3">
      <c r="A61" s="27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SUM(OSRRefD22_12x_0)</f>
        <v>5275.49</v>
      </c>
      <c r="E61" s="1"/>
      <c r="F61" s="5">
        <f t="shared" si="40"/>
        <v>0</v>
      </c>
      <c r="G61" s="1"/>
      <c r="H61" s="1">
        <f>SUM(OSRRefH22_12x_0)</f>
        <v>3883.56</v>
      </c>
      <c r="I61" s="1"/>
      <c r="J61" s="5">
        <f t="shared" si="41"/>
        <v>0</v>
      </c>
      <c r="K61" s="1"/>
      <c r="L61" s="1">
        <f t="shared" si="42"/>
        <v>1391.9299999999998</v>
      </c>
      <c r="M61" s="1"/>
      <c r="N61" s="5">
        <f t="shared" si="43"/>
        <v>0.35841598945297609</v>
      </c>
      <c r="O61" s="14"/>
      <c r="P61" s="1">
        <f>SUM(OSRRefP22_12x_0)</f>
        <v>31652.94</v>
      </c>
      <c r="Q61" s="1"/>
      <c r="R61" s="5">
        <f t="shared" si="44"/>
        <v>0</v>
      </c>
      <c r="S61" s="1"/>
      <c r="T61" s="1">
        <f>SUM(OSRRefT22_12x_0)</f>
        <v>23301.360000000001</v>
      </c>
      <c r="U61" s="1"/>
      <c r="V61" s="5">
        <f t="shared" si="45"/>
        <v>0</v>
      </c>
      <c r="W61" s="1"/>
      <c r="X61" s="1">
        <f t="shared" si="46"/>
        <v>8351.5799999999981</v>
      </c>
      <c r="Y61" s="1"/>
      <c r="Z61" s="5">
        <f t="shared" si="47"/>
        <v>0.35841598945297604</v>
      </c>
    </row>
    <row r="62" spans="1:26" s="24" customFormat="1" hidden="1" outlineLevel="2" x14ac:dyDescent="0.3">
      <c r="A62" s="28"/>
      <c r="B62" s="11" t="str">
        <f>CONCATENATE("          ", "6314", " - ", "LIABILITY INSURANCE")</f>
        <v xml:space="preserve">          6314 - LIABILITY INSURANCE</v>
      </c>
      <c r="C62" s="11"/>
      <c r="D62" s="6">
        <v>5275.49</v>
      </c>
      <c r="E62" s="2"/>
      <c r="F62" s="7">
        <f t="shared" si="40"/>
        <v>0</v>
      </c>
      <c r="G62" s="2"/>
      <c r="H62" s="6">
        <v>3883.56</v>
      </c>
      <c r="I62" s="2"/>
      <c r="J62" s="7">
        <f t="shared" si="41"/>
        <v>0</v>
      </c>
      <c r="K62" s="2"/>
      <c r="L62" s="6">
        <f t="shared" si="42"/>
        <v>1391.9299999999998</v>
      </c>
      <c r="M62" s="2"/>
      <c r="N62" s="7">
        <f t="shared" si="43"/>
        <v>0.35841598945297609</v>
      </c>
      <c r="O62" s="11"/>
      <c r="P62" s="6">
        <v>31652.94</v>
      </c>
      <c r="Q62" s="2"/>
      <c r="R62" s="7">
        <f t="shared" si="44"/>
        <v>0</v>
      </c>
      <c r="S62" s="2"/>
      <c r="T62" s="6">
        <v>23301.360000000001</v>
      </c>
      <c r="U62" s="2"/>
      <c r="V62" s="7">
        <f t="shared" si="45"/>
        <v>0</v>
      </c>
      <c r="W62" s="2"/>
      <c r="X62" s="6">
        <f t="shared" si="46"/>
        <v>8351.5799999999981</v>
      </c>
      <c r="Y62" s="2"/>
      <c r="Z62" s="7">
        <f t="shared" si="47"/>
        <v>0.35841598945297604</v>
      </c>
    </row>
    <row r="63" spans="1:26" s="29" customFormat="1" outlineLevel="1" collapsed="1" x14ac:dyDescent="0.3">
      <c r="A63" s="27"/>
      <c r="B63" s="14" t="str">
        <f>CONCATENATE("     ","Professional Services                             ")</f>
        <v xml:space="preserve">     Professional Services                             </v>
      </c>
      <c r="C63" s="14"/>
      <c r="D63" s="1">
        <f>SUM(OSRRefD22_13x_0)</f>
        <v>0</v>
      </c>
      <c r="E63" s="1"/>
      <c r="F63" s="5">
        <f t="shared" si="40"/>
        <v>0</v>
      </c>
      <c r="G63" s="1"/>
      <c r="H63" s="1">
        <f>SUM(OSRRefH22_13x_0)</f>
        <v>0</v>
      </c>
      <c r="I63" s="1"/>
      <c r="J63" s="5">
        <f t="shared" si="41"/>
        <v>0</v>
      </c>
      <c r="K63" s="1"/>
      <c r="L63" s="1">
        <f t="shared" si="42"/>
        <v>0</v>
      </c>
      <c r="M63" s="1"/>
      <c r="N63" s="5">
        <f t="shared" si="43"/>
        <v>0</v>
      </c>
      <c r="O63" s="14"/>
      <c r="P63" s="1">
        <f>SUM(OSRRefP22_13x_0)</f>
        <v>7517.43</v>
      </c>
      <c r="Q63" s="1"/>
      <c r="R63" s="5">
        <f t="shared" si="44"/>
        <v>0</v>
      </c>
      <c r="S63" s="1"/>
      <c r="T63" s="1">
        <f>SUM(OSRRefT22_13x_0)</f>
        <v>0</v>
      </c>
      <c r="U63" s="1"/>
      <c r="V63" s="5">
        <f t="shared" si="45"/>
        <v>0</v>
      </c>
      <c r="W63" s="1"/>
      <c r="X63" s="1">
        <f t="shared" si="46"/>
        <v>7517.43</v>
      </c>
      <c r="Y63" s="1"/>
      <c r="Z63" s="5">
        <f t="shared" si="47"/>
        <v>0</v>
      </c>
    </row>
    <row r="64" spans="1:26" s="24" customFormat="1" hidden="1" outlineLevel="2" x14ac:dyDescent="0.3">
      <c r="A64" s="28"/>
      <c r="B64" s="11" t="str">
        <f>CONCATENATE("          ", "6336", " - ", "PROFESSIONAL SERVICES")</f>
        <v xml:space="preserve">          6336 - PROFESSIONAL SERVICES</v>
      </c>
      <c r="C64" s="11"/>
      <c r="D64" s="6"/>
      <c r="E64" s="2"/>
      <c r="F64" s="7">
        <f t="shared" si="40"/>
        <v>0</v>
      </c>
      <c r="G64" s="2"/>
      <c r="H64" s="6"/>
      <c r="I64" s="2"/>
      <c r="J64" s="7">
        <f t="shared" si="41"/>
        <v>0</v>
      </c>
      <c r="K64" s="2"/>
      <c r="L64" s="6">
        <f t="shared" si="42"/>
        <v>0</v>
      </c>
      <c r="M64" s="2"/>
      <c r="N64" s="7">
        <f t="shared" si="43"/>
        <v>0</v>
      </c>
      <c r="O64" s="11"/>
      <c r="P64" s="6">
        <v>7517.43</v>
      </c>
      <c r="Q64" s="2"/>
      <c r="R64" s="7">
        <f t="shared" si="44"/>
        <v>0</v>
      </c>
      <c r="S64" s="2"/>
      <c r="T64" s="6"/>
      <c r="U64" s="2"/>
      <c r="V64" s="7">
        <f t="shared" si="45"/>
        <v>0</v>
      </c>
      <c r="W64" s="2"/>
      <c r="X64" s="6">
        <f t="shared" si="46"/>
        <v>7517.43</v>
      </c>
      <c r="Y64" s="2"/>
      <c r="Z64" s="7">
        <f t="shared" si="47"/>
        <v>0</v>
      </c>
    </row>
    <row r="65" spans="1:26" s="29" customFormat="1" outlineLevel="1" collapsed="1" x14ac:dyDescent="0.3">
      <c r="A65" s="27"/>
      <c r="B65" s="14" t="str">
        <f>CONCATENATE("     ","Rent                                              ")</f>
        <v xml:space="preserve">     Rent                                              </v>
      </c>
      <c r="C65" s="14"/>
      <c r="D65" s="1">
        <f>SUM(OSRRefD22_14x_0)</f>
        <v>-800</v>
      </c>
      <c r="E65" s="1"/>
      <c r="F65" s="5">
        <f t="shared" si="40"/>
        <v>0</v>
      </c>
      <c r="G65" s="1"/>
      <c r="H65" s="1">
        <f>SUM(OSRRefH22_14x_0)</f>
        <v>-800</v>
      </c>
      <c r="I65" s="1"/>
      <c r="J65" s="5">
        <f t="shared" si="41"/>
        <v>0</v>
      </c>
      <c r="K65" s="1"/>
      <c r="L65" s="1">
        <f t="shared" si="42"/>
        <v>0</v>
      </c>
      <c r="M65" s="1"/>
      <c r="N65" s="5">
        <f t="shared" si="43"/>
        <v>0</v>
      </c>
      <c r="O65" s="14"/>
      <c r="P65" s="1">
        <f>SUM(OSRRefP22_14x_0)</f>
        <v>-4800</v>
      </c>
      <c r="Q65" s="1"/>
      <c r="R65" s="5">
        <f t="shared" si="44"/>
        <v>0</v>
      </c>
      <c r="S65" s="1"/>
      <c r="T65" s="1">
        <f>SUM(OSRRefT22_14x_0)</f>
        <v>-4800</v>
      </c>
      <c r="U65" s="1"/>
      <c r="V65" s="5">
        <f t="shared" si="45"/>
        <v>0</v>
      </c>
      <c r="W65" s="1"/>
      <c r="X65" s="1">
        <f t="shared" si="46"/>
        <v>0</v>
      </c>
      <c r="Y65" s="1"/>
      <c r="Z65" s="5">
        <f t="shared" si="47"/>
        <v>0</v>
      </c>
    </row>
    <row r="66" spans="1:26" s="24" customFormat="1" hidden="1" outlineLevel="2" x14ac:dyDescent="0.3">
      <c r="A66" s="28"/>
      <c r="B66" s="11" t="str">
        <f>CONCATENATE("          ", "6273", " - ", "RENT")</f>
        <v xml:space="preserve">          6273 - RENT</v>
      </c>
      <c r="C66" s="11"/>
      <c r="D66" s="6">
        <v>-800</v>
      </c>
      <c r="E66" s="2"/>
      <c r="F66" s="7">
        <f t="shared" si="40"/>
        <v>0</v>
      </c>
      <c r="G66" s="2"/>
      <c r="H66" s="6">
        <v>-800</v>
      </c>
      <c r="I66" s="2"/>
      <c r="J66" s="7">
        <f t="shared" si="41"/>
        <v>0</v>
      </c>
      <c r="K66" s="2"/>
      <c r="L66" s="6">
        <f t="shared" si="42"/>
        <v>0</v>
      </c>
      <c r="M66" s="2"/>
      <c r="N66" s="7">
        <f t="shared" si="43"/>
        <v>0</v>
      </c>
      <c r="O66" s="11"/>
      <c r="P66" s="6">
        <v>-4800</v>
      </c>
      <c r="Q66" s="2"/>
      <c r="R66" s="7">
        <f t="shared" si="44"/>
        <v>0</v>
      </c>
      <c r="S66" s="2"/>
      <c r="T66" s="6">
        <v>-4800</v>
      </c>
      <c r="U66" s="2"/>
      <c r="V66" s="7">
        <f t="shared" si="45"/>
        <v>0</v>
      </c>
      <c r="W66" s="2"/>
      <c r="X66" s="6">
        <f t="shared" si="46"/>
        <v>0</v>
      </c>
      <c r="Y66" s="2"/>
      <c r="Z66" s="7">
        <f t="shared" si="47"/>
        <v>0</v>
      </c>
    </row>
    <row r="67" spans="1:26" s="29" customFormat="1" outlineLevel="1" collapsed="1" x14ac:dyDescent="0.3">
      <c r="A67" s="27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SUM(OSRRefD22_15x_0)</f>
        <v>4199.7700000000004</v>
      </c>
      <c r="E67" s="1"/>
      <c r="F67" s="5">
        <f t="shared" si="40"/>
        <v>0</v>
      </c>
      <c r="G67" s="1"/>
      <c r="H67" s="1">
        <f>SUM(OSRRefH22_15x_0)</f>
        <v>2967.36</v>
      </c>
      <c r="I67" s="1"/>
      <c r="J67" s="5">
        <f t="shared" si="41"/>
        <v>0</v>
      </c>
      <c r="K67" s="1"/>
      <c r="L67" s="1">
        <f t="shared" si="42"/>
        <v>1232.4100000000003</v>
      </c>
      <c r="M67" s="1"/>
      <c r="N67" s="5">
        <f t="shared" si="43"/>
        <v>0.4153220370969482</v>
      </c>
      <c r="O67" s="14"/>
      <c r="P67" s="1">
        <f>SUM(OSRRefP22_15x_0)</f>
        <v>75355.490000000005</v>
      </c>
      <c r="Q67" s="1"/>
      <c r="R67" s="5">
        <f t="shared" si="44"/>
        <v>0</v>
      </c>
      <c r="S67" s="1"/>
      <c r="T67" s="1">
        <f>SUM(OSRRefT22_15x_0)</f>
        <v>79304.08</v>
      </c>
      <c r="U67" s="1"/>
      <c r="V67" s="5">
        <f t="shared" si="45"/>
        <v>0</v>
      </c>
      <c r="W67" s="1"/>
      <c r="X67" s="1">
        <f t="shared" si="46"/>
        <v>-3948.5899999999965</v>
      </c>
      <c r="Y67" s="1"/>
      <c r="Z67" s="5">
        <f t="shared" si="47"/>
        <v>-4.9790502581960432E-2</v>
      </c>
    </row>
    <row r="68" spans="1:26" s="24" customFormat="1" hidden="1" outlineLevel="2" x14ac:dyDescent="0.3">
      <c r="A68" s="28"/>
      <c r="B68" s="11" t="str">
        <f>CONCATENATE("          ", "6371", " - ", "COMPUTER SOFTWARE MAINTENANCE")</f>
        <v xml:space="preserve">          6371 - COMPUTER SOFTWARE MAINTENANCE</v>
      </c>
      <c r="C68" s="11"/>
      <c r="D68" s="6"/>
      <c r="E68" s="2"/>
      <c r="F68" s="7">
        <f t="shared" si="40"/>
        <v>0</v>
      </c>
      <c r="G68" s="2"/>
      <c r="H68" s="6"/>
      <c r="I68" s="2"/>
      <c r="J68" s="7">
        <f t="shared" si="41"/>
        <v>0</v>
      </c>
      <c r="K68" s="2"/>
      <c r="L68" s="6">
        <f t="shared" si="42"/>
        <v>0</v>
      </c>
      <c r="M68" s="2"/>
      <c r="N68" s="7">
        <f t="shared" si="43"/>
        <v>0</v>
      </c>
      <c r="O68" s="11"/>
      <c r="P68" s="6">
        <v>56736</v>
      </c>
      <c r="Q68" s="2"/>
      <c r="R68" s="7">
        <f t="shared" si="44"/>
        <v>0</v>
      </c>
      <c r="S68" s="2"/>
      <c r="T68" s="6">
        <v>58428.78</v>
      </c>
      <c r="U68" s="2"/>
      <c r="V68" s="7">
        <f t="shared" si="45"/>
        <v>0</v>
      </c>
      <c r="W68" s="2"/>
      <c r="X68" s="6">
        <f t="shared" si="46"/>
        <v>-1692.7799999999988</v>
      </c>
      <c r="Y68" s="2"/>
      <c r="Z68" s="7">
        <f t="shared" si="47"/>
        <v>-2.8971681421381703E-2</v>
      </c>
    </row>
    <row r="69" spans="1:26" s="24" customFormat="1" hidden="1" outlineLevel="2" x14ac:dyDescent="0.3">
      <c r="A69" s="28"/>
      <c r="B69" s="11" t="str">
        <f>CONCATENATE("          ", "6372", " - ", "COMPUTER HARDWARE MAINTENANCE")</f>
        <v xml:space="preserve">          6372 - COMPUTER HARDWARE MAINTENANCE</v>
      </c>
      <c r="C69" s="11"/>
      <c r="D69" s="6"/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0</v>
      </c>
      <c r="M69" s="2"/>
      <c r="N69" s="7">
        <f t="shared" si="43"/>
        <v>0</v>
      </c>
      <c r="O69" s="11"/>
      <c r="P69" s="6"/>
      <c r="Q69" s="2"/>
      <c r="R69" s="7">
        <f t="shared" si="44"/>
        <v>0</v>
      </c>
      <c r="S69" s="2"/>
      <c r="T69" s="6">
        <v>0</v>
      </c>
      <c r="U69" s="2"/>
      <c r="V69" s="7">
        <f t="shared" si="45"/>
        <v>0</v>
      </c>
      <c r="W69" s="2"/>
      <c r="X69" s="6">
        <f t="shared" si="46"/>
        <v>0</v>
      </c>
      <c r="Y69" s="2"/>
      <c r="Z69" s="7">
        <f t="shared" si="47"/>
        <v>0</v>
      </c>
    </row>
    <row r="70" spans="1:26" s="24" customFormat="1" hidden="1" outlineLevel="2" x14ac:dyDescent="0.3">
      <c r="A70" s="28"/>
      <c r="B70" s="11" t="str">
        <f>CONCATENATE("          ", "6373", " - ", "MAINTENANCE CONTRACTS")</f>
        <v xml:space="preserve">          6373 - MAINTENANCE CONTRACTS</v>
      </c>
      <c r="C70" s="11"/>
      <c r="D70" s="6">
        <v>1149.83</v>
      </c>
      <c r="E70" s="2"/>
      <c r="F70" s="7">
        <f t="shared" si="40"/>
        <v>0</v>
      </c>
      <c r="G70" s="2"/>
      <c r="H70" s="6">
        <v>2922.36</v>
      </c>
      <c r="I70" s="2"/>
      <c r="J70" s="7">
        <f t="shared" si="41"/>
        <v>0</v>
      </c>
      <c r="K70" s="2"/>
      <c r="L70" s="6">
        <f t="shared" si="42"/>
        <v>-1772.5300000000002</v>
      </c>
      <c r="M70" s="2"/>
      <c r="N70" s="7">
        <f t="shared" si="43"/>
        <v>-0.60654060416923317</v>
      </c>
      <c r="O70" s="11"/>
      <c r="P70" s="6">
        <v>8388.27</v>
      </c>
      <c r="Q70" s="2"/>
      <c r="R70" s="7">
        <f t="shared" si="44"/>
        <v>0</v>
      </c>
      <c r="S70" s="2"/>
      <c r="T70" s="6">
        <v>9138.74</v>
      </c>
      <c r="U70" s="2"/>
      <c r="V70" s="7">
        <f t="shared" si="45"/>
        <v>0</v>
      </c>
      <c r="W70" s="2"/>
      <c r="X70" s="6">
        <f t="shared" si="46"/>
        <v>-750.46999999999935</v>
      </c>
      <c r="Y70" s="2"/>
      <c r="Z70" s="7">
        <f t="shared" si="47"/>
        <v>-8.2119635748472919E-2</v>
      </c>
    </row>
    <row r="71" spans="1:26" s="24" customFormat="1" hidden="1" outlineLevel="2" x14ac:dyDescent="0.3">
      <c r="A71" s="28"/>
      <c r="B71" s="11" t="str">
        <f>CONCATENATE("          ", "6375", " - ", "OUTSIDE REPAIRS &amp; MAINTENANCE")</f>
        <v xml:space="preserve">          6375 - OUTSIDE REPAIRS &amp; MAINTENANCE</v>
      </c>
      <c r="C71" s="11"/>
      <c r="D71" s="6">
        <v>3049.94</v>
      </c>
      <c r="E71" s="2"/>
      <c r="F71" s="7">
        <f t="shared" si="40"/>
        <v>0</v>
      </c>
      <c r="G71" s="2"/>
      <c r="H71" s="6">
        <v>45</v>
      </c>
      <c r="I71" s="2"/>
      <c r="J71" s="7">
        <f t="shared" si="41"/>
        <v>0</v>
      </c>
      <c r="K71" s="2"/>
      <c r="L71" s="6">
        <f t="shared" si="42"/>
        <v>3004.94</v>
      </c>
      <c r="M71" s="2"/>
      <c r="N71" s="7">
        <f t="shared" si="43"/>
        <v>66.776444444444451</v>
      </c>
      <c r="O71" s="11"/>
      <c r="P71" s="6">
        <v>10231.219999999999</v>
      </c>
      <c r="Q71" s="2"/>
      <c r="R71" s="7">
        <f t="shared" si="44"/>
        <v>0</v>
      </c>
      <c r="S71" s="2"/>
      <c r="T71" s="6">
        <v>11736.56</v>
      </c>
      <c r="U71" s="2"/>
      <c r="V71" s="7">
        <f t="shared" si="45"/>
        <v>0</v>
      </c>
      <c r="W71" s="2"/>
      <c r="X71" s="6">
        <f t="shared" si="46"/>
        <v>-1505.3400000000001</v>
      </c>
      <c r="Y71" s="2"/>
      <c r="Z71" s="7">
        <f t="shared" si="47"/>
        <v>-0.12826075102074205</v>
      </c>
    </row>
    <row r="72" spans="1:26" s="29" customFormat="1" outlineLevel="1" collapsed="1" x14ac:dyDescent="0.3">
      <c r="A72" s="27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SUM(OSRRefD22_16x_0)</f>
        <v>4326.1499999999996</v>
      </c>
      <c r="E72" s="1"/>
      <c r="F72" s="5">
        <f t="shared" ref="F72:F75" si="48">IF(D$12=0,0,D72/D$12)</f>
        <v>0</v>
      </c>
      <c r="G72" s="1"/>
      <c r="H72" s="1">
        <f>SUM(OSRRefH22_16x_0)</f>
        <v>2269.62</v>
      </c>
      <c r="I72" s="1"/>
      <c r="J72" s="5">
        <f t="shared" ref="J72:J75" si="49">IF(H$12=0,0,H72/H$12)</f>
        <v>0</v>
      </c>
      <c r="K72" s="1"/>
      <c r="L72" s="1">
        <f t="shared" ref="L72:L75" si="50">+D72-H72</f>
        <v>2056.5299999999997</v>
      </c>
      <c r="M72" s="1"/>
      <c r="N72" s="5">
        <f t="shared" ref="N72:N75" si="51">IF(H72=0,0,L72/H72)</f>
        <v>0.90611203637613336</v>
      </c>
      <c r="O72" s="14"/>
      <c r="P72" s="1">
        <f>SUM(OSRRefP22_16x_0)</f>
        <v>31319.82</v>
      </c>
      <c r="Q72" s="1"/>
      <c r="R72" s="5">
        <f t="shared" ref="R72:R75" si="52">IF(P$12=0,0,P72/P$12)</f>
        <v>0</v>
      </c>
      <c r="S72" s="1"/>
      <c r="T72" s="1">
        <f>SUM(OSRRefT22_16x_0)</f>
        <v>18972.43</v>
      </c>
      <c r="U72" s="1"/>
      <c r="V72" s="5">
        <f t="shared" ref="V72:V75" si="53">IF(T$12=0,0,T72/T$12)</f>
        <v>0</v>
      </c>
      <c r="W72" s="1"/>
      <c r="X72" s="1">
        <f t="shared" ref="X72:X75" si="54">+P72-T72</f>
        <v>12347.39</v>
      </c>
      <c r="Y72" s="1"/>
      <c r="Z72" s="5">
        <f t="shared" ref="Z72:Z75" si="55">IF(T72=0,0,X72/T72)</f>
        <v>0.65080698676974957</v>
      </c>
    </row>
    <row r="73" spans="1:26" s="24" customFormat="1" hidden="1" outlineLevel="2" x14ac:dyDescent="0.3">
      <c r="A73" s="28"/>
      <c r="B73" s="11" t="str">
        <f>CONCATENATE("          ", "6282", " - ", "JANITORIAL/EXTERMINATOR EXPENS")</f>
        <v xml:space="preserve">          6282 - JANITORIAL/EXTERMINATOR EXPENS</v>
      </c>
      <c r="C73" s="11"/>
      <c r="D73" s="6">
        <v>129</v>
      </c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129</v>
      </c>
      <c r="M73" s="2"/>
      <c r="N73" s="7">
        <f t="shared" si="51"/>
        <v>0</v>
      </c>
      <c r="O73" s="11"/>
      <c r="P73" s="6">
        <v>1495.08</v>
      </c>
      <c r="Q73" s="2"/>
      <c r="R73" s="7">
        <f t="shared" si="52"/>
        <v>0</v>
      </c>
      <c r="S73" s="2"/>
      <c r="T73" s="6">
        <v>5164.12</v>
      </c>
      <c r="U73" s="2"/>
      <c r="V73" s="7">
        <f t="shared" si="53"/>
        <v>0</v>
      </c>
      <c r="W73" s="2"/>
      <c r="X73" s="6">
        <f t="shared" si="54"/>
        <v>-3669.04</v>
      </c>
      <c r="Y73" s="2"/>
      <c r="Z73" s="7">
        <f t="shared" si="55"/>
        <v>-0.71048697551567352</v>
      </c>
    </row>
    <row r="74" spans="1:26" s="24" customFormat="1" hidden="1" outlineLevel="2" x14ac:dyDescent="0.3">
      <c r="A74" s="28"/>
      <c r="B74" s="11" t="str">
        <f>CONCATENATE("          ", "6283", " - ", "PLANT SERVICE")</f>
        <v xml:space="preserve">          6283 - PLANT SERVICE</v>
      </c>
      <c r="C74" s="11"/>
      <c r="D74" s="6"/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0</v>
      </c>
      <c r="M74" s="2"/>
      <c r="N74" s="7">
        <f t="shared" si="51"/>
        <v>0</v>
      </c>
      <c r="O74" s="11"/>
      <c r="P74" s="6"/>
      <c r="Q74" s="2"/>
      <c r="R74" s="7">
        <f t="shared" si="52"/>
        <v>0</v>
      </c>
      <c r="S74" s="2"/>
      <c r="T74" s="6">
        <v>130</v>
      </c>
      <c r="U74" s="2"/>
      <c r="V74" s="7">
        <f t="shared" si="53"/>
        <v>0</v>
      </c>
      <c r="W74" s="2"/>
      <c r="X74" s="6">
        <f t="shared" si="54"/>
        <v>-130</v>
      </c>
      <c r="Y74" s="2"/>
      <c r="Z74" s="7">
        <f t="shared" si="55"/>
        <v>-1</v>
      </c>
    </row>
    <row r="75" spans="1:26" s="24" customFormat="1" hidden="1" outlineLevel="2" x14ac:dyDescent="0.3">
      <c r="A75" s="28"/>
      <c r="B75" s="11" t="str">
        <f>CONCATENATE("          ", "6285", " - ", "JANITORIAL SERVICES")</f>
        <v xml:space="preserve">          6285 - JANITORIAL SERVICES</v>
      </c>
      <c r="C75" s="11"/>
      <c r="D75" s="6">
        <v>4197.1499999999996</v>
      </c>
      <c r="E75" s="2"/>
      <c r="F75" s="7">
        <f t="shared" si="48"/>
        <v>0</v>
      </c>
      <c r="G75" s="2"/>
      <c r="H75" s="6">
        <v>2269.62</v>
      </c>
      <c r="I75" s="2"/>
      <c r="J75" s="7">
        <f t="shared" si="49"/>
        <v>0</v>
      </c>
      <c r="K75" s="2"/>
      <c r="L75" s="6">
        <f t="shared" si="50"/>
        <v>1927.5299999999997</v>
      </c>
      <c r="M75" s="2"/>
      <c r="N75" s="7">
        <f t="shared" si="51"/>
        <v>0.8492743278610515</v>
      </c>
      <c r="O75" s="11"/>
      <c r="P75" s="6">
        <v>29824.74</v>
      </c>
      <c r="Q75" s="2"/>
      <c r="R75" s="7">
        <f t="shared" si="52"/>
        <v>0</v>
      </c>
      <c r="S75" s="2"/>
      <c r="T75" s="6">
        <v>13678.31</v>
      </c>
      <c r="U75" s="2"/>
      <c r="V75" s="7">
        <f t="shared" si="53"/>
        <v>0</v>
      </c>
      <c r="W75" s="2"/>
      <c r="X75" s="6">
        <f t="shared" si="54"/>
        <v>16146.430000000002</v>
      </c>
      <c r="Y75" s="2"/>
      <c r="Z75" s="7">
        <f t="shared" si="55"/>
        <v>1.1804404199056757</v>
      </c>
    </row>
    <row r="76" spans="1:26" s="29" customFormat="1" outlineLevel="1" collapsed="1" x14ac:dyDescent="0.3">
      <c r="A76" s="27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1">
        <f>SUM(OSRRefD22_17x_0)</f>
        <v>0</v>
      </c>
      <c r="E76" s="1"/>
      <c r="F76" s="5">
        <f t="shared" ref="F76:F84" si="56">IF(D$12=0,0,D76/D$12)</f>
        <v>0</v>
      </c>
      <c r="G76" s="1"/>
      <c r="H76" s="1">
        <f>SUM(OSRRefH22_17x_0)</f>
        <v>0</v>
      </c>
      <c r="I76" s="1"/>
      <c r="J76" s="5">
        <f t="shared" ref="J76:J84" si="57">IF(H$12=0,0,H76/H$12)</f>
        <v>0</v>
      </c>
      <c r="K76" s="1"/>
      <c r="L76" s="1">
        <f t="shared" ref="L76:L84" si="58">+D76-H76</f>
        <v>0</v>
      </c>
      <c r="M76" s="1"/>
      <c r="N76" s="5">
        <f t="shared" ref="N76:N84" si="59">IF(H76=0,0,L76/H76)</f>
        <v>0</v>
      </c>
      <c r="O76" s="14"/>
      <c r="P76" s="1">
        <f>SUM(OSRRefP22_17x_0)</f>
        <v>-120</v>
      </c>
      <c r="Q76" s="1"/>
      <c r="R76" s="5">
        <f t="shared" ref="R76:R84" si="60">IF(P$12=0,0,P76/P$12)</f>
        <v>0</v>
      </c>
      <c r="S76" s="1"/>
      <c r="T76" s="1">
        <f>SUM(OSRRefT22_17x_0)</f>
        <v>0</v>
      </c>
      <c r="U76" s="1"/>
      <c r="V76" s="5">
        <f t="shared" ref="V76:V84" si="61">IF(T$12=0,0,T76/T$12)</f>
        <v>0</v>
      </c>
      <c r="W76" s="1"/>
      <c r="X76" s="1">
        <f t="shared" ref="X76:X84" si="62">+P76-T76</f>
        <v>-120</v>
      </c>
      <c r="Y76" s="1"/>
      <c r="Z76" s="5">
        <f t="shared" ref="Z76:Z84" si="63">IF(T76=0,0,X76/T76)</f>
        <v>0</v>
      </c>
    </row>
    <row r="77" spans="1:26" s="24" customFormat="1" hidden="1" outlineLevel="2" x14ac:dyDescent="0.3">
      <c r="A77" s="28"/>
      <c r="B77" s="11" t="str">
        <f>CONCATENATE("          ", "6258", " - ", "MEMBERSHIP DUES")</f>
        <v xml:space="preserve">          6258 - MEMBERSHIP DUES</v>
      </c>
      <c r="C77" s="11"/>
      <c r="D77" s="6"/>
      <c r="E77" s="2"/>
      <c r="F77" s="7">
        <f t="shared" si="56"/>
        <v>0</v>
      </c>
      <c r="G77" s="2"/>
      <c r="H77" s="6"/>
      <c r="I77" s="2"/>
      <c r="J77" s="7">
        <f t="shared" si="57"/>
        <v>0</v>
      </c>
      <c r="K77" s="2"/>
      <c r="L77" s="6">
        <f t="shared" si="58"/>
        <v>0</v>
      </c>
      <c r="M77" s="2"/>
      <c r="N77" s="7">
        <f t="shared" si="59"/>
        <v>0</v>
      </c>
      <c r="O77" s="11"/>
      <c r="P77" s="6">
        <v>-120</v>
      </c>
      <c r="Q77" s="2"/>
      <c r="R77" s="7">
        <f t="shared" si="60"/>
        <v>0</v>
      </c>
      <c r="S77" s="2"/>
      <c r="T77" s="6"/>
      <c r="U77" s="2"/>
      <c r="V77" s="7">
        <f t="shared" si="61"/>
        <v>0</v>
      </c>
      <c r="W77" s="2"/>
      <c r="X77" s="6">
        <f t="shared" si="62"/>
        <v>-120</v>
      </c>
      <c r="Y77" s="2"/>
      <c r="Z77" s="7">
        <f t="shared" si="63"/>
        <v>0</v>
      </c>
    </row>
    <row r="78" spans="1:26" s="29" customFormat="1" outlineLevel="1" collapsed="1" x14ac:dyDescent="0.3">
      <c r="A78" s="27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SUM(OSRRefD22_18x_0)</f>
        <v>1557.98</v>
      </c>
      <c r="E78" s="1"/>
      <c r="F78" s="5">
        <f t="shared" si="56"/>
        <v>0</v>
      </c>
      <c r="G78" s="1"/>
      <c r="H78" s="1">
        <f>SUM(OSRRefH22_18x_0)</f>
        <v>3406.08</v>
      </c>
      <c r="I78" s="1"/>
      <c r="J78" s="5">
        <f t="shared" si="57"/>
        <v>0</v>
      </c>
      <c r="K78" s="1"/>
      <c r="L78" s="1">
        <f t="shared" si="58"/>
        <v>-1848.1</v>
      </c>
      <c r="M78" s="1"/>
      <c r="N78" s="5">
        <f t="shared" si="59"/>
        <v>-0.54258854753851937</v>
      </c>
      <c r="O78" s="14"/>
      <c r="P78" s="1">
        <f>SUM(OSRRefP22_18x_0)</f>
        <v>19484.73</v>
      </c>
      <c r="Q78" s="1"/>
      <c r="R78" s="5">
        <f t="shared" si="60"/>
        <v>0</v>
      </c>
      <c r="S78" s="1"/>
      <c r="T78" s="1">
        <f>SUM(OSRRefT22_18x_0)</f>
        <v>45302.470000000008</v>
      </c>
      <c r="U78" s="1"/>
      <c r="V78" s="5">
        <f t="shared" si="61"/>
        <v>0</v>
      </c>
      <c r="W78" s="1"/>
      <c r="X78" s="1">
        <f t="shared" si="62"/>
        <v>-25817.740000000009</v>
      </c>
      <c r="Y78" s="1"/>
      <c r="Z78" s="5">
        <f t="shared" si="63"/>
        <v>-0.56989696146810542</v>
      </c>
    </row>
    <row r="79" spans="1:26" s="24" customFormat="1" hidden="1" outlineLevel="2" x14ac:dyDescent="0.3">
      <c r="A79" s="28"/>
      <c r="B79" s="11" t="str">
        <f>CONCATENATE("          ", "6234", " - ", "EXPENDABLE SUPPLIES &amp; EQUIPMEN")</f>
        <v xml:space="preserve">          6234 - EXPENDABLE SUPPLIES &amp; EQUIPMEN</v>
      </c>
      <c r="C79" s="11"/>
      <c r="D79" s="6"/>
      <c r="E79" s="2"/>
      <c r="F79" s="7">
        <f t="shared" si="56"/>
        <v>0</v>
      </c>
      <c r="G79" s="2"/>
      <c r="H79" s="6"/>
      <c r="I79" s="2"/>
      <c r="J79" s="7">
        <f t="shared" si="57"/>
        <v>0</v>
      </c>
      <c r="K79" s="2"/>
      <c r="L79" s="6">
        <f t="shared" si="58"/>
        <v>0</v>
      </c>
      <c r="M79" s="2"/>
      <c r="N79" s="7">
        <f t="shared" si="59"/>
        <v>0</v>
      </c>
      <c r="O79" s="11"/>
      <c r="P79" s="6">
        <v>3896.02</v>
      </c>
      <c r="Q79" s="2"/>
      <c r="R79" s="7">
        <f t="shared" si="60"/>
        <v>0</v>
      </c>
      <c r="S79" s="2"/>
      <c r="T79" s="6">
        <v>-449.34</v>
      </c>
      <c r="U79" s="2"/>
      <c r="V79" s="7">
        <f t="shared" si="61"/>
        <v>0</v>
      </c>
      <c r="W79" s="2"/>
      <c r="X79" s="6">
        <f t="shared" si="62"/>
        <v>4345.3599999999997</v>
      </c>
      <c r="Y79" s="2"/>
      <c r="Z79" s="7">
        <f t="shared" si="63"/>
        <v>-9.6705390127742916</v>
      </c>
    </row>
    <row r="80" spans="1:26" s="24" customFormat="1" hidden="1" outlineLevel="2" x14ac:dyDescent="0.3">
      <c r="A80" s="28"/>
      <c r="B80" s="11" t="str">
        <f>CONCATENATE("          ", "6235", " - ", "COVID-19 EXPENSES")</f>
        <v xml:space="preserve">          6235 - COVID-19 EXPENSES</v>
      </c>
      <c r="C80" s="11"/>
      <c r="D80" s="6"/>
      <c r="E80" s="2"/>
      <c r="F80" s="7">
        <f t="shared" si="56"/>
        <v>0</v>
      </c>
      <c r="G80" s="2"/>
      <c r="H80" s="6">
        <v>2921.2</v>
      </c>
      <c r="I80" s="2"/>
      <c r="J80" s="7">
        <f t="shared" si="57"/>
        <v>0</v>
      </c>
      <c r="K80" s="2"/>
      <c r="L80" s="6">
        <f t="shared" si="58"/>
        <v>-2921.2</v>
      </c>
      <c r="M80" s="2"/>
      <c r="N80" s="7">
        <f t="shared" si="59"/>
        <v>-1</v>
      </c>
      <c r="O80" s="11"/>
      <c r="P80" s="6">
        <v>3430.32</v>
      </c>
      <c r="Q80" s="2"/>
      <c r="R80" s="7">
        <f t="shared" si="60"/>
        <v>0</v>
      </c>
      <c r="S80" s="2"/>
      <c r="T80" s="6">
        <v>29330.49</v>
      </c>
      <c r="U80" s="2"/>
      <c r="V80" s="7">
        <f t="shared" si="61"/>
        <v>0</v>
      </c>
      <c r="W80" s="2"/>
      <c r="X80" s="6">
        <f t="shared" si="62"/>
        <v>-25900.170000000002</v>
      </c>
      <c r="Y80" s="2"/>
      <c r="Z80" s="7">
        <f t="shared" si="63"/>
        <v>-0.88304593615722071</v>
      </c>
    </row>
    <row r="81" spans="1:26" s="24" customFormat="1" hidden="1" outlineLevel="2" x14ac:dyDescent="0.3">
      <c r="A81" s="28"/>
      <c r="B81" s="11" t="str">
        <f>CONCATENATE("          ", "6237", " - ", "JANITORIAL SUPPLIES")</f>
        <v xml:space="preserve">          6237 - JANITORIAL SUPPLIES</v>
      </c>
      <c r="C81" s="11"/>
      <c r="D81" s="6"/>
      <c r="E81" s="2"/>
      <c r="F81" s="7">
        <f t="shared" si="56"/>
        <v>0</v>
      </c>
      <c r="G81" s="2"/>
      <c r="H81" s="6">
        <v>438.53</v>
      </c>
      <c r="I81" s="2"/>
      <c r="J81" s="7">
        <f t="shared" si="57"/>
        <v>0</v>
      </c>
      <c r="K81" s="2"/>
      <c r="L81" s="6">
        <f t="shared" si="58"/>
        <v>-438.53</v>
      </c>
      <c r="M81" s="2"/>
      <c r="N81" s="7">
        <f t="shared" si="59"/>
        <v>-1</v>
      </c>
      <c r="O81" s="11"/>
      <c r="P81" s="6">
        <v>3788.97</v>
      </c>
      <c r="Q81" s="2"/>
      <c r="R81" s="7">
        <f t="shared" si="60"/>
        <v>0</v>
      </c>
      <c r="S81" s="2"/>
      <c r="T81" s="6">
        <v>1742.14</v>
      </c>
      <c r="U81" s="2"/>
      <c r="V81" s="7">
        <f t="shared" si="61"/>
        <v>0</v>
      </c>
      <c r="W81" s="2"/>
      <c r="X81" s="6">
        <f t="shared" si="62"/>
        <v>2046.8299999999997</v>
      </c>
      <c r="Y81" s="2"/>
      <c r="Z81" s="7">
        <f t="shared" si="63"/>
        <v>1.1748940957672744</v>
      </c>
    </row>
    <row r="82" spans="1:26" s="24" customFormat="1" hidden="1" outlineLevel="2" x14ac:dyDescent="0.3">
      <c r="A82" s="28"/>
      <c r="B82" s="11" t="str">
        <f>CONCATENATE("          ", "6241", " - ", "OFFICE EXPENSE")</f>
        <v xml:space="preserve">          6241 - OFFICE EXPENSE</v>
      </c>
      <c r="C82" s="11"/>
      <c r="D82" s="6">
        <v>217.42</v>
      </c>
      <c r="E82" s="2"/>
      <c r="F82" s="7">
        <f t="shared" si="56"/>
        <v>0</v>
      </c>
      <c r="G82" s="2"/>
      <c r="H82" s="6">
        <v>47.26</v>
      </c>
      <c r="I82" s="2"/>
      <c r="J82" s="7">
        <f t="shared" si="57"/>
        <v>0</v>
      </c>
      <c r="K82" s="2"/>
      <c r="L82" s="6">
        <f t="shared" si="58"/>
        <v>170.16</v>
      </c>
      <c r="M82" s="2"/>
      <c r="N82" s="7">
        <f t="shared" si="59"/>
        <v>3.6005078290308932</v>
      </c>
      <c r="O82" s="11"/>
      <c r="P82" s="6">
        <v>1044.1500000000001</v>
      </c>
      <c r="Q82" s="2"/>
      <c r="R82" s="7">
        <f t="shared" si="60"/>
        <v>0</v>
      </c>
      <c r="S82" s="2"/>
      <c r="T82" s="6">
        <v>2274.0500000000002</v>
      </c>
      <c r="U82" s="2"/>
      <c r="V82" s="7">
        <f t="shared" si="61"/>
        <v>0</v>
      </c>
      <c r="W82" s="2"/>
      <c r="X82" s="6">
        <f t="shared" si="62"/>
        <v>-1229.9000000000001</v>
      </c>
      <c r="Y82" s="2"/>
      <c r="Z82" s="7">
        <f t="shared" si="63"/>
        <v>-0.54084123040390497</v>
      </c>
    </row>
    <row r="83" spans="1:26" s="24" customFormat="1" hidden="1" outlineLevel="2" x14ac:dyDescent="0.3">
      <c r="A83" s="28"/>
      <c r="B83" s="11" t="str">
        <f>CONCATENATE("          ", "6245", " - ", "PRINTING")</f>
        <v xml:space="preserve">          6245 - PRINTING</v>
      </c>
      <c r="C83" s="11"/>
      <c r="D83" s="6">
        <v>209.7</v>
      </c>
      <c r="E83" s="2"/>
      <c r="F83" s="7">
        <f t="shared" si="56"/>
        <v>0</v>
      </c>
      <c r="G83" s="2"/>
      <c r="H83" s="6"/>
      <c r="I83" s="2"/>
      <c r="J83" s="7">
        <f t="shared" si="57"/>
        <v>0</v>
      </c>
      <c r="K83" s="2"/>
      <c r="L83" s="6">
        <f t="shared" si="58"/>
        <v>209.7</v>
      </c>
      <c r="M83" s="2"/>
      <c r="N83" s="7">
        <f t="shared" si="59"/>
        <v>0</v>
      </c>
      <c r="O83" s="11"/>
      <c r="P83" s="6">
        <v>1005.3</v>
      </c>
      <c r="Q83" s="2"/>
      <c r="R83" s="7">
        <f t="shared" si="60"/>
        <v>0</v>
      </c>
      <c r="S83" s="2"/>
      <c r="T83" s="6">
        <v>68.66</v>
      </c>
      <c r="U83" s="2"/>
      <c r="V83" s="7">
        <f t="shared" si="61"/>
        <v>0</v>
      </c>
      <c r="W83" s="2"/>
      <c r="X83" s="6">
        <f t="shared" si="62"/>
        <v>936.64</v>
      </c>
      <c r="Y83" s="2"/>
      <c r="Z83" s="7">
        <f t="shared" si="63"/>
        <v>13.641712787649286</v>
      </c>
    </row>
    <row r="84" spans="1:26" s="24" customFormat="1" hidden="1" outlineLevel="2" x14ac:dyDescent="0.3">
      <c r="A84" s="28"/>
      <c r="B84" s="11" t="str">
        <f>CONCATENATE("          ", "6247", " - ", "STORE SUPPLIES")</f>
        <v xml:space="preserve">          6247 - STORE SUPPLIES</v>
      </c>
      <c r="C84" s="11"/>
      <c r="D84" s="6">
        <v>1130.8599999999999</v>
      </c>
      <c r="E84" s="2"/>
      <c r="F84" s="7">
        <f t="shared" si="56"/>
        <v>0</v>
      </c>
      <c r="G84" s="2"/>
      <c r="H84" s="6">
        <v>-0.91</v>
      </c>
      <c r="I84" s="2"/>
      <c r="J84" s="7">
        <f t="shared" si="57"/>
        <v>0</v>
      </c>
      <c r="K84" s="2"/>
      <c r="L84" s="6">
        <f t="shared" si="58"/>
        <v>1131.77</v>
      </c>
      <c r="M84" s="2"/>
      <c r="N84" s="7">
        <f t="shared" si="59"/>
        <v>-1243.7032967032967</v>
      </c>
      <c r="O84" s="11"/>
      <c r="P84" s="6">
        <v>6319.97</v>
      </c>
      <c r="Q84" s="2"/>
      <c r="R84" s="7">
        <f t="shared" si="60"/>
        <v>0</v>
      </c>
      <c r="S84" s="2"/>
      <c r="T84" s="6">
        <v>12336.47</v>
      </c>
      <c r="U84" s="2"/>
      <c r="V84" s="7">
        <f t="shared" si="61"/>
        <v>0</v>
      </c>
      <c r="W84" s="2"/>
      <c r="X84" s="6">
        <f t="shared" si="62"/>
        <v>-6016.4999999999991</v>
      </c>
      <c r="Y84" s="2"/>
      <c r="Z84" s="7">
        <f t="shared" si="63"/>
        <v>-0.48770029027752665</v>
      </c>
    </row>
    <row r="85" spans="1:26" s="29" customFormat="1" outlineLevel="1" collapsed="1" x14ac:dyDescent="0.3">
      <c r="A85" s="27"/>
      <c r="B85" s="14" t="str">
        <f>CONCATENATE("     ","Telephone/Data Lines                              ")</f>
        <v xml:space="preserve">     Telephone/Data Lines                              </v>
      </c>
      <c r="C85" s="14"/>
      <c r="D85" s="1">
        <f>SUM(OSRRefD22_19x_0)</f>
        <v>590.82000000000005</v>
      </c>
      <c r="E85" s="1"/>
      <c r="F85" s="5">
        <f t="shared" ref="F85:F91" si="64">IF(D$12=0,0,D85/D$12)</f>
        <v>0</v>
      </c>
      <c r="G85" s="1"/>
      <c r="H85" s="1">
        <f>SUM(OSRRefH22_19x_0)</f>
        <v>579.66</v>
      </c>
      <c r="I85" s="1"/>
      <c r="J85" s="5">
        <f t="shared" ref="J85:J91" si="65">IF(H$12=0,0,H85/H$12)</f>
        <v>0</v>
      </c>
      <c r="K85" s="1"/>
      <c r="L85" s="1">
        <f t="shared" ref="L85:L91" si="66">+D85-H85</f>
        <v>11.160000000000082</v>
      </c>
      <c r="M85" s="1"/>
      <c r="N85" s="5">
        <f t="shared" ref="N85:N91" si="67">IF(H85=0,0,L85/H85)</f>
        <v>1.9252665355553398E-2</v>
      </c>
      <c r="O85" s="14"/>
      <c r="P85" s="1">
        <f>SUM(OSRRefP22_19x_0)</f>
        <v>3639.12</v>
      </c>
      <c r="Q85" s="1"/>
      <c r="R85" s="5">
        <f t="shared" ref="R85:R91" si="68">IF(P$12=0,0,P85/P$12)</f>
        <v>0</v>
      </c>
      <c r="S85" s="1"/>
      <c r="T85" s="1">
        <f>SUM(OSRRefT22_19x_0)</f>
        <v>3732.94</v>
      </c>
      <c r="U85" s="1"/>
      <c r="V85" s="5">
        <f t="shared" ref="V85:V91" si="69">IF(T$12=0,0,T85/T$12)</f>
        <v>0</v>
      </c>
      <c r="W85" s="1"/>
      <c r="X85" s="1">
        <f t="shared" ref="X85:X91" si="70">+P85-T85</f>
        <v>-93.820000000000164</v>
      </c>
      <c r="Y85" s="1"/>
      <c r="Z85" s="5">
        <f t="shared" ref="Z85:Z91" si="71">IF(T85=0,0,X85/T85)</f>
        <v>-2.51330050844643E-2</v>
      </c>
    </row>
    <row r="86" spans="1:26" s="24" customFormat="1" hidden="1" outlineLevel="2" x14ac:dyDescent="0.3">
      <c r="A86" s="28"/>
      <c r="B86" s="11" t="str">
        <f>CONCATENATE("          ", "6309", " - ", "TELEPHONE")</f>
        <v xml:space="preserve">          6309 - TELEPHONE</v>
      </c>
      <c r="C86" s="11"/>
      <c r="D86" s="6">
        <v>590.82000000000005</v>
      </c>
      <c r="E86" s="2"/>
      <c r="F86" s="7">
        <f t="shared" si="64"/>
        <v>0</v>
      </c>
      <c r="G86" s="2"/>
      <c r="H86" s="6">
        <v>579.66</v>
      </c>
      <c r="I86" s="2"/>
      <c r="J86" s="7">
        <f t="shared" si="65"/>
        <v>0</v>
      </c>
      <c r="K86" s="2"/>
      <c r="L86" s="6">
        <f t="shared" si="66"/>
        <v>11.160000000000082</v>
      </c>
      <c r="M86" s="2"/>
      <c r="N86" s="7">
        <f t="shared" si="67"/>
        <v>1.9252665355553398E-2</v>
      </c>
      <c r="O86" s="11"/>
      <c r="P86" s="6">
        <v>3639.12</v>
      </c>
      <c r="Q86" s="2"/>
      <c r="R86" s="7">
        <f t="shared" si="68"/>
        <v>0</v>
      </c>
      <c r="S86" s="2"/>
      <c r="T86" s="6">
        <v>3732.94</v>
      </c>
      <c r="U86" s="2"/>
      <c r="V86" s="7">
        <f t="shared" si="69"/>
        <v>0</v>
      </c>
      <c r="W86" s="2"/>
      <c r="X86" s="6">
        <f t="shared" si="70"/>
        <v>-93.820000000000164</v>
      </c>
      <c r="Y86" s="2"/>
      <c r="Z86" s="7">
        <f t="shared" si="71"/>
        <v>-2.51330050844643E-2</v>
      </c>
    </row>
    <row r="87" spans="1:26" s="29" customFormat="1" outlineLevel="1" collapsed="1" x14ac:dyDescent="0.3">
      <c r="A87" s="27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SUM(OSRRefD22_20x_0)</f>
        <v>0</v>
      </c>
      <c r="E87" s="1"/>
      <c r="F87" s="5">
        <f t="shared" si="64"/>
        <v>0</v>
      </c>
      <c r="G87" s="1"/>
      <c r="H87" s="1">
        <f>SUM(OSRRefH22_20x_0)</f>
        <v>0</v>
      </c>
      <c r="I87" s="1"/>
      <c r="J87" s="5">
        <f t="shared" si="65"/>
        <v>0</v>
      </c>
      <c r="K87" s="1"/>
      <c r="L87" s="1">
        <f t="shared" si="66"/>
        <v>0</v>
      </c>
      <c r="M87" s="1"/>
      <c r="N87" s="5">
        <f t="shared" si="67"/>
        <v>0</v>
      </c>
      <c r="O87" s="14"/>
      <c r="P87" s="1">
        <f>SUM(OSRRefP22_20x_0)</f>
        <v>595</v>
      </c>
      <c r="Q87" s="1"/>
      <c r="R87" s="5">
        <f t="shared" si="68"/>
        <v>0</v>
      </c>
      <c r="S87" s="1"/>
      <c r="T87" s="1">
        <f>SUM(OSRRefT22_20x_0)</f>
        <v>131.63</v>
      </c>
      <c r="U87" s="1"/>
      <c r="V87" s="5">
        <f t="shared" si="69"/>
        <v>0</v>
      </c>
      <c r="W87" s="1"/>
      <c r="X87" s="1">
        <f t="shared" si="70"/>
        <v>463.37</v>
      </c>
      <c r="Y87" s="1"/>
      <c r="Z87" s="5">
        <f t="shared" si="71"/>
        <v>3.5202461444959359</v>
      </c>
    </row>
    <row r="88" spans="1:26" s="24" customFormat="1" hidden="1" outlineLevel="2" x14ac:dyDescent="0.3">
      <c r="A88" s="28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64"/>
        <v>0</v>
      </c>
      <c r="G88" s="2"/>
      <c r="H88" s="6"/>
      <c r="I88" s="2"/>
      <c r="J88" s="7">
        <f t="shared" si="65"/>
        <v>0</v>
      </c>
      <c r="K88" s="2"/>
      <c r="L88" s="6">
        <f t="shared" si="66"/>
        <v>0</v>
      </c>
      <c r="M88" s="2"/>
      <c r="N88" s="7">
        <f t="shared" si="67"/>
        <v>0</v>
      </c>
      <c r="O88" s="11"/>
      <c r="P88" s="6">
        <v>595</v>
      </c>
      <c r="Q88" s="2"/>
      <c r="R88" s="7">
        <f t="shared" si="68"/>
        <v>0</v>
      </c>
      <c r="S88" s="2"/>
      <c r="T88" s="6">
        <v>131.63</v>
      </c>
      <c r="U88" s="2"/>
      <c r="V88" s="7">
        <f t="shared" si="69"/>
        <v>0</v>
      </c>
      <c r="W88" s="2"/>
      <c r="X88" s="6">
        <f t="shared" si="70"/>
        <v>463.37</v>
      </c>
      <c r="Y88" s="2"/>
      <c r="Z88" s="7">
        <f t="shared" si="71"/>
        <v>3.5202461444959359</v>
      </c>
    </row>
    <row r="89" spans="1:26" s="29" customFormat="1" outlineLevel="1" collapsed="1" x14ac:dyDescent="0.3">
      <c r="A89" s="27"/>
      <c r="B89" s="14" t="str">
        <f>CONCATENATE("     ","Travel                                            ")</f>
        <v xml:space="preserve">     Travel                                            </v>
      </c>
      <c r="C89" s="14"/>
      <c r="D89" s="1">
        <f>SUM(OSRRefD22_21x_0)</f>
        <v>0</v>
      </c>
      <c r="E89" s="1"/>
      <c r="F89" s="5">
        <f t="shared" si="64"/>
        <v>0</v>
      </c>
      <c r="G89" s="1"/>
      <c r="H89" s="1">
        <f>SUM(OSRRefH22_21x_0)</f>
        <v>0</v>
      </c>
      <c r="I89" s="1"/>
      <c r="J89" s="5">
        <f t="shared" si="65"/>
        <v>0</v>
      </c>
      <c r="K89" s="1"/>
      <c r="L89" s="1">
        <f t="shared" si="66"/>
        <v>0</v>
      </c>
      <c r="M89" s="1"/>
      <c r="N89" s="5">
        <f t="shared" si="67"/>
        <v>0</v>
      </c>
      <c r="O89" s="14"/>
      <c r="P89" s="1">
        <f>SUM(OSRRefP22_21x_0)</f>
        <v>642.08000000000004</v>
      </c>
      <c r="Q89" s="1"/>
      <c r="R89" s="5">
        <f t="shared" si="68"/>
        <v>0</v>
      </c>
      <c r="S89" s="1"/>
      <c r="T89" s="1">
        <f>SUM(OSRRefT22_21x_0)</f>
        <v>358.89</v>
      </c>
      <c r="U89" s="1"/>
      <c r="V89" s="5">
        <f t="shared" si="69"/>
        <v>0</v>
      </c>
      <c r="W89" s="1"/>
      <c r="X89" s="1">
        <f t="shared" si="70"/>
        <v>283.19000000000005</v>
      </c>
      <c r="Y89" s="1"/>
      <c r="Z89" s="5">
        <f t="shared" si="71"/>
        <v>0.78907186045863653</v>
      </c>
    </row>
    <row r="90" spans="1:26" s="24" customFormat="1" hidden="1" outlineLevel="2" x14ac:dyDescent="0.3">
      <c r="A90" s="28"/>
      <c r="B90" s="11" t="str">
        <f>CONCATENATE("          ", "6292", " - ", "TRAVEL/CONFERENCE")</f>
        <v xml:space="preserve">          6292 - TRAVEL/CONFERENCE</v>
      </c>
      <c r="C90" s="11"/>
      <c r="D90" s="6"/>
      <c r="E90" s="2"/>
      <c r="F90" s="7">
        <f t="shared" si="64"/>
        <v>0</v>
      </c>
      <c r="G90" s="2"/>
      <c r="H90" s="6"/>
      <c r="I90" s="2"/>
      <c r="J90" s="7">
        <f t="shared" si="65"/>
        <v>0</v>
      </c>
      <c r="K90" s="2"/>
      <c r="L90" s="6">
        <f t="shared" si="66"/>
        <v>0</v>
      </c>
      <c r="M90" s="2"/>
      <c r="N90" s="7">
        <f t="shared" si="67"/>
        <v>0</v>
      </c>
      <c r="O90" s="11"/>
      <c r="P90" s="6">
        <v>495</v>
      </c>
      <c r="Q90" s="2"/>
      <c r="R90" s="7">
        <f t="shared" si="68"/>
        <v>0</v>
      </c>
      <c r="S90" s="2"/>
      <c r="T90" s="6">
        <v>299</v>
      </c>
      <c r="U90" s="2"/>
      <c r="V90" s="7">
        <f t="shared" si="69"/>
        <v>0</v>
      </c>
      <c r="W90" s="2"/>
      <c r="X90" s="6">
        <f t="shared" si="70"/>
        <v>196</v>
      </c>
      <c r="Y90" s="2"/>
      <c r="Z90" s="7">
        <f t="shared" si="71"/>
        <v>0.65551839464882944</v>
      </c>
    </row>
    <row r="91" spans="1:26" s="24" customFormat="1" hidden="1" outlineLevel="2" x14ac:dyDescent="0.3">
      <c r="A91" s="28"/>
      <c r="B91" s="11" t="str">
        <f>CONCATENATE("          ", "6298", " - ", "VEHICLE MILEAGE")</f>
        <v xml:space="preserve">          6298 - VEHICLE MILEAGE</v>
      </c>
      <c r="C91" s="11"/>
      <c r="D91" s="6"/>
      <c r="E91" s="2"/>
      <c r="F91" s="7">
        <f t="shared" si="64"/>
        <v>0</v>
      </c>
      <c r="G91" s="2"/>
      <c r="H91" s="6"/>
      <c r="I91" s="2"/>
      <c r="J91" s="7">
        <f t="shared" si="65"/>
        <v>0</v>
      </c>
      <c r="K91" s="2"/>
      <c r="L91" s="6">
        <f t="shared" si="66"/>
        <v>0</v>
      </c>
      <c r="M91" s="2"/>
      <c r="N91" s="7">
        <f t="shared" si="67"/>
        <v>0</v>
      </c>
      <c r="O91" s="11"/>
      <c r="P91" s="6">
        <v>147.08000000000001</v>
      </c>
      <c r="Q91" s="2"/>
      <c r="R91" s="7">
        <f t="shared" si="68"/>
        <v>0</v>
      </c>
      <c r="S91" s="2"/>
      <c r="T91" s="6">
        <v>59.89</v>
      </c>
      <c r="U91" s="2"/>
      <c r="V91" s="7">
        <f t="shared" si="69"/>
        <v>0</v>
      </c>
      <c r="W91" s="2"/>
      <c r="X91" s="6">
        <f t="shared" si="70"/>
        <v>87.190000000000012</v>
      </c>
      <c r="Y91" s="2"/>
      <c r="Z91" s="7">
        <f t="shared" si="71"/>
        <v>1.455835698781099</v>
      </c>
    </row>
    <row r="92" spans="1:26" s="29" customFormat="1" outlineLevel="1" collapsed="1" x14ac:dyDescent="0.3">
      <c r="A92" s="27"/>
      <c r="B92" s="14" t="str">
        <f>CONCATENATE("     ","Utilities                                         ")</f>
        <v xml:space="preserve">     Utilities                                         </v>
      </c>
      <c r="C92" s="14"/>
      <c r="D92" s="1">
        <f>SUM(OSRRefD22_22x_0)</f>
        <v>0</v>
      </c>
      <c r="E92" s="1"/>
      <c r="F92" s="5">
        <f t="shared" ref="F92:F93" si="72">IF(D$12=0,0,D92/D$12)</f>
        <v>0</v>
      </c>
      <c r="G92" s="1"/>
      <c r="H92" s="1">
        <f>SUM(OSRRefH22_22x_0)</f>
        <v>6133</v>
      </c>
      <c r="I92" s="1"/>
      <c r="J92" s="5">
        <f t="shared" ref="J92:J93" si="73">IF(H$12=0,0,H92/H$12)</f>
        <v>0</v>
      </c>
      <c r="K92" s="1"/>
      <c r="L92" s="1">
        <f t="shared" ref="L92:L93" si="74">+D92-H92</f>
        <v>-6133</v>
      </c>
      <c r="M92" s="1"/>
      <c r="N92" s="5">
        <f t="shared" ref="N92:N93" si="75">IF(H92=0,0,L92/H92)</f>
        <v>-1</v>
      </c>
      <c r="O92" s="14"/>
      <c r="P92" s="1">
        <f>SUM(OSRRefP22_22x_0)</f>
        <v>30000</v>
      </c>
      <c r="Q92" s="1"/>
      <c r="R92" s="5">
        <f t="shared" ref="R92:R93" si="76">IF(P$12=0,0,P92/P$12)</f>
        <v>0</v>
      </c>
      <c r="S92" s="1"/>
      <c r="T92" s="1">
        <f>SUM(OSRRefT22_22x_0)</f>
        <v>36602</v>
      </c>
      <c r="U92" s="1"/>
      <c r="V92" s="5">
        <f t="shared" ref="V92:V93" si="77">IF(T$12=0,0,T92/T$12)</f>
        <v>0</v>
      </c>
      <c r="W92" s="1"/>
      <c r="X92" s="1">
        <f t="shared" ref="X92:X93" si="78">+P92-T92</f>
        <v>-6602</v>
      </c>
      <c r="Y92" s="1"/>
      <c r="Z92" s="5">
        <f t="shared" ref="Z92:Z93" si="79">IF(T92=0,0,X92/T92)</f>
        <v>-0.18037265723184526</v>
      </c>
    </row>
    <row r="93" spans="1:26" s="24" customFormat="1" hidden="1" outlineLevel="2" x14ac:dyDescent="0.3">
      <c r="A93" s="28"/>
      <c r="B93" s="11" t="str">
        <f>CONCATENATE("          ", "6274", " - ", "UTILITIES")</f>
        <v xml:space="preserve">          6274 - UTILITIES</v>
      </c>
      <c r="C93" s="11"/>
      <c r="D93" s="6"/>
      <c r="E93" s="2"/>
      <c r="F93" s="7">
        <f t="shared" si="72"/>
        <v>0</v>
      </c>
      <c r="G93" s="2"/>
      <c r="H93" s="6">
        <v>6133</v>
      </c>
      <c r="I93" s="2"/>
      <c r="J93" s="7">
        <f t="shared" si="73"/>
        <v>0</v>
      </c>
      <c r="K93" s="2"/>
      <c r="L93" s="6">
        <f t="shared" si="74"/>
        <v>-6133</v>
      </c>
      <c r="M93" s="2"/>
      <c r="N93" s="7">
        <f t="shared" si="75"/>
        <v>-1</v>
      </c>
      <c r="O93" s="11"/>
      <c r="P93" s="6">
        <v>30000</v>
      </c>
      <c r="Q93" s="2"/>
      <c r="R93" s="7">
        <f t="shared" si="76"/>
        <v>0</v>
      </c>
      <c r="S93" s="2"/>
      <c r="T93" s="6">
        <v>36602</v>
      </c>
      <c r="U93" s="2"/>
      <c r="V93" s="7">
        <f t="shared" si="77"/>
        <v>0</v>
      </c>
      <c r="W93" s="2"/>
      <c r="X93" s="6">
        <f t="shared" si="78"/>
        <v>-6602</v>
      </c>
      <c r="Y93" s="2"/>
      <c r="Z93" s="7">
        <f t="shared" si="79"/>
        <v>-0.18037265723184526</v>
      </c>
    </row>
    <row r="94" spans="1:26" s="53" customFormat="1" x14ac:dyDescent="0.3">
      <c r="A94" s="37"/>
      <c r="B94" s="37"/>
      <c r="C94" s="37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7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3" customFormat="1" collapsed="1" x14ac:dyDescent="0.3">
      <c r="A95" s="10"/>
      <c r="B95" s="25" t="s">
        <v>292</v>
      </c>
      <c r="C95" s="10"/>
      <c r="D95" s="4">
        <f>SUM(OSRRefD25x_0)</f>
        <v>12449.24</v>
      </c>
      <c r="E95" s="4"/>
      <c r="F95" s="12">
        <f t="shared" ref="F95:F96" si="80">IF(D$12=0,0,D95/D$12)</f>
        <v>0</v>
      </c>
      <c r="G95" s="4"/>
      <c r="H95" s="4">
        <f>SUM(OSRRefH25x_0)</f>
        <v>3213.65</v>
      </c>
      <c r="I95" s="4"/>
      <c r="J95" s="12">
        <f t="shared" ref="J95:J96" si="81">IF(H$12=0,0,H95/H$12)</f>
        <v>0</v>
      </c>
      <c r="K95" s="4"/>
      <c r="L95" s="4">
        <f t="shared" ref="L95:L96" si="82">+D95-H95</f>
        <v>9235.59</v>
      </c>
      <c r="M95" s="4"/>
      <c r="N95" s="12">
        <f t="shared" ref="N95:N96" si="83">IF(H95=0,0,L95/H95)</f>
        <v>2.8738630529149098</v>
      </c>
      <c r="O95" s="10"/>
      <c r="P95" s="4">
        <f>SUM(OSRRefP25x_0)</f>
        <v>144752.88</v>
      </c>
      <c r="Q95" s="4"/>
      <c r="R95" s="12">
        <f t="shared" ref="R95:R96" si="84">IF(P$12=0,0,P95/P$12)</f>
        <v>0</v>
      </c>
      <c r="S95" s="4"/>
      <c r="T95" s="4">
        <f>SUM(OSRRefT25x_0)</f>
        <v>123723.88</v>
      </c>
      <c r="U95" s="4"/>
      <c r="V95" s="12">
        <f t="shared" ref="V95:V96" si="85">IF(T$12=0,0,T95/T$12)</f>
        <v>0</v>
      </c>
      <c r="W95" s="4"/>
      <c r="X95" s="4">
        <f t="shared" ref="X95:X96" si="86">+P95-T95</f>
        <v>21029</v>
      </c>
      <c r="Y95" s="4"/>
      <c r="Z95" s="12">
        <f t="shared" ref="Z95:Z96" si="87">IF(T95=0,0,X95/T95)</f>
        <v>0.16996718822591078</v>
      </c>
    </row>
    <row r="96" spans="1:26" s="24" customFormat="1" hidden="1" outlineLevel="1" x14ac:dyDescent="0.3">
      <c r="A96" s="44"/>
      <c r="B96" s="11" t="str">
        <f>CONCATENATE("          ", "9150", " - ", "MISC. INCOME")</f>
        <v xml:space="preserve">          9150 - MISC. INCOME</v>
      </c>
      <c r="C96" s="11"/>
      <c r="D96" s="2">
        <f>--12449.24</f>
        <v>12449.24</v>
      </c>
      <c r="E96" s="2"/>
      <c r="F96" s="19">
        <f t="shared" si="80"/>
        <v>0</v>
      </c>
      <c r="G96" s="2"/>
      <c r="H96" s="2">
        <f>--3213.65</f>
        <v>3213.65</v>
      </c>
      <c r="I96" s="2"/>
      <c r="J96" s="19">
        <f t="shared" si="81"/>
        <v>0</v>
      </c>
      <c r="K96" s="2"/>
      <c r="L96" s="2">
        <f t="shared" si="82"/>
        <v>9235.59</v>
      </c>
      <c r="M96" s="2"/>
      <c r="N96" s="19">
        <f t="shared" si="83"/>
        <v>2.8738630529149098</v>
      </c>
      <c r="O96" s="11"/>
      <c r="P96" s="2">
        <f>--144752.88</f>
        <v>144752.88</v>
      </c>
      <c r="Q96" s="2"/>
      <c r="R96" s="19">
        <f t="shared" si="84"/>
        <v>0</v>
      </c>
      <c r="S96" s="2"/>
      <c r="T96" s="2">
        <f>--123723.88</f>
        <v>123723.88</v>
      </c>
      <c r="U96" s="2"/>
      <c r="V96" s="19">
        <f t="shared" si="85"/>
        <v>0</v>
      </c>
      <c r="W96" s="2"/>
      <c r="X96" s="2">
        <f t="shared" si="86"/>
        <v>21029</v>
      </c>
      <c r="Y96" s="2"/>
      <c r="Z96" s="19">
        <f t="shared" si="87"/>
        <v>0.16996718822591078</v>
      </c>
    </row>
    <row r="97" spans="1:26" x14ac:dyDescent="0.3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3">
      <c r="A98" s="10"/>
      <c r="B98" s="26" t="s">
        <v>276</v>
      </c>
      <c r="C98" s="26"/>
      <c r="D98" s="20">
        <f>+D17-D19+D95</f>
        <v>-104580.87</v>
      </c>
      <c r="E98" s="13"/>
      <c r="F98" s="21">
        <f>IF(D$12=0,0,D98/D$12)</f>
        <v>0</v>
      </c>
      <c r="G98" s="13"/>
      <c r="H98" s="20">
        <f>+H17-H19+H95</f>
        <v>-98482.379999999976</v>
      </c>
      <c r="I98" s="13"/>
      <c r="J98" s="21">
        <f>IF(H$12=0,0,H98/H$12)</f>
        <v>0</v>
      </c>
      <c r="K98" s="15"/>
      <c r="L98" s="20">
        <f>+D98-H98</f>
        <v>-6098.4900000000198</v>
      </c>
      <c r="M98" s="15"/>
      <c r="N98" s="21">
        <f>IF(H98=0,0,L98/H98)</f>
        <v>6.192468134909028E-2</v>
      </c>
      <c r="O98" s="25"/>
      <c r="P98" s="20">
        <f>+P17-P19+P95</f>
        <v>-717616.1799999997</v>
      </c>
      <c r="Q98" s="13"/>
      <c r="R98" s="21">
        <f>IF(P$12=0,0,P98/P$12)</f>
        <v>0</v>
      </c>
      <c r="S98" s="13"/>
      <c r="T98" s="20">
        <f>+T17-T19+T95</f>
        <v>-609364.26000000013</v>
      </c>
      <c r="U98" s="13"/>
      <c r="V98" s="21">
        <f>IF(T$12=0,0,T98/T$12)</f>
        <v>0</v>
      </c>
      <c r="W98" s="15"/>
      <c r="X98" s="20">
        <f>+P98-T98</f>
        <v>-108251.91999999958</v>
      </c>
      <c r="Y98" s="15"/>
      <c r="Z98" s="21">
        <f>IF(T98=0,0,X98/T98)</f>
        <v>0.17764730737572229</v>
      </c>
    </row>
    <row r="99" spans="1:26" x14ac:dyDescent="0.3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3">
      <c r="A100" s="51"/>
      <c r="B100" s="10" t="s">
        <v>127</v>
      </c>
      <c r="C100" s="10"/>
      <c r="D100" s="4"/>
      <c r="E100" s="4"/>
      <c r="F100" s="12">
        <f>IF(D$12=0,0,D100/D$12)</f>
        <v>0</v>
      </c>
      <c r="G100" s="4"/>
      <c r="H100" s="4"/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/>
      <c r="Q100" s="4"/>
      <c r="R100" s="12">
        <f>IF(P$12=0,0,P100/P$12)</f>
        <v>0</v>
      </c>
      <c r="S100" s="4"/>
      <c r="T100" s="4"/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3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" thickBot="1" x14ac:dyDescent="0.35">
      <c r="A102" s="10"/>
      <c r="B102" s="26" t="s">
        <v>125</v>
      </c>
      <c r="C102" s="26"/>
      <c r="D102" s="32">
        <f>+D98-D100</f>
        <v>-104580.87</v>
      </c>
      <c r="E102" s="13"/>
      <c r="F102" s="35">
        <f>IF(D$12=0,0,D102/D$12)</f>
        <v>0</v>
      </c>
      <c r="G102" s="13"/>
      <c r="H102" s="32">
        <f>+H98-H100</f>
        <v>-98482.379999999976</v>
      </c>
      <c r="I102" s="13"/>
      <c r="J102" s="35">
        <f>IF(H$12=0,0,H102/H$12)</f>
        <v>0</v>
      </c>
      <c r="K102" s="15"/>
      <c r="L102" s="32">
        <f>D102-H102</f>
        <v>-6098.4900000000198</v>
      </c>
      <c r="M102" s="15"/>
      <c r="N102" s="35">
        <f>IF(H102=0,0,L102/H102)</f>
        <v>6.192468134909028E-2</v>
      </c>
      <c r="O102" s="25"/>
      <c r="P102" s="32">
        <f>+P98-P100</f>
        <v>-717616.1799999997</v>
      </c>
      <c r="Q102" s="13"/>
      <c r="R102" s="35">
        <f>IF(P$12=0,0,P102/P$12)</f>
        <v>0</v>
      </c>
      <c r="S102" s="13"/>
      <c r="T102" s="32">
        <f>+T98-T100</f>
        <v>-609364.26000000013</v>
      </c>
      <c r="U102" s="13"/>
      <c r="V102" s="35">
        <f>IF(T$12=0,0,T102/T$12)</f>
        <v>0</v>
      </c>
      <c r="W102" s="15"/>
      <c r="X102" s="32">
        <f>P102-T102</f>
        <v>-108251.91999999958</v>
      </c>
      <c r="Y102" s="15"/>
      <c r="Z102" s="35">
        <f>IF(T102=0,0,X102/T102)</f>
        <v>0.17764730737572229</v>
      </c>
    </row>
    <row r="103" spans="1:26" ht="15" thickTop="1" x14ac:dyDescent="0.3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3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" thickBot="1" x14ac:dyDescent="0.35">
      <c r="A105" s="10"/>
      <c r="B105" s="26" t="s">
        <v>293</v>
      </c>
      <c r="C105" s="26"/>
      <c r="D105" s="31">
        <f>SUM(D102:D104)</f>
        <v>-104580.87</v>
      </c>
      <c r="E105" s="13"/>
      <c r="F105" s="33">
        <f>IF(D$12=0,0,D105/D$12)</f>
        <v>0</v>
      </c>
      <c r="G105" s="13"/>
      <c r="H105" s="31">
        <f>SUM(H102:H104)</f>
        <v>-98482.379999999976</v>
      </c>
      <c r="I105" s="13"/>
      <c r="J105" s="33">
        <f>IF(H$12=0,0,H105/H$12)</f>
        <v>0</v>
      </c>
      <c r="K105" s="15"/>
      <c r="L105" s="31">
        <f>+D105-H105</f>
        <v>-6098.4900000000198</v>
      </c>
      <c r="M105" s="15"/>
      <c r="N105" s="33">
        <f>IF(H105=0,0,L105/H105)</f>
        <v>6.192468134909028E-2</v>
      </c>
      <c r="O105" s="25"/>
      <c r="P105" s="31">
        <f>SUM(P102:P104)</f>
        <v>-717616.1799999997</v>
      </c>
      <c r="Q105" s="13"/>
      <c r="R105" s="33">
        <f>IF(P$12=0,0,P105/P$12)</f>
        <v>0</v>
      </c>
      <c r="S105" s="13"/>
      <c r="T105" s="31">
        <f>SUM(T102:T104)</f>
        <v>-609364.26000000013</v>
      </c>
      <c r="U105" s="13"/>
      <c r="V105" s="33">
        <f>IF(T$12=0,0,T105/T$12)</f>
        <v>0</v>
      </c>
      <c r="W105" s="15"/>
      <c r="X105" s="31">
        <f>+P105-T105</f>
        <v>-108251.91999999958</v>
      </c>
      <c r="Y105" s="15"/>
      <c r="Z105" s="33">
        <f>IF(T105=0,0,X105/T105)</f>
        <v>0.17764730737572229</v>
      </c>
    </row>
    <row r="106" spans="1:26" ht="15" thickTop="1" x14ac:dyDescent="0.3">
      <c r="A106" s="9"/>
      <c r="C106" s="9"/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3">
      <c r="A107" s="9"/>
      <c r="B107" s="60">
        <v>44575.854680405093</v>
      </c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3">
      <c r="A108" s="9"/>
      <c r="B108" s="57" t="s">
        <v>56</v>
      </c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3">
      <c r="A109" s="9"/>
      <c r="B109" s="59"/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3"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outlinePr summaryBelow="0" summaryRight="0"/>
  </sheetPr>
  <dimension ref="A2:Z5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","306", " - ", "Warehouse")</f>
        <v>Department 306 - Warehouse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22">
        <f>SUM(OSRRefD22x_0)</f>
        <v>0</v>
      </c>
      <c r="E18" s="22"/>
      <c r="F18" s="34">
        <f t="shared" ref="F18:F23" si="0">IF(D$12=0,0,D18/D$12)</f>
        <v>0</v>
      </c>
      <c r="G18" s="22"/>
      <c r="H18" s="22">
        <f>SUM(OSRRefH22x_0)</f>
        <v>0</v>
      </c>
      <c r="I18" s="22"/>
      <c r="J18" s="34">
        <f t="shared" ref="J18:J23" si="1">IF(H$12=0,0,H18/H$12)</f>
        <v>0</v>
      </c>
      <c r="K18" s="4"/>
      <c r="L18" s="22">
        <f t="shared" ref="L18:L23" si="2">+D18-H18</f>
        <v>0</v>
      </c>
      <c r="M18" s="4"/>
      <c r="N18" s="34">
        <f t="shared" ref="N18:N23" si="3">IF(H18=0,0,L18/H18)</f>
        <v>0</v>
      </c>
      <c r="O18" s="10"/>
      <c r="P18" s="22">
        <f>SUM(OSRRefP22x_0)</f>
        <v>0</v>
      </c>
      <c r="Q18" s="22"/>
      <c r="R18" s="34">
        <f t="shared" ref="R18:R23" si="4">IF(P$12=0,0,P18/P$12)</f>
        <v>0</v>
      </c>
      <c r="S18" s="22"/>
      <c r="T18" s="22">
        <f>SUM(OSRRefT22x_0)</f>
        <v>0.37000000000004318</v>
      </c>
      <c r="U18" s="22"/>
      <c r="V18" s="34">
        <f t="shared" ref="V18:V23" si="5">IF(T$12=0,0,T18/T$12)</f>
        <v>0</v>
      </c>
      <c r="W18" s="4"/>
      <c r="X18" s="22">
        <f t="shared" ref="X18:X23" si="6">+P18-T18</f>
        <v>-0.37000000000004318</v>
      </c>
      <c r="Y18" s="4"/>
      <c r="Z18" s="34">
        <f t="shared" ref="Z18:Z23" si="7">IF(T18=0,0,X18/T18)</f>
        <v>-1</v>
      </c>
    </row>
    <row r="19" spans="1:26" s="29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0.1400000000000432</v>
      </c>
      <c r="U19" s="1"/>
      <c r="V19" s="5">
        <f t="shared" si="5"/>
        <v>0</v>
      </c>
      <c r="W19" s="1"/>
      <c r="X19" s="1">
        <f t="shared" si="6"/>
        <v>-0.1400000000000432</v>
      </c>
      <c r="Y19" s="1"/>
      <c r="Z19" s="5">
        <f t="shared" si="7"/>
        <v>-1</v>
      </c>
    </row>
    <row r="20" spans="1:26" s="24" customFormat="1" hidden="1" outlineLevel="2" x14ac:dyDescent="0.3">
      <c r="A20" s="28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/>
      <c r="Q20" s="2"/>
      <c r="R20" s="7">
        <f t="shared" si="4"/>
        <v>0</v>
      </c>
      <c r="S20" s="2"/>
      <c r="T20" s="6">
        <v>402.04</v>
      </c>
      <c r="U20" s="2"/>
      <c r="V20" s="7">
        <f t="shared" si="5"/>
        <v>0</v>
      </c>
      <c r="W20" s="2"/>
      <c r="X20" s="6">
        <f t="shared" si="6"/>
        <v>-402.04</v>
      </c>
      <c r="Y20" s="2"/>
      <c r="Z20" s="7">
        <f t="shared" si="7"/>
        <v>-1</v>
      </c>
    </row>
    <row r="21" spans="1:26" s="24" customFormat="1" hidden="1" outlineLevel="2" x14ac:dyDescent="0.3">
      <c r="A21" s="28"/>
      <c r="B21" s="11" t="str">
        <f>CONCATENATE("          ", "6113", " - ", "GROUP INSURANCE")</f>
        <v xml:space="preserve">          6113 - GROUP INSURANCE</v>
      </c>
      <c r="C21" s="11"/>
      <c r="D21" s="6"/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0</v>
      </c>
      <c r="M21" s="2"/>
      <c r="N21" s="7">
        <f t="shared" si="3"/>
        <v>0</v>
      </c>
      <c r="O21" s="11"/>
      <c r="P21" s="6"/>
      <c r="Q21" s="2"/>
      <c r="R21" s="7">
        <f t="shared" si="4"/>
        <v>0</v>
      </c>
      <c r="S21" s="2"/>
      <c r="T21" s="6">
        <v>0</v>
      </c>
      <c r="U21" s="2"/>
      <c r="V21" s="7">
        <f t="shared" si="5"/>
        <v>0</v>
      </c>
      <c r="W21" s="2"/>
      <c r="X21" s="6">
        <f t="shared" si="6"/>
        <v>0</v>
      </c>
      <c r="Y21" s="2"/>
      <c r="Z21" s="7">
        <f t="shared" si="7"/>
        <v>0</v>
      </c>
    </row>
    <row r="22" spans="1:26" s="24" customFormat="1" hidden="1" outlineLevel="2" x14ac:dyDescent="0.3">
      <c r="A22" s="28"/>
      <c r="B22" s="11" t="str">
        <f>CONCATENATE("          ", "6115", " - ", "P.E.R.S.")</f>
        <v xml:space="preserve">          6115 - P.E.R.S.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/>
      <c r="Q22" s="2"/>
      <c r="R22" s="7">
        <f t="shared" si="4"/>
        <v>0</v>
      </c>
      <c r="S22" s="2"/>
      <c r="T22" s="6">
        <v>0</v>
      </c>
      <c r="U22" s="2"/>
      <c r="V22" s="7">
        <f t="shared" si="5"/>
        <v>0</v>
      </c>
      <c r="W22" s="2"/>
      <c r="X22" s="6">
        <f t="shared" si="6"/>
        <v>0</v>
      </c>
      <c r="Y22" s="2"/>
      <c r="Z22" s="7">
        <f t="shared" si="7"/>
        <v>0</v>
      </c>
    </row>
    <row r="23" spans="1:26" s="24" customFormat="1" hidden="1" outlineLevel="2" x14ac:dyDescent="0.3">
      <c r="A23" s="28"/>
      <c r="B23" s="11" t="str">
        <f>CONCATENATE("          ", "6116", " - ", "EDUCATIONAL BENEFITS")</f>
        <v xml:space="preserve">          6116 - EDUCATIONAL BENEFITS</v>
      </c>
      <c r="C23" s="11"/>
      <c r="D23" s="6"/>
      <c r="E23" s="2"/>
      <c r="F23" s="7">
        <f t="shared" si="0"/>
        <v>0</v>
      </c>
      <c r="G23" s="2"/>
      <c r="H23" s="6"/>
      <c r="I23" s="2"/>
      <c r="J23" s="7">
        <f t="shared" si="1"/>
        <v>0</v>
      </c>
      <c r="K23" s="2"/>
      <c r="L23" s="6">
        <f t="shared" si="2"/>
        <v>0</v>
      </c>
      <c r="M23" s="2"/>
      <c r="N23" s="7">
        <f t="shared" si="3"/>
        <v>0</v>
      </c>
      <c r="O23" s="11"/>
      <c r="P23" s="6"/>
      <c r="Q23" s="2"/>
      <c r="R23" s="7">
        <f t="shared" si="4"/>
        <v>0</v>
      </c>
      <c r="S23" s="2"/>
      <c r="T23" s="6">
        <v>-401.9</v>
      </c>
      <c r="U23" s="2"/>
      <c r="V23" s="7">
        <f t="shared" si="5"/>
        <v>0</v>
      </c>
      <c r="W23" s="2"/>
      <c r="X23" s="6">
        <f t="shared" si="6"/>
        <v>401.9</v>
      </c>
      <c r="Y23" s="2"/>
      <c r="Z23" s="7">
        <f t="shared" si="7"/>
        <v>-1</v>
      </c>
    </row>
    <row r="24" spans="1:26" s="29" customFormat="1" outlineLevel="1" collapsed="1" x14ac:dyDescent="0.3">
      <c r="A24" s="27"/>
      <c r="B24" s="14" t="str">
        <f>CONCATENATE("     ","*Payroll                                          ")</f>
        <v xml:space="preserve">     *Payroll                                          </v>
      </c>
      <c r="C24" s="14"/>
      <c r="D24" s="1">
        <f>SUM(OSRRefD22_1x_0)</f>
        <v>0</v>
      </c>
      <c r="E24" s="1"/>
      <c r="F24" s="5">
        <f t="shared" ref="F24:F26" si="8">IF(D$12=0,0,D24/D$12)</f>
        <v>0</v>
      </c>
      <c r="G24" s="1"/>
      <c r="H24" s="1">
        <f>SUM(OSRRefH22_1x_0)</f>
        <v>0</v>
      </c>
      <c r="I24" s="1"/>
      <c r="J24" s="5">
        <f t="shared" ref="J24:J26" si="9">IF(H$12=0,0,H24/H$12)</f>
        <v>0</v>
      </c>
      <c r="K24" s="1"/>
      <c r="L24" s="1">
        <f t="shared" ref="L24:L26" si="10">+D24-H24</f>
        <v>0</v>
      </c>
      <c r="M24" s="1"/>
      <c r="N24" s="5">
        <f t="shared" ref="N24:N26" si="11">IF(H24=0,0,L24/H24)</f>
        <v>0</v>
      </c>
      <c r="O24" s="14"/>
      <c r="P24" s="1">
        <f>SUM(OSRRefP22_1x_0)</f>
        <v>0</v>
      </c>
      <c r="Q24" s="1"/>
      <c r="R24" s="5">
        <f t="shared" ref="R24:R26" si="12">IF(P$12=0,0,P24/P$12)</f>
        <v>0</v>
      </c>
      <c r="S24" s="1"/>
      <c r="T24" s="1">
        <f>SUM(OSRRefT22_1x_0)</f>
        <v>0.23</v>
      </c>
      <c r="U24" s="1"/>
      <c r="V24" s="5">
        <f t="shared" ref="V24:V26" si="13">IF(T$12=0,0,T24/T$12)</f>
        <v>0</v>
      </c>
      <c r="W24" s="1"/>
      <c r="X24" s="1">
        <f t="shared" ref="X24:X26" si="14">+P24-T24</f>
        <v>-0.23</v>
      </c>
      <c r="Y24" s="1"/>
      <c r="Z24" s="5">
        <f t="shared" ref="Z24:Z26" si="15">IF(T24=0,0,X24/T24)</f>
        <v>-1</v>
      </c>
    </row>
    <row r="25" spans="1:26" s="24" customFormat="1" hidden="1" outlineLevel="2" x14ac:dyDescent="0.3">
      <c r="A25" s="28"/>
      <c r="B25" s="11" t="str">
        <f>CONCATENATE("          ", "6004", " - ", "STAFF HOURLY")</f>
        <v xml:space="preserve">          6004 - STAFF HOURLY</v>
      </c>
      <c r="C25" s="11"/>
      <c r="D25" s="6"/>
      <c r="E25" s="2"/>
      <c r="F25" s="7">
        <f t="shared" si="8"/>
        <v>0</v>
      </c>
      <c r="G25" s="2"/>
      <c r="H25" s="6"/>
      <c r="I25" s="2"/>
      <c r="J25" s="7">
        <f t="shared" si="9"/>
        <v>0</v>
      </c>
      <c r="K25" s="2"/>
      <c r="L25" s="6">
        <f t="shared" si="10"/>
        <v>0</v>
      </c>
      <c r="M25" s="2"/>
      <c r="N25" s="7">
        <f t="shared" si="11"/>
        <v>0</v>
      </c>
      <c r="O25" s="11"/>
      <c r="P25" s="6"/>
      <c r="Q25" s="2"/>
      <c r="R25" s="7">
        <f t="shared" si="12"/>
        <v>0</v>
      </c>
      <c r="S25" s="2"/>
      <c r="T25" s="6">
        <v>0.23</v>
      </c>
      <c r="U25" s="2"/>
      <c r="V25" s="7">
        <f t="shared" si="13"/>
        <v>0</v>
      </c>
      <c r="W25" s="2"/>
      <c r="X25" s="6">
        <f t="shared" si="14"/>
        <v>-0.23</v>
      </c>
      <c r="Y25" s="2"/>
      <c r="Z25" s="7">
        <f t="shared" si="15"/>
        <v>-1</v>
      </c>
    </row>
    <row r="26" spans="1:26" s="24" customFormat="1" hidden="1" outlineLevel="2" x14ac:dyDescent="0.3">
      <c r="A26" s="28"/>
      <c r="B26" s="11" t="str">
        <f>CONCATENATE("          ", "6005", " - ", "TEMPORARY WAGES-HOURLY")</f>
        <v xml:space="preserve">          6005 - TEMPORARY WAGES-HOURLY</v>
      </c>
      <c r="C26" s="11"/>
      <c r="D26" s="6"/>
      <c r="E26" s="2"/>
      <c r="F26" s="7">
        <f t="shared" si="8"/>
        <v>0</v>
      </c>
      <c r="G26" s="2"/>
      <c r="H26" s="6"/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/>
      <c r="Q26" s="2"/>
      <c r="R26" s="7">
        <f t="shared" si="12"/>
        <v>0</v>
      </c>
      <c r="S26" s="2"/>
      <c r="T26" s="6">
        <v>0</v>
      </c>
      <c r="U26" s="2"/>
      <c r="V26" s="7">
        <f t="shared" si="13"/>
        <v>0</v>
      </c>
      <c r="W26" s="2"/>
      <c r="X26" s="6">
        <f t="shared" si="14"/>
        <v>0</v>
      </c>
      <c r="Y26" s="2"/>
      <c r="Z26" s="7">
        <f t="shared" si="15"/>
        <v>0</v>
      </c>
    </row>
    <row r="27" spans="1:26" s="29" customFormat="1" outlineLevel="1" collapsed="1" x14ac:dyDescent="0.3">
      <c r="A27" s="27"/>
      <c r="B27" s="14" t="str">
        <f>CONCATENATE("     ","Equipment Rental                                  ")</f>
        <v xml:space="preserve">     Equipment Rental                                  </v>
      </c>
      <c r="C27" s="14"/>
      <c r="D27" s="1">
        <f>SUM(OSRRefD22_2x_0)</f>
        <v>0</v>
      </c>
      <c r="E27" s="1"/>
      <c r="F27" s="5">
        <f t="shared" ref="F27:F34" si="16">IF(D$12=0,0,D27/D$12)</f>
        <v>0</v>
      </c>
      <c r="G27" s="1"/>
      <c r="H27" s="1">
        <f>SUM(OSRRefH22_2x_0)</f>
        <v>0</v>
      </c>
      <c r="I27" s="1"/>
      <c r="J27" s="5">
        <f t="shared" ref="J27:J34" si="17">IF(H$12=0,0,H27/H$12)</f>
        <v>0</v>
      </c>
      <c r="K27" s="1"/>
      <c r="L27" s="1">
        <f t="shared" ref="L27:L34" si="18">+D27-H27</f>
        <v>0</v>
      </c>
      <c r="M27" s="1"/>
      <c r="N27" s="5">
        <f t="shared" ref="N27:N34" si="19">IF(H27=0,0,L27/H27)</f>
        <v>0</v>
      </c>
      <c r="O27" s="14"/>
      <c r="P27" s="1">
        <f>SUM(OSRRefP22_2x_0)</f>
        <v>0</v>
      </c>
      <c r="Q27" s="1"/>
      <c r="R27" s="5">
        <f t="shared" ref="R27:R34" si="20">IF(P$12=0,0,P27/P$12)</f>
        <v>0</v>
      </c>
      <c r="S27" s="1"/>
      <c r="T27" s="1">
        <f>SUM(OSRRefT22_2x_0)</f>
        <v>0</v>
      </c>
      <c r="U27" s="1"/>
      <c r="V27" s="5">
        <f t="shared" ref="V27:V34" si="21">IF(T$12=0,0,T27/T$12)</f>
        <v>0</v>
      </c>
      <c r="W27" s="1"/>
      <c r="X27" s="1">
        <f t="shared" ref="X27:X34" si="22">+P27-T27</f>
        <v>0</v>
      </c>
      <c r="Y27" s="1"/>
      <c r="Z27" s="5">
        <f t="shared" ref="Z27:Z34" si="23">IF(T27=0,0,X27/T27)</f>
        <v>0</v>
      </c>
    </row>
    <row r="28" spans="1:26" s="24" customFormat="1" hidden="1" outlineLevel="2" x14ac:dyDescent="0.3">
      <c r="A28" s="28"/>
      <c r="B28" s="11" t="str">
        <f>CONCATENATE("          ", "6351", " - ", "EQUIPMENT RENTAL")</f>
        <v xml:space="preserve">          6351 - EQUIPMENT RENTAL</v>
      </c>
      <c r="C28" s="11"/>
      <c r="D28" s="6"/>
      <c r="E28" s="2"/>
      <c r="F28" s="7">
        <f t="shared" si="16"/>
        <v>0</v>
      </c>
      <c r="G28" s="2"/>
      <c r="H28" s="6"/>
      <c r="I28" s="2"/>
      <c r="J28" s="7">
        <f t="shared" si="17"/>
        <v>0</v>
      </c>
      <c r="K28" s="2"/>
      <c r="L28" s="6">
        <f t="shared" si="18"/>
        <v>0</v>
      </c>
      <c r="M28" s="2"/>
      <c r="N28" s="7">
        <f t="shared" si="19"/>
        <v>0</v>
      </c>
      <c r="O28" s="11"/>
      <c r="P28" s="6"/>
      <c r="Q28" s="2"/>
      <c r="R28" s="7">
        <f t="shared" si="20"/>
        <v>0</v>
      </c>
      <c r="S28" s="2"/>
      <c r="T28" s="6">
        <v>0</v>
      </c>
      <c r="U28" s="2"/>
      <c r="V28" s="7">
        <f t="shared" si="21"/>
        <v>0</v>
      </c>
      <c r="W28" s="2"/>
      <c r="X28" s="6">
        <f t="shared" si="22"/>
        <v>0</v>
      </c>
      <c r="Y28" s="2"/>
      <c r="Z28" s="7">
        <f t="shared" si="23"/>
        <v>0</v>
      </c>
    </row>
    <row r="29" spans="1:26" s="29" customFormat="1" outlineLevel="1" collapsed="1" x14ac:dyDescent="0.3">
      <c r="A29" s="27"/>
      <c r="B29" s="14" t="str">
        <f>CONCATENATE("     ","Freight out/Postage                               ")</f>
        <v xml:space="preserve">     Freight out/Postage                               </v>
      </c>
      <c r="C29" s="14"/>
      <c r="D29" s="1">
        <f>SUM(OSRRefD22_3x_0)</f>
        <v>0</v>
      </c>
      <c r="E29" s="1"/>
      <c r="F29" s="5">
        <f t="shared" si="16"/>
        <v>0</v>
      </c>
      <c r="G29" s="1"/>
      <c r="H29" s="1">
        <f>SUM(OSRRefH22_3x_0)</f>
        <v>0</v>
      </c>
      <c r="I29" s="1"/>
      <c r="J29" s="5">
        <f t="shared" si="17"/>
        <v>0</v>
      </c>
      <c r="K29" s="1"/>
      <c r="L29" s="1">
        <f t="shared" si="18"/>
        <v>0</v>
      </c>
      <c r="M29" s="1"/>
      <c r="N29" s="5">
        <f t="shared" si="19"/>
        <v>0</v>
      </c>
      <c r="O29" s="14"/>
      <c r="P29" s="1">
        <f>SUM(OSRRefP22_3x_0)</f>
        <v>0</v>
      </c>
      <c r="Q29" s="1"/>
      <c r="R29" s="5">
        <f t="shared" si="20"/>
        <v>0</v>
      </c>
      <c r="S29" s="1"/>
      <c r="T29" s="1">
        <f>SUM(OSRRefT22_3x_0)</f>
        <v>0</v>
      </c>
      <c r="U29" s="1"/>
      <c r="V29" s="5">
        <f t="shared" si="21"/>
        <v>0</v>
      </c>
      <c r="W29" s="1"/>
      <c r="X29" s="1">
        <f t="shared" si="22"/>
        <v>0</v>
      </c>
      <c r="Y29" s="1"/>
      <c r="Z29" s="5">
        <f t="shared" si="23"/>
        <v>0</v>
      </c>
    </row>
    <row r="30" spans="1:26" s="24" customFormat="1" hidden="1" outlineLevel="2" x14ac:dyDescent="0.3">
      <c r="A30" s="28"/>
      <c r="B30" s="11" t="str">
        <f>CONCATENATE("          ", "6307", " - ", "POSTAGE")</f>
        <v xml:space="preserve">          6307 - POSTAGE</v>
      </c>
      <c r="C30" s="11"/>
      <c r="D30" s="6"/>
      <c r="E30" s="2"/>
      <c r="F30" s="7">
        <f t="shared" si="16"/>
        <v>0</v>
      </c>
      <c r="G30" s="2"/>
      <c r="H30" s="6"/>
      <c r="I30" s="2"/>
      <c r="J30" s="7">
        <f t="shared" si="17"/>
        <v>0</v>
      </c>
      <c r="K30" s="2"/>
      <c r="L30" s="6">
        <f t="shared" si="18"/>
        <v>0</v>
      </c>
      <c r="M30" s="2"/>
      <c r="N30" s="7">
        <f t="shared" si="19"/>
        <v>0</v>
      </c>
      <c r="O30" s="11"/>
      <c r="P30" s="6"/>
      <c r="Q30" s="2"/>
      <c r="R30" s="7">
        <f t="shared" si="20"/>
        <v>0</v>
      </c>
      <c r="S30" s="2"/>
      <c r="T30" s="6">
        <v>0</v>
      </c>
      <c r="U30" s="2"/>
      <c r="V30" s="7">
        <f t="shared" si="21"/>
        <v>0</v>
      </c>
      <c r="W30" s="2"/>
      <c r="X30" s="6">
        <f t="shared" si="22"/>
        <v>0</v>
      </c>
      <c r="Y30" s="2"/>
      <c r="Z30" s="7">
        <f t="shared" si="23"/>
        <v>0</v>
      </c>
    </row>
    <row r="31" spans="1:26" s="29" customFormat="1" outlineLevel="1" collapsed="1" x14ac:dyDescent="0.3">
      <c r="A31" s="27"/>
      <c r="B31" s="14" t="str">
        <f>CONCATENATE("     ","Repair and Maintenance                            ")</f>
        <v xml:space="preserve">     Repair and Maintenance                            </v>
      </c>
      <c r="C31" s="14"/>
      <c r="D31" s="1">
        <f>SUM(OSRRefD22_4x_0)</f>
        <v>0</v>
      </c>
      <c r="E31" s="1"/>
      <c r="F31" s="5">
        <f t="shared" si="16"/>
        <v>0</v>
      </c>
      <c r="G31" s="1"/>
      <c r="H31" s="1">
        <f>SUM(OSRRefH22_4x_0)</f>
        <v>0</v>
      </c>
      <c r="I31" s="1"/>
      <c r="J31" s="5">
        <f t="shared" si="17"/>
        <v>0</v>
      </c>
      <c r="K31" s="1"/>
      <c r="L31" s="1">
        <f t="shared" si="18"/>
        <v>0</v>
      </c>
      <c r="M31" s="1"/>
      <c r="N31" s="5">
        <f t="shared" si="19"/>
        <v>0</v>
      </c>
      <c r="O31" s="14"/>
      <c r="P31" s="1">
        <f>SUM(OSRRefP22_4x_0)</f>
        <v>0</v>
      </c>
      <c r="Q31" s="1"/>
      <c r="R31" s="5">
        <f t="shared" si="20"/>
        <v>0</v>
      </c>
      <c r="S31" s="1"/>
      <c r="T31" s="1">
        <f>SUM(OSRRefT22_4x_0)</f>
        <v>0</v>
      </c>
      <c r="U31" s="1"/>
      <c r="V31" s="5">
        <f t="shared" si="21"/>
        <v>0</v>
      </c>
      <c r="W31" s="1"/>
      <c r="X31" s="1">
        <f t="shared" si="22"/>
        <v>0</v>
      </c>
      <c r="Y31" s="1"/>
      <c r="Z31" s="5">
        <f t="shared" si="23"/>
        <v>0</v>
      </c>
    </row>
    <row r="32" spans="1:26" s="24" customFormat="1" hidden="1" outlineLevel="2" x14ac:dyDescent="0.3">
      <c r="A32" s="28"/>
      <c r="B32" s="11" t="str">
        <f>CONCATENATE("          ", "6373", " - ", "MAINTENANCE CONTRACTS")</f>
        <v xml:space="preserve">          6373 - MAINTENANCE CONTRACTS</v>
      </c>
      <c r="C32" s="11"/>
      <c r="D32" s="6"/>
      <c r="E32" s="2"/>
      <c r="F32" s="7">
        <f t="shared" si="16"/>
        <v>0</v>
      </c>
      <c r="G32" s="2"/>
      <c r="H32" s="6"/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/>
      <c r="Q32" s="2"/>
      <c r="R32" s="7">
        <f t="shared" si="20"/>
        <v>0</v>
      </c>
      <c r="S32" s="2"/>
      <c r="T32" s="6">
        <v>0</v>
      </c>
      <c r="U32" s="2"/>
      <c r="V32" s="7">
        <f t="shared" si="21"/>
        <v>0</v>
      </c>
      <c r="W32" s="2"/>
      <c r="X32" s="6">
        <f t="shared" si="22"/>
        <v>0</v>
      </c>
      <c r="Y32" s="2"/>
      <c r="Z32" s="7">
        <f t="shared" si="23"/>
        <v>0</v>
      </c>
    </row>
    <row r="33" spans="1:26" s="29" customFormat="1" outlineLevel="1" collapsed="1" x14ac:dyDescent="0.3">
      <c r="A33" s="27"/>
      <c r="B33" s="14" t="str">
        <f>CONCATENATE("     ","Telephone/Data Lines                              ")</f>
        <v xml:space="preserve">     Telephone/Data Lines                              </v>
      </c>
      <c r="C33" s="14"/>
      <c r="D33" s="1">
        <f>SUM(OSRRefD22_5x_0)</f>
        <v>0</v>
      </c>
      <c r="E33" s="1"/>
      <c r="F33" s="5">
        <f t="shared" si="16"/>
        <v>0</v>
      </c>
      <c r="G33" s="1"/>
      <c r="H33" s="1">
        <f>SUM(OSRRefH22_5x_0)</f>
        <v>0</v>
      </c>
      <c r="I33" s="1"/>
      <c r="J33" s="5">
        <f t="shared" si="17"/>
        <v>0</v>
      </c>
      <c r="K33" s="1"/>
      <c r="L33" s="1">
        <f t="shared" si="18"/>
        <v>0</v>
      </c>
      <c r="M33" s="1"/>
      <c r="N33" s="5">
        <f t="shared" si="19"/>
        <v>0</v>
      </c>
      <c r="O33" s="14"/>
      <c r="P33" s="1">
        <f>SUM(OSRRefP22_5x_0)</f>
        <v>0</v>
      </c>
      <c r="Q33" s="1"/>
      <c r="R33" s="5">
        <f t="shared" si="20"/>
        <v>0</v>
      </c>
      <c r="S33" s="1"/>
      <c r="T33" s="1">
        <f>SUM(OSRRefT22_5x_0)</f>
        <v>0</v>
      </c>
      <c r="U33" s="1"/>
      <c r="V33" s="5">
        <f t="shared" si="21"/>
        <v>0</v>
      </c>
      <c r="W33" s="1"/>
      <c r="X33" s="1">
        <f t="shared" si="22"/>
        <v>0</v>
      </c>
      <c r="Y33" s="1"/>
      <c r="Z33" s="5">
        <f t="shared" si="23"/>
        <v>0</v>
      </c>
    </row>
    <row r="34" spans="1:26" s="24" customFormat="1" hidden="1" outlineLevel="2" x14ac:dyDescent="0.3">
      <c r="A34" s="28"/>
      <c r="B34" s="11" t="str">
        <f>CONCATENATE("          ", "6309", " - ", "TELEPHONE")</f>
        <v xml:space="preserve">          6309 - TELEPHONE</v>
      </c>
      <c r="C34" s="11"/>
      <c r="D34" s="6"/>
      <c r="E34" s="2"/>
      <c r="F34" s="7">
        <f t="shared" si="16"/>
        <v>0</v>
      </c>
      <c r="G34" s="2"/>
      <c r="H34" s="6"/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0</v>
      </c>
      <c r="U34" s="2"/>
      <c r="V34" s="7">
        <f t="shared" si="21"/>
        <v>0</v>
      </c>
      <c r="W34" s="2"/>
      <c r="X34" s="6">
        <f t="shared" si="22"/>
        <v>0</v>
      </c>
      <c r="Y34" s="2"/>
      <c r="Z34" s="7">
        <f t="shared" si="23"/>
        <v>0</v>
      </c>
    </row>
    <row r="35" spans="1:26" s="53" customFormat="1" x14ac:dyDescent="0.3">
      <c r="A35" s="37"/>
      <c r="B35" s="37"/>
      <c r="C35" s="37"/>
      <c r="D35" s="1"/>
      <c r="E35" s="1"/>
      <c r="F35" s="5"/>
      <c r="G35" s="1"/>
      <c r="H35" s="1"/>
      <c r="I35" s="1"/>
      <c r="J35" s="5"/>
      <c r="K35" s="1"/>
      <c r="L35" s="1"/>
      <c r="M35" s="1"/>
      <c r="N35" s="5"/>
      <c r="O35" s="37"/>
      <c r="P35" s="1"/>
      <c r="Q35" s="1"/>
      <c r="R35" s="5"/>
      <c r="S35" s="1"/>
      <c r="T35" s="1"/>
      <c r="U35" s="1"/>
      <c r="V35" s="5"/>
      <c r="W35" s="1"/>
      <c r="X35" s="1"/>
      <c r="Y35" s="1"/>
      <c r="Z35" s="5"/>
    </row>
    <row r="36" spans="1:26" s="23" customFormat="1" x14ac:dyDescent="0.3">
      <c r="A36" s="10"/>
      <c r="B36" s="25" t="s">
        <v>292</v>
      </c>
      <c r="C36" s="10"/>
      <c r="D36" s="4">
        <f>SUM(0)</f>
        <v>0</v>
      </c>
      <c r="E36" s="4"/>
      <c r="F36" s="12">
        <f>IF(D$12=0,0,D36/D$12)</f>
        <v>0</v>
      </c>
      <c r="G36" s="4"/>
      <c r="H36" s="4">
        <f>SUM(0)</f>
        <v>0</v>
      </c>
      <c r="I36" s="4"/>
      <c r="J36" s="12">
        <f>IF(H$12=0,0,H36/H$12)</f>
        <v>0</v>
      </c>
      <c r="K36" s="4"/>
      <c r="L36" s="4">
        <f>+D36-H36</f>
        <v>0</v>
      </c>
      <c r="M36" s="4"/>
      <c r="N36" s="12">
        <f>IF(H36=0,0,L36/H36)</f>
        <v>0</v>
      </c>
      <c r="O36" s="10"/>
      <c r="P36" s="4">
        <f>SUM(0)</f>
        <v>0</v>
      </c>
      <c r="Q36" s="4"/>
      <c r="R36" s="12">
        <f>IF(P$12=0,0,P36/P$12)</f>
        <v>0</v>
      </c>
      <c r="S36" s="4"/>
      <c r="T36" s="4">
        <f>SUM(0)</f>
        <v>0</v>
      </c>
      <c r="U36" s="4"/>
      <c r="V36" s="12">
        <f>IF(T$12=0,0,T36/T$12)</f>
        <v>0</v>
      </c>
      <c r="W36" s="4"/>
      <c r="X36" s="4">
        <f>+P36-T36</f>
        <v>0</v>
      </c>
      <c r="Y36" s="4"/>
      <c r="Z36" s="12">
        <f>IF(T36=0,0,X36/T36)</f>
        <v>0</v>
      </c>
    </row>
    <row r="37" spans="1:26" x14ac:dyDescent="0.3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3">
      <c r="A38" s="10"/>
      <c r="B38" s="26" t="s">
        <v>276</v>
      </c>
      <c r="C38" s="26"/>
      <c r="D38" s="20">
        <f>+D16-D18+D36</f>
        <v>0</v>
      </c>
      <c r="E38" s="13"/>
      <c r="F38" s="21">
        <f>IF(D$12=0,0,D38/D$12)</f>
        <v>0</v>
      </c>
      <c r="G38" s="13"/>
      <c r="H38" s="20">
        <f>+H16-H18+H36</f>
        <v>0</v>
      </c>
      <c r="I38" s="13"/>
      <c r="J38" s="21">
        <f>IF(H$12=0,0,H38/H$12)</f>
        <v>0</v>
      </c>
      <c r="K38" s="15"/>
      <c r="L38" s="20">
        <f>+D38-H38</f>
        <v>0</v>
      </c>
      <c r="M38" s="15"/>
      <c r="N38" s="21">
        <f>IF(H38=0,0,L38/H38)</f>
        <v>0</v>
      </c>
      <c r="O38" s="25"/>
      <c r="P38" s="20">
        <f>+P16-P18+P36</f>
        <v>0</v>
      </c>
      <c r="Q38" s="13"/>
      <c r="R38" s="21">
        <f>IF(P$12=0,0,P38/P$12)</f>
        <v>0</v>
      </c>
      <c r="S38" s="13"/>
      <c r="T38" s="20">
        <f>+T16-T18+T36</f>
        <v>-0.37000000000004318</v>
      </c>
      <c r="U38" s="13"/>
      <c r="V38" s="21">
        <f>IF(T$12=0,0,T38/T$12)</f>
        <v>0</v>
      </c>
      <c r="W38" s="15"/>
      <c r="X38" s="20">
        <f>+P38-T38</f>
        <v>0.37000000000004318</v>
      </c>
      <c r="Y38" s="15"/>
      <c r="Z38" s="21">
        <f>IF(T38=0,0,X38/T38)</f>
        <v>-1</v>
      </c>
    </row>
    <row r="39" spans="1:26" x14ac:dyDescent="0.3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3">
      <c r="A40" s="51"/>
      <c r="B40" s="10" t="s">
        <v>127</v>
      </c>
      <c r="C40" s="10"/>
      <c r="D40" s="4"/>
      <c r="E40" s="4"/>
      <c r="F40" s="12">
        <f>IF(D$12=0,0,D40/D$12)</f>
        <v>0</v>
      </c>
      <c r="G40" s="4"/>
      <c r="H40" s="4"/>
      <c r="I40" s="4"/>
      <c r="J40" s="12">
        <f>IF(H$12=0,0,H40/H$12)</f>
        <v>0</v>
      </c>
      <c r="K40" s="4"/>
      <c r="L40" s="4">
        <f>+D40-H40</f>
        <v>0</v>
      </c>
      <c r="M40" s="4"/>
      <c r="N40" s="12">
        <f>IF(H40=0,0,L40/H40)</f>
        <v>0</v>
      </c>
      <c r="O40" s="10"/>
      <c r="P40" s="4"/>
      <c r="Q40" s="4"/>
      <c r="R40" s="12">
        <f>IF(P$12=0,0,P40/P$12)</f>
        <v>0</v>
      </c>
      <c r="S40" s="4"/>
      <c r="T40" s="4"/>
      <c r="U40" s="4"/>
      <c r="V40" s="12">
        <f>IF(T$12=0,0,T40/T$12)</f>
        <v>0</v>
      </c>
      <c r="W40" s="4"/>
      <c r="X40" s="4">
        <f>+P40-T40</f>
        <v>0</v>
      </c>
      <c r="Y40" s="4"/>
      <c r="Z40" s="12">
        <f>IF(T40=0,0,X40/T40)</f>
        <v>0</v>
      </c>
    </row>
    <row r="41" spans="1:26" x14ac:dyDescent="0.3">
      <c r="A41" s="9"/>
      <c r="B41" s="10"/>
      <c r="C41" s="10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O41" s="10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ht="15" thickBot="1" x14ac:dyDescent="0.35">
      <c r="A42" s="10"/>
      <c r="B42" s="26" t="s">
        <v>125</v>
      </c>
      <c r="C42" s="26"/>
      <c r="D42" s="32">
        <f>+D38-D40</f>
        <v>0</v>
      </c>
      <c r="E42" s="13"/>
      <c r="F42" s="35">
        <f>IF(D$12=0,0,D42/D$12)</f>
        <v>0</v>
      </c>
      <c r="G42" s="13"/>
      <c r="H42" s="32">
        <f>+H38-H40</f>
        <v>0</v>
      </c>
      <c r="I42" s="13"/>
      <c r="J42" s="35">
        <f>IF(H$12=0,0,H42/H$12)</f>
        <v>0</v>
      </c>
      <c r="K42" s="15"/>
      <c r="L42" s="32">
        <f>D42-H42</f>
        <v>0</v>
      </c>
      <c r="M42" s="15"/>
      <c r="N42" s="35">
        <f>IF(H42=0,0,L42/H42)</f>
        <v>0</v>
      </c>
      <c r="O42" s="25"/>
      <c r="P42" s="32">
        <f>+P38-P40</f>
        <v>0</v>
      </c>
      <c r="Q42" s="13"/>
      <c r="R42" s="35">
        <f>IF(P$12=0,0,P42/P$12)</f>
        <v>0</v>
      </c>
      <c r="S42" s="13"/>
      <c r="T42" s="32">
        <f>+T38-T40</f>
        <v>-0.37000000000004318</v>
      </c>
      <c r="U42" s="13"/>
      <c r="V42" s="35">
        <f>IF(T$12=0,0,T42/T$12)</f>
        <v>0</v>
      </c>
      <c r="W42" s="15"/>
      <c r="X42" s="32">
        <f>P42-T42</f>
        <v>0.37000000000004318</v>
      </c>
      <c r="Y42" s="15"/>
      <c r="Z42" s="35">
        <f>IF(T42=0,0,X42/T42)</f>
        <v>-1</v>
      </c>
    </row>
    <row r="43" spans="1:26" ht="15" thickTop="1" x14ac:dyDescent="0.3">
      <c r="A43" s="9"/>
      <c r="B43" s="9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x14ac:dyDescent="0.3">
      <c r="A44" s="9"/>
      <c r="B44" s="9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ht="15" thickBot="1" x14ac:dyDescent="0.35">
      <c r="A45" s="10"/>
      <c r="B45" s="26" t="s">
        <v>293</v>
      </c>
      <c r="C45" s="26"/>
      <c r="D45" s="31">
        <f>SUM(D42:D44)</f>
        <v>0</v>
      </c>
      <c r="E45" s="13"/>
      <c r="F45" s="33">
        <f>IF(D$12=0,0,D45/D$12)</f>
        <v>0</v>
      </c>
      <c r="G45" s="13"/>
      <c r="H45" s="31">
        <f>SUM(H42:H44)</f>
        <v>0</v>
      </c>
      <c r="I45" s="13"/>
      <c r="J45" s="33">
        <f>IF(H$12=0,0,H45/H$12)</f>
        <v>0</v>
      </c>
      <c r="K45" s="15"/>
      <c r="L45" s="31">
        <f>+D45-H45</f>
        <v>0</v>
      </c>
      <c r="M45" s="15"/>
      <c r="N45" s="33">
        <f>IF(H45=0,0,L45/H45)</f>
        <v>0</v>
      </c>
      <c r="O45" s="25"/>
      <c r="P45" s="31">
        <f>SUM(P42:P44)</f>
        <v>0</v>
      </c>
      <c r="Q45" s="13"/>
      <c r="R45" s="33">
        <f>IF(P$12=0,0,P45/P$12)</f>
        <v>0</v>
      </c>
      <c r="S45" s="13"/>
      <c r="T45" s="31">
        <f>SUM(T42:T44)</f>
        <v>-0.37000000000004318</v>
      </c>
      <c r="U45" s="13"/>
      <c r="V45" s="33">
        <f>IF(T$12=0,0,T45/T$12)</f>
        <v>0</v>
      </c>
      <c r="W45" s="15"/>
      <c r="X45" s="31">
        <f>+P45-T45</f>
        <v>0.37000000000004318</v>
      </c>
      <c r="Y45" s="15"/>
      <c r="Z45" s="33">
        <f>IF(T45=0,0,X45/T45)</f>
        <v>-1</v>
      </c>
    </row>
    <row r="46" spans="1:26" ht="15" thickTop="1" x14ac:dyDescent="0.3">
      <c r="A46" s="9"/>
      <c r="C46" s="9"/>
      <c r="D46" s="17"/>
      <c r="E46" s="17"/>
      <c r="G46" s="17"/>
      <c r="H46" s="17"/>
      <c r="I46" s="17"/>
      <c r="J46" s="43"/>
      <c r="K46" s="17"/>
      <c r="L46" s="17"/>
      <c r="M46" s="17"/>
      <c r="P46" s="17"/>
      <c r="Q46" s="17"/>
      <c r="R46" s="43"/>
      <c r="S46" s="17"/>
      <c r="T46" s="17"/>
      <c r="U46" s="17"/>
      <c r="V46" s="43"/>
      <c r="W46" s="17"/>
      <c r="X46" s="17"/>
    </row>
    <row r="47" spans="1:26" x14ac:dyDescent="0.3">
      <c r="A47" s="9"/>
      <c r="B47" s="60">
        <v>44575.854680405093</v>
      </c>
      <c r="D47" s="17"/>
      <c r="E47" s="17"/>
      <c r="G47" s="17"/>
      <c r="H47" s="17"/>
      <c r="I47" s="17"/>
      <c r="J47" s="43"/>
      <c r="K47" s="17"/>
      <c r="L47" s="17"/>
      <c r="M47" s="17"/>
      <c r="P47" s="17"/>
      <c r="Q47" s="17"/>
      <c r="R47" s="43"/>
      <c r="S47" s="17"/>
      <c r="T47" s="17"/>
      <c r="U47" s="17"/>
      <c r="V47" s="43"/>
      <c r="W47" s="17"/>
      <c r="X47" s="17"/>
    </row>
    <row r="48" spans="1:26" x14ac:dyDescent="0.3">
      <c r="A48" s="9"/>
      <c r="B48" s="57" t="s">
        <v>56</v>
      </c>
      <c r="D48" s="17"/>
      <c r="E48" s="17"/>
      <c r="G48" s="17"/>
      <c r="H48" s="17"/>
      <c r="I48" s="17"/>
      <c r="J48" s="43"/>
      <c r="K48" s="17"/>
      <c r="L48" s="17"/>
      <c r="M48" s="17"/>
      <c r="P48" s="17"/>
      <c r="Q48" s="17"/>
      <c r="R48" s="43"/>
      <c r="S48" s="17"/>
      <c r="T48" s="17"/>
      <c r="U48" s="17"/>
      <c r="V48" s="43"/>
      <c r="W48" s="17"/>
      <c r="X48" s="17"/>
    </row>
    <row r="49" spans="1:24" x14ac:dyDescent="0.3">
      <c r="A49" s="9"/>
      <c r="B49" s="59"/>
      <c r="D49" s="17"/>
      <c r="E49" s="17"/>
      <c r="G49" s="17"/>
      <c r="H49" s="17"/>
      <c r="I49" s="17"/>
      <c r="J49" s="43"/>
      <c r="K49" s="17"/>
      <c r="L49" s="17"/>
      <c r="M49" s="17"/>
      <c r="P49" s="17"/>
      <c r="Q49" s="17"/>
      <c r="R49" s="43"/>
      <c r="S49" s="17"/>
      <c r="T49" s="17"/>
      <c r="U49" s="17"/>
      <c r="V49" s="43"/>
      <c r="W49" s="17"/>
      <c r="X49" s="17"/>
    </row>
    <row r="50" spans="1:24" x14ac:dyDescent="0.3">
      <c r="D50" s="17"/>
      <c r="E50" s="17"/>
      <c r="G50" s="17"/>
      <c r="H50" s="17"/>
      <c r="I50" s="17"/>
      <c r="J50" s="43"/>
      <c r="K50" s="17"/>
      <c r="L50" s="17"/>
      <c r="M50" s="17"/>
      <c r="P50" s="17"/>
      <c r="Q50" s="17"/>
      <c r="R50" s="43"/>
      <c r="S50" s="17"/>
      <c r="T50" s="17"/>
      <c r="U50" s="17"/>
      <c r="V50" s="43"/>
      <c r="W50" s="17"/>
      <c r="X50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outlinePr summaryBelow="0" summaryRight="0"/>
  </sheetPr>
  <dimension ref="A2:Z9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80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11601.25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28" si="0">+D12-H12</f>
        <v>11601.25</v>
      </c>
      <c r="M12" s="4"/>
      <c r="N12" s="12">
        <f t="shared" ref="N12:N28" si="1">IF(H12=0,0,L12/H12)</f>
        <v>0</v>
      </c>
      <c r="O12" s="10"/>
      <c r="P12" s="4">
        <f>SUM(OSRRefP13x_0)</f>
        <v>93928.319999999978</v>
      </c>
      <c r="Q12" s="4"/>
      <c r="R12" s="12"/>
      <c r="S12" s="4"/>
      <c r="T12" s="4">
        <f>SUM(OSRRefT13x_0)</f>
        <v>21311.919999999998</v>
      </c>
      <c r="U12" s="4"/>
      <c r="V12" s="12"/>
      <c r="W12" s="4"/>
      <c r="X12" s="4">
        <f t="shared" ref="X12:X28" si="2">+P12-T12</f>
        <v>72616.39999999998</v>
      </c>
      <c r="Y12" s="4"/>
      <c r="Z12" s="12">
        <f t="shared" ref="Z12:Z28" si="3">IF(T12=0,0,X12/T12)</f>
        <v>3.4073138412681723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--8671.83</f>
        <v>8671.83</v>
      </c>
      <c r="E13" s="2"/>
      <c r="F13" s="19"/>
      <c r="G13" s="2"/>
      <c r="H13" s="2">
        <f t="shared" ref="H13:H28" si="4">0</f>
        <v>0</v>
      </c>
      <c r="I13" s="2"/>
      <c r="J13" s="19"/>
      <c r="K13" s="2"/>
      <c r="L13" s="2">
        <f t="shared" si="0"/>
        <v>8671.83</v>
      </c>
      <c r="M13" s="2"/>
      <c r="N13" s="19">
        <f t="shared" si="1"/>
        <v>0</v>
      </c>
      <c r="O13" s="11"/>
      <c r="P13" s="2">
        <f>--69743.31</f>
        <v>69743.31</v>
      </c>
      <c r="Q13" s="2"/>
      <c r="R13" s="19"/>
      <c r="S13" s="2"/>
      <c r="T13" s="2">
        <f>-1096.44</f>
        <v>-1096.44</v>
      </c>
      <c r="U13" s="2"/>
      <c r="V13" s="19"/>
      <c r="W13" s="2"/>
      <c r="X13" s="2">
        <f t="shared" si="2"/>
        <v>70839.75</v>
      </c>
      <c r="Y13" s="2"/>
      <c r="Z13" s="19">
        <f t="shared" si="3"/>
        <v>-64.608870526430991</v>
      </c>
    </row>
    <row r="14" spans="1:26" s="24" customFormat="1" hidden="1" outlineLevel="1" x14ac:dyDescent="0.3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19" si="5"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19" si="6">0</f>
        <v>0</v>
      </c>
      <c r="Q14" s="2"/>
      <c r="R14" s="19"/>
      <c r="S14" s="2"/>
      <c r="T14" s="2">
        <f>--17.51</f>
        <v>17.510000000000002</v>
      </c>
      <c r="U14" s="2"/>
      <c r="V14" s="19"/>
      <c r="W14" s="2"/>
      <c r="X14" s="2">
        <f t="shared" si="2"/>
        <v>-17.510000000000002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5"/>
        <v>0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>--7990.32</f>
        <v>7990.32</v>
      </c>
      <c r="U15" s="2"/>
      <c r="V15" s="19"/>
      <c r="W15" s="2"/>
      <c r="X15" s="2">
        <f t="shared" si="2"/>
        <v>-7990.32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5"/>
        <v>0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6"/>
        <v>0</v>
      </c>
      <c r="Q16" s="2"/>
      <c r="R16" s="19"/>
      <c r="S16" s="2"/>
      <c r="T16" s="2">
        <f>--12479.05</f>
        <v>12479.05</v>
      </c>
      <c r="U16" s="2"/>
      <c r="V16" s="19"/>
      <c r="W16" s="2"/>
      <c r="X16" s="2">
        <f t="shared" si="2"/>
        <v>-12479.05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5"/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6"/>
        <v>0</v>
      </c>
      <c r="Q17" s="2"/>
      <c r="R17" s="19"/>
      <c r="S17" s="2"/>
      <c r="T17" s="2">
        <f>--374.55</f>
        <v>374.55</v>
      </c>
      <c r="U17" s="2"/>
      <c r="V17" s="19"/>
      <c r="W17" s="2"/>
      <c r="X17" s="2">
        <f t="shared" si="2"/>
        <v>-374.55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5"/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6"/>
        <v>0</v>
      </c>
      <c r="Q18" s="2"/>
      <c r="R18" s="19"/>
      <c r="S18" s="2"/>
      <c r="T18" s="2">
        <f>--71.95</f>
        <v>71.95</v>
      </c>
      <c r="U18" s="2"/>
      <c r="V18" s="19"/>
      <c r="W18" s="2"/>
      <c r="X18" s="2">
        <f t="shared" si="2"/>
        <v>-71.95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5"/>
        <v>0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6"/>
        <v>0</v>
      </c>
      <c r="Q19" s="2"/>
      <c r="R19" s="19"/>
      <c r="S19" s="2"/>
      <c r="T19" s="2">
        <f>--9.99</f>
        <v>9.99</v>
      </c>
      <c r="U19" s="2"/>
      <c r="V19" s="19"/>
      <c r="W19" s="2"/>
      <c r="X19" s="2">
        <f t="shared" si="2"/>
        <v>-9.99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>--4265.13</f>
        <v>4265.13</v>
      </c>
      <c r="E20" s="2"/>
      <c r="F20" s="19"/>
      <c r="G20" s="2"/>
      <c r="H20" s="2">
        <f t="shared" si="4"/>
        <v>0</v>
      </c>
      <c r="I20" s="2"/>
      <c r="J20" s="19"/>
      <c r="K20" s="2"/>
      <c r="L20" s="2">
        <f t="shared" si="0"/>
        <v>4265.13</v>
      </c>
      <c r="M20" s="2"/>
      <c r="N20" s="19">
        <f t="shared" si="1"/>
        <v>0</v>
      </c>
      <c r="O20" s="11"/>
      <c r="P20" s="2">
        <f>--26802.96</f>
        <v>26802.959999999999</v>
      </c>
      <c r="Q20" s="2"/>
      <c r="R20" s="19"/>
      <c r="S20" s="2"/>
      <c r="T20" s="2">
        <f t="shared" ref="T20:T21" si="7">0</f>
        <v>0</v>
      </c>
      <c r="U20" s="2"/>
      <c r="V20" s="19"/>
      <c r="W20" s="2"/>
      <c r="X20" s="2">
        <f t="shared" si="2"/>
        <v>26802.959999999999</v>
      </c>
      <c r="Y20" s="2"/>
      <c r="Z20" s="19">
        <f t="shared" si="3"/>
        <v>0</v>
      </c>
    </row>
    <row r="21" spans="1:26" s="24" customFormat="1" hidden="1" outlineLevel="1" x14ac:dyDescent="0.3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 t="shared" ref="D21:D23" si="8">0</f>
        <v>0</v>
      </c>
      <c r="E21" s="2"/>
      <c r="F21" s="19"/>
      <c r="G21" s="2"/>
      <c r="H21" s="2">
        <f t="shared" si="4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ref="P21:P23" si="9">0</f>
        <v>0</v>
      </c>
      <c r="Q21" s="2"/>
      <c r="R21" s="19"/>
      <c r="S21" s="2"/>
      <c r="T21" s="2">
        <f t="shared" si="7"/>
        <v>0</v>
      </c>
      <c r="U21" s="2"/>
      <c r="V21" s="19"/>
      <c r="W21" s="2"/>
      <c r="X21" s="2">
        <f t="shared" si="2"/>
        <v>0</v>
      </c>
      <c r="Y21" s="2"/>
      <c r="Z21" s="19">
        <f t="shared" si="3"/>
        <v>0</v>
      </c>
    </row>
    <row r="22" spans="1:26" s="24" customFormat="1" hidden="1" outlineLevel="1" x14ac:dyDescent="0.3">
      <c r="A22" s="44"/>
      <c r="B22" s="11" t="str">
        <f>CONCATENATE("          ", "4131", " - ", "NON-TAXABLE SALES-FOOD")</f>
        <v xml:space="preserve">          4131 - NON-TAXABLE SALES-FOOD</v>
      </c>
      <c r="C22" s="11"/>
      <c r="D22" s="2">
        <f t="shared" si="8"/>
        <v>0</v>
      </c>
      <c r="E22" s="2"/>
      <c r="F22" s="19"/>
      <c r="G22" s="2"/>
      <c r="H22" s="2">
        <f t="shared" si="4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 t="shared" si="9"/>
        <v>0</v>
      </c>
      <c r="Q22" s="2"/>
      <c r="R22" s="19"/>
      <c r="S22" s="2"/>
      <c r="T22" s="2">
        <f>--1847.16</f>
        <v>1847.16</v>
      </c>
      <c r="U22" s="2"/>
      <c r="V22" s="19"/>
      <c r="W22" s="2"/>
      <c r="X22" s="2">
        <f t="shared" si="2"/>
        <v>-1847.16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"4133", " - ", "NON-TAXABLE SALES-CANDY")</f>
        <v xml:space="preserve">          4133 - NON-TAXABLE SALES-CANDY</v>
      </c>
      <c r="C23" s="11"/>
      <c r="D23" s="2">
        <f t="shared" si="8"/>
        <v>0</v>
      </c>
      <c r="E23" s="2"/>
      <c r="F23" s="19"/>
      <c r="G23" s="2"/>
      <c r="H23" s="2">
        <f t="shared" si="4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si="9"/>
        <v>0</v>
      </c>
      <c r="Q23" s="2"/>
      <c r="R23" s="19"/>
      <c r="S23" s="2"/>
      <c r="T23" s="2">
        <f t="shared" ref="T23:T25" si="10">0</f>
        <v>0</v>
      </c>
      <c r="U23" s="2"/>
      <c r="V23" s="19"/>
      <c r="W23" s="2"/>
      <c r="X23" s="2">
        <f t="shared" si="2"/>
        <v>0</v>
      </c>
      <c r="Y23" s="2"/>
      <c r="Z23" s="19">
        <f t="shared" si="3"/>
        <v>0</v>
      </c>
    </row>
    <row r="24" spans="1:26" s="24" customFormat="1" hidden="1" outlineLevel="1" x14ac:dyDescent="0.3">
      <c r="A24" s="44"/>
      <c r="B24" s="11" t="str">
        <f>CONCATENATE("          ", "4200", " - ", "TAXABLE RETURNS")</f>
        <v xml:space="preserve">          4200 - TAXABLE RETURNS</v>
      </c>
      <c r="C24" s="11"/>
      <c r="D24" s="2">
        <f>-53.97</f>
        <v>-53.97</v>
      </c>
      <c r="E24" s="2"/>
      <c r="F24" s="19"/>
      <c r="G24" s="2"/>
      <c r="H24" s="2">
        <f t="shared" si="4"/>
        <v>0</v>
      </c>
      <c r="I24" s="2"/>
      <c r="J24" s="19"/>
      <c r="K24" s="2"/>
      <c r="L24" s="2">
        <f t="shared" si="0"/>
        <v>-53.97</v>
      </c>
      <c r="M24" s="2"/>
      <c r="N24" s="19">
        <f t="shared" si="1"/>
        <v>0</v>
      </c>
      <c r="O24" s="11"/>
      <c r="P24" s="2">
        <f>-1026.49</f>
        <v>-1026.49</v>
      </c>
      <c r="Q24" s="2"/>
      <c r="R24" s="19"/>
      <c r="S24" s="2"/>
      <c r="T24" s="2">
        <f t="shared" si="10"/>
        <v>0</v>
      </c>
      <c r="U24" s="2"/>
      <c r="V24" s="19"/>
      <c r="W24" s="2"/>
      <c r="X24" s="2">
        <f t="shared" si="2"/>
        <v>-1026.49</v>
      </c>
      <c r="Y24" s="2"/>
      <c r="Z24" s="19">
        <f t="shared" si="3"/>
        <v>0</v>
      </c>
    </row>
    <row r="25" spans="1:26" s="24" customFormat="1" hidden="1" outlineLevel="1" x14ac:dyDescent="0.3">
      <c r="A25" s="44"/>
      <c r="B25" s="11" t="str">
        <f>CONCATENATE("          ", "4226", " - ", "SALES RETURN TAXABLE-WRITING I")</f>
        <v xml:space="preserve">          4226 - SALES RETURN TAXABLE-WRITING I</v>
      </c>
      <c r="C25" s="11"/>
      <c r="D25" s="2">
        <f t="shared" ref="D25:D27" si="11">0</f>
        <v>0</v>
      </c>
      <c r="E25" s="2"/>
      <c r="F25" s="19"/>
      <c r="G25" s="2"/>
      <c r="H25" s="2">
        <f t="shared" si="4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ref="P25:P27" si="12">0</f>
        <v>0</v>
      </c>
      <c r="Q25" s="2"/>
      <c r="R25" s="19"/>
      <c r="S25" s="2"/>
      <c r="T25" s="2">
        <f t="shared" si="10"/>
        <v>0</v>
      </c>
      <c r="U25" s="2"/>
      <c r="V25" s="19"/>
      <c r="W25" s="2"/>
      <c r="X25" s="2">
        <f t="shared" si="2"/>
        <v>0</v>
      </c>
      <c r="Y25" s="2"/>
      <c r="Z25" s="19">
        <f t="shared" si="3"/>
        <v>0</v>
      </c>
    </row>
    <row r="26" spans="1:26" s="24" customFormat="1" hidden="1" outlineLevel="1" x14ac:dyDescent="0.3">
      <c r="A26" s="44"/>
      <c r="B26" s="11" t="str">
        <f>CONCATENATE("          ", "4227", " - ", "SALES RETURN TAXABLE-SCHOOL SU")</f>
        <v xml:space="preserve">          4227 - SALES RETURN TAXABLE-SCHOOL SU</v>
      </c>
      <c r="C26" s="11"/>
      <c r="D26" s="2">
        <f t="shared" si="11"/>
        <v>0</v>
      </c>
      <c r="E26" s="2"/>
      <c r="F26" s="19"/>
      <c r="G26" s="2"/>
      <c r="H26" s="2">
        <f t="shared" si="4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12"/>
        <v>0</v>
      </c>
      <c r="Q26" s="2"/>
      <c r="R26" s="19"/>
      <c r="S26" s="2"/>
      <c r="T26" s="2">
        <f>-159.97</f>
        <v>-159.97</v>
      </c>
      <c r="U26" s="2"/>
      <c r="V26" s="19"/>
      <c r="W26" s="2"/>
      <c r="X26" s="2">
        <f t="shared" si="2"/>
        <v>159.97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"4228", " - ", "SALES RETURN TAXABLE-ART/TECH")</f>
        <v xml:space="preserve">          4228 - SALES RETURN TAXABLE-ART/TECH</v>
      </c>
      <c r="C27" s="11"/>
      <c r="D27" s="2">
        <f t="shared" si="11"/>
        <v>0</v>
      </c>
      <c r="E27" s="2"/>
      <c r="F27" s="19"/>
      <c r="G27" s="2"/>
      <c r="H27" s="2">
        <f t="shared" si="4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12"/>
        <v>0</v>
      </c>
      <c r="Q27" s="2"/>
      <c r="R27" s="19"/>
      <c r="S27" s="2"/>
      <c r="T27" s="2">
        <f>-222.2</f>
        <v>-222.2</v>
      </c>
      <c r="U27" s="2"/>
      <c r="V27" s="19"/>
      <c r="W27" s="2"/>
      <c r="X27" s="2">
        <f t="shared" si="2"/>
        <v>222.2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"4500", " - ", "SALES DISCOUNT")</f>
        <v xml:space="preserve">          4500 - SALES DISCOUNT</v>
      </c>
      <c r="C28" s="11"/>
      <c r="D28" s="2">
        <f>-1281.74</f>
        <v>-1281.74</v>
      </c>
      <c r="E28" s="2"/>
      <c r="F28" s="19"/>
      <c r="G28" s="2"/>
      <c r="H28" s="2">
        <f t="shared" si="4"/>
        <v>0</v>
      </c>
      <c r="I28" s="2"/>
      <c r="J28" s="19"/>
      <c r="K28" s="2"/>
      <c r="L28" s="2">
        <f t="shared" si="0"/>
        <v>-1281.74</v>
      </c>
      <c r="M28" s="2"/>
      <c r="N28" s="19">
        <f t="shared" si="1"/>
        <v>0</v>
      </c>
      <c r="O28" s="11"/>
      <c r="P28" s="2">
        <f>-1591.46</f>
        <v>-1591.46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-1591.46</v>
      </c>
      <c r="Y28" s="2"/>
      <c r="Z28" s="19">
        <f t="shared" si="3"/>
        <v>0</v>
      </c>
    </row>
    <row r="29" spans="1:26" x14ac:dyDescent="0.3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collapsed="1" x14ac:dyDescent="0.3">
      <c r="A30" s="10"/>
      <c r="B30" s="25" t="s">
        <v>256</v>
      </c>
      <c r="C30" s="10"/>
      <c r="D30" s="4">
        <f>SUM(OSRRefD16x_0)</f>
        <v>7098.52</v>
      </c>
      <c r="E30" s="4"/>
      <c r="F30" s="12">
        <f t="shared" ref="F30:F40" si="13">IF(D$12=0,0,D30/D$12)</f>
        <v>0.6118754444564164</v>
      </c>
      <c r="G30" s="4"/>
      <c r="H30" s="4">
        <f>SUM(OSRRefH16x_0)</f>
        <v>-488.92</v>
      </c>
      <c r="I30" s="4"/>
      <c r="J30" s="12">
        <f t="shared" ref="J30:J40" si="14">IF(H$12=0,0,H30/H$12)</f>
        <v>0</v>
      </c>
      <c r="K30" s="4"/>
      <c r="L30" s="4">
        <f t="shared" ref="L30:L40" si="15">+D30-H30</f>
        <v>7587.4400000000005</v>
      </c>
      <c r="M30" s="4"/>
      <c r="N30" s="12">
        <f t="shared" ref="N30:N40" si="16">IF(H30=0,0,L30/H30)</f>
        <v>-15.518776077885953</v>
      </c>
      <c r="O30" s="10"/>
      <c r="P30" s="4">
        <f>SUM(OSRRefP16x_0)</f>
        <v>53591.54</v>
      </c>
      <c r="Q30" s="4"/>
      <c r="R30" s="12">
        <f t="shared" ref="R30:R40" si="17">IF(P$12=0,0,P30/P$12)</f>
        <v>0.57055784666435017</v>
      </c>
      <c r="S30" s="4"/>
      <c r="T30" s="4">
        <f>SUM(OSRRefT16x_0)</f>
        <v>13711.739999999994</v>
      </c>
      <c r="U30" s="4"/>
      <c r="V30" s="12">
        <f t="shared" ref="V30:V40" si="18">IF(T$12=0,0,T30/T$12)</f>
        <v>0.64338360879733014</v>
      </c>
      <c r="W30" s="4"/>
      <c r="X30" s="4">
        <f t="shared" ref="X30:X40" si="19">+P30-T30</f>
        <v>39879.800000000003</v>
      </c>
      <c r="Y30" s="4"/>
      <c r="Z30" s="12">
        <f t="shared" ref="Z30:Z40" si="20">IF(T30=0,0,X30/T30)</f>
        <v>2.908441962872693</v>
      </c>
    </row>
    <row r="31" spans="1:26" s="24" customFormat="1" hidden="1" outlineLevel="1" x14ac:dyDescent="0.3">
      <c r="A31" s="44"/>
      <c r="B31" s="11" t="str">
        <f>CONCATENATE("          ", "5000", " - ", "PURCHASES @ COST")</f>
        <v xml:space="preserve">          5000 - PURCHASES @ COST</v>
      </c>
      <c r="C31" s="11"/>
      <c r="D31" s="2">
        <v>9742.81</v>
      </c>
      <c r="E31" s="2"/>
      <c r="F31" s="19">
        <f t="shared" si="13"/>
        <v>0.83980691735804325</v>
      </c>
      <c r="G31" s="2"/>
      <c r="H31" s="2"/>
      <c r="I31" s="2"/>
      <c r="J31" s="19">
        <f t="shared" si="14"/>
        <v>0</v>
      </c>
      <c r="K31" s="2"/>
      <c r="L31" s="2">
        <f t="shared" si="15"/>
        <v>9742.81</v>
      </c>
      <c r="M31" s="2"/>
      <c r="N31" s="19">
        <f t="shared" si="16"/>
        <v>0</v>
      </c>
      <c r="O31" s="11"/>
      <c r="P31" s="2">
        <v>82267.97</v>
      </c>
      <c r="Q31" s="2"/>
      <c r="R31" s="19">
        <f t="shared" si="17"/>
        <v>0.87585905933375596</v>
      </c>
      <c r="S31" s="2"/>
      <c r="T31" s="2"/>
      <c r="U31" s="2"/>
      <c r="V31" s="19">
        <f t="shared" si="18"/>
        <v>0</v>
      </c>
      <c r="W31" s="2"/>
      <c r="X31" s="2">
        <f t="shared" si="19"/>
        <v>82267.97</v>
      </c>
      <c r="Y31" s="2"/>
      <c r="Z31" s="19">
        <f t="shared" si="20"/>
        <v>0</v>
      </c>
    </row>
    <row r="32" spans="1:26" s="24" customFormat="1" hidden="1" outlineLevel="1" x14ac:dyDescent="0.3">
      <c r="A32" s="44"/>
      <c r="B32" s="11" t="str">
        <f>CONCATENATE("          ", "5026", " - ", "PURCHASES @ COST-WRITING INSTR")</f>
        <v xml:space="preserve">          5026 - PURCHASES @ COST-WRITING INSTR</v>
      </c>
      <c r="C32" s="11"/>
      <c r="D32" s="2"/>
      <c r="E32" s="2"/>
      <c r="F32" s="19">
        <f t="shared" si="13"/>
        <v>0</v>
      </c>
      <c r="G32" s="2"/>
      <c r="H32" s="2">
        <v>-5.1100000000000003</v>
      </c>
      <c r="I32" s="2"/>
      <c r="J32" s="19">
        <f t="shared" si="14"/>
        <v>0</v>
      </c>
      <c r="K32" s="2"/>
      <c r="L32" s="2">
        <f t="shared" si="15"/>
        <v>5.1100000000000003</v>
      </c>
      <c r="M32" s="2"/>
      <c r="N32" s="19">
        <f t="shared" si="16"/>
        <v>-1</v>
      </c>
      <c r="O32" s="11"/>
      <c r="P32" s="2">
        <v>0</v>
      </c>
      <c r="Q32" s="2"/>
      <c r="R32" s="19">
        <f t="shared" si="17"/>
        <v>0</v>
      </c>
      <c r="S32" s="2"/>
      <c r="T32" s="2">
        <v>364.91</v>
      </c>
      <c r="U32" s="2"/>
      <c r="V32" s="19">
        <f t="shared" si="18"/>
        <v>1.7122342801587094E-2</v>
      </c>
      <c r="W32" s="2"/>
      <c r="X32" s="2">
        <f t="shared" si="19"/>
        <v>-364.91</v>
      </c>
      <c r="Y32" s="2"/>
      <c r="Z32" s="19">
        <f t="shared" si="20"/>
        <v>-1</v>
      </c>
    </row>
    <row r="33" spans="1:26" s="24" customFormat="1" hidden="1" outlineLevel="1" x14ac:dyDescent="0.3">
      <c r="A33" s="44"/>
      <c r="B33" s="11" t="str">
        <f>CONCATENATE("          ", "5027", " - ", "PURCHASES @ COST-SCHOOL SUPPLI")</f>
        <v xml:space="preserve">          5027 - PURCHASES @ COST-SCHOOL SUPPLI</v>
      </c>
      <c r="C33" s="11"/>
      <c r="D33" s="2"/>
      <c r="E33" s="2"/>
      <c r="F33" s="19">
        <f t="shared" si="13"/>
        <v>0</v>
      </c>
      <c r="G33" s="2"/>
      <c r="H33" s="2"/>
      <c r="I33" s="2"/>
      <c r="J33" s="19">
        <f t="shared" si="14"/>
        <v>0</v>
      </c>
      <c r="K33" s="2"/>
      <c r="L33" s="2">
        <f t="shared" si="15"/>
        <v>0</v>
      </c>
      <c r="M33" s="2"/>
      <c r="N33" s="19">
        <f t="shared" si="16"/>
        <v>0</v>
      </c>
      <c r="O33" s="11"/>
      <c r="P33" s="2">
        <v>0</v>
      </c>
      <c r="Q33" s="2"/>
      <c r="R33" s="19">
        <f t="shared" si="17"/>
        <v>0</v>
      </c>
      <c r="S33" s="2"/>
      <c r="T33" s="2">
        <v>895.47</v>
      </c>
      <c r="U33" s="2"/>
      <c r="V33" s="19">
        <f t="shared" si="18"/>
        <v>4.201733114613794E-2</v>
      </c>
      <c r="W33" s="2"/>
      <c r="X33" s="2">
        <f t="shared" si="19"/>
        <v>-895.47</v>
      </c>
      <c r="Y33" s="2"/>
      <c r="Z33" s="19">
        <f t="shared" si="20"/>
        <v>-1</v>
      </c>
    </row>
    <row r="34" spans="1:26" s="24" customFormat="1" hidden="1" outlineLevel="1" x14ac:dyDescent="0.3">
      <c r="A34" s="44"/>
      <c r="B34" s="11" t="str">
        <f>CONCATENATE("          ", "5028", " - ", "PURCHASES @ COST-ART/TECH")</f>
        <v xml:space="preserve">          5028 - PURCHASES @ COST-ART/TECH</v>
      </c>
      <c r="C34" s="11"/>
      <c r="D34" s="2"/>
      <c r="E34" s="2"/>
      <c r="F34" s="19">
        <f t="shared" si="13"/>
        <v>0</v>
      </c>
      <c r="G34" s="2"/>
      <c r="H34" s="2"/>
      <c r="I34" s="2"/>
      <c r="J34" s="19">
        <f t="shared" si="14"/>
        <v>0</v>
      </c>
      <c r="K34" s="2"/>
      <c r="L34" s="2">
        <f t="shared" si="15"/>
        <v>0</v>
      </c>
      <c r="M34" s="2"/>
      <c r="N34" s="19">
        <f t="shared" si="16"/>
        <v>0</v>
      </c>
      <c r="O34" s="11"/>
      <c r="P34" s="2">
        <v>0</v>
      </c>
      <c r="Q34" s="2"/>
      <c r="R34" s="19">
        <f t="shared" si="17"/>
        <v>0</v>
      </c>
      <c r="S34" s="2"/>
      <c r="T34" s="2">
        <v>41441.85</v>
      </c>
      <c r="U34" s="2"/>
      <c r="V34" s="19">
        <f t="shared" si="18"/>
        <v>1.9445385493188789</v>
      </c>
      <c r="W34" s="2"/>
      <c r="X34" s="2">
        <f t="shared" si="19"/>
        <v>-41441.85</v>
      </c>
      <c r="Y34" s="2"/>
      <c r="Z34" s="19">
        <f t="shared" si="20"/>
        <v>-1</v>
      </c>
    </row>
    <row r="35" spans="1:26" s="24" customFormat="1" hidden="1" outlineLevel="1" x14ac:dyDescent="0.3">
      <c r="A35" s="44"/>
      <c r="B35" s="11" t="str">
        <f>CONCATENATE("          ", "5031", " - ", "PURCHASES @ COST-FOOD")</f>
        <v xml:space="preserve">          5031 - PURCHASES @ COST-FOOD</v>
      </c>
      <c r="C35" s="11"/>
      <c r="D35" s="2"/>
      <c r="E35" s="2"/>
      <c r="F35" s="19">
        <f t="shared" si="13"/>
        <v>0</v>
      </c>
      <c r="G35" s="2"/>
      <c r="H35" s="2">
        <v>-488.1</v>
      </c>
      <c r="I35" s="2"/>
      <c r="J35" s="19">
        <f t="shared" si="14"/>
        <v>0</v>
      </c>
      <c r="K35" s="2"/>
      <c r="L35" s="2">
        <f t="shared" si="15"/>
        <v>488.1</v>
      </c>
      <c r="M35" s="2"/>
      <c r="N35" s="19">
        <f t="shared" si="16"/>
        <v>-1</v>
      </c>
      <c r="O35" s="11"/>
      <c r="P35" s="2">
        <v>0</v>
      </c>
      <c r="Q35" s="2"/>
      <c r="R35" s="19">
        <f t="shared" si="17"/>
        <v>0</v>
      </c>
      <c r="S35" s="2"/>
      <c r="T35" s="2">
        <v>2441.5700000000002</v>
      </c>
      <c r="U35" s="2"/>
      <c r="V35" s="19">
        <f t="shared" si="18"/>
        <v>0.11456358695040149</v>
      </c>
      <c r="W35" s="2"/>
      <c r="X35" s="2">
        <f t="shared" si="19"/>
        <v>-2441.5700000000002</v>
      </c>
      <c r="Y35" s="2"/>
      <c r="Z35" s="19">
        <f t="shared" si="20"/>
        <v>-1</v>
      </c>
    </row>
    <row r="36" spans="1:26" s="24" customFormat="1" hidden="1" outlineLevel="1" x14ac:dyDescent="0.3">
      <c r="A36" s="44"/>
      <c r="B36" s="11" t="str">
        <f>CONCATENATE("          ", "5042", " - ", "PURCHASES @ COST-EVERYDAY GIFT")</f>
        <v xml:space="preserve">          5042 - PURCHASES @ COST-EVERYDAY GIFT</v>
      </c>
      <c r="C36" s="11"/>
      <c r="D36" s="2"/>
      <c r="E36" s="2"/>
      <c r="F36" s="19">
        <f t="shared" si="13"/>
        <v>0</v>
      </c>
      <c r="G36" s="2"/>
      <c r="H36" s="2"/>
      <c r="I36" s="2"/>
      <c r="J36" s="19">
        <f t="shared" si="14"/>
        <v>0</v>
      </c>
      <c r="K36" s="2"/>
      <c r="L36" s="2">
        <f t="shared" si="15"/>
        <v>0</v>
      </c>
      <c r="M36" s="2"/>
      <c r="N36" s="19">
        <f t="shared" si="16"/>
        <v>0</v>
      </c>
      <c r="O36" s="11"/>
      <c r="P36" s="2">
        <v>0</v>
      </c>
      <c r="Q36" s="2"/>
      <c r="R36" s="19">
        <f t="shared" si="17"/>
        <v>0</v>
      </c>
      <c r="S36" s="2"/>
      <c r="T36" s="2"/>
      <c r="U36" s="2"/>
      <c r="V36" s="19">
        <f t="shared" si="18"/>
        <v>0</v>
      </c>
      <c r="W36" s="2"/>
      <c r="X36" s="2">
        <f t="shared" si="19"/>
        <v>0</v>
      </c>
      <c r="Y36" s="2"/>
      <c r="Z36" s="19">
        <f t="shared" si="20"/>
        <v>0</v>
      </c>
    </row>
    <row r="37" spans="1:26" s="24" customFormat="1" hidden="1" outlineLevel="1" x14ac:dyDescent="0.3">
      <c r="A37" s="44"/>
      <c r="B37" s="11" t="str">
        <f>CONCATENATE("          ", "5200", " - ", "PURCHASES OFFSET")</f>
        <v xml:space="preserve">          5200 - PURCHASES OFFSET</v>
      </c>
      <c r="C37" s="11"/>
      <c r="D37" s="2">
        <v>-9920.89</v>
      </c>
      <c r="E37" s="2"/>
      <c r="F37" s="19">
        <f t="shared" si="13"/>
        <v>-0.8551569873935998</v>
      </c>
      <c r="G37" s="2"/>
      <c r="H37" s="2"/>
      <c r="I37" s="2"/>
      <c r="J37" s="19">
        <f t="shared" si="14"/>
        <v>0</v>
      </c>
      <c r="K37" s="2"/>
      <c r="L37" s="2">
        <f t="shared" si="15"/>
        <v>-9920.89</v>
      </c>
      <c r="M37" s="2"/>
      <c r="N37" s="19">
        <f t="shared" si="16"/>
        <v>0</v>
      </c>
      <c r="O37" s="11"/>
      <c r="P37" s="2">
        <v>-83257.440000000002</v>
      </c>
      <c r="Q37" s="2"/>
      <c r="R37" s="19">
        <f t="shared" si="17"/>
        <v>-0.88639336890088127</v>
      </c>
      <c r="S37" s="2"/>
      <c r="T37" s="2">
        <v>-45863.33</v>
      </c>
      <c r="U37" s="2"/>
      <c r="V37" s="19">
        <f t="shared" si="18"/>
        <v>-2.1520036674311842</v>
      </c>
      <c r="W37" s="2"/>
      <c r="X37" s="2">
        <f t="shared" si="19"/>
        <v>-37394.11</v>
      </c>
      <c r="Y37" s="2"/>
      <c r="Z37" s="19">
        <f t="shared" si="20"/>
        <v>0.81533787450671369</v>
      </c>
    </row>
    <row r="38" spans="1:26" s="24" customFormat="1" hidden="1" outlineLevel="1" x14ac:dyDescent="0.3">
      <c r="A38" s="44"/>
      <c r="B38" s="11" t="str">
        <f>CONCATENATE("          ", "5300", " - ", "COG$ OFFSET")</f>
        <v xml:space="preserve">          5300 - COG$ OFFSET</v>
      </c>
      <c r="C38" s="11"/>
      <c r="D38" s="2">
        <v>7098.52</v>
      </c>
      <c r="E38" s="2"/>
      <c r="F38" s="19">
        <f t="shared" si="13"/>
        <v>0.6118754444564164</v>
      </c>
      <c r="G38" s="2"/>
      <c r="H38" s="2"/>
      <c r="I38" s="2"/>
      <c r="J38" s="19">
        <f t="shared" si="14"/>
        <v>0</v>
      </c>
      <c r="K38" s="2"/>
      <c r="L38" s="2">
        <f t="shared" si="15"/>
        <v>7098.52</v>
      </c>
      <c r="M38" s="2"/>
      <c r="N38" s="19">
        <f t="shared" si="16"/>
        <v>0</v>
      </c>
      <c r="O38" s="11"/>
      <c r="P38" s="2">
        <v>53591.54</v>
      </c>
      <c r="Q38" s="2"/>
      <c r="R38" s="19">
        <f t="shared" si="17"/>
        <v>0.57055784666435017</v>
      </c>
      <c r="S38" s="2"/>
      <c r="T38" s="2">
        <v>14145</v>
      </c>
      <c r="U38" s="2"/>
      <c r="V38" s="19">
        <f t="shared" si="18"/>
        <v>0.66371307700103988</v>
      </c>
      <c r="W38" s="2"/>
      <c r="X38" s="2">
        <f t="shared" si="19"/>
        <v>39446.54</v>
      </c>
      <c r="Y38" s="2"/>
      <c r="Z38" s="19">
        <f t="shared" si="20"/>
        <v>2.7887267585719338</v>
      </c>
    </row>
    <row r="39" spans="1:26" s="24" customFormat="1" hidden="1" outlineLevel="1" x14ac:dyDescent="0.3">
      <c r="A39" s="44"/>
      <c r="B39" s="11" t="str">
        <f>CONCATENATE("          ", "5500", " - ", "FREIGHT-IN")</f>
        <v xml:space="preserve">          5500 - FREIGHT-IN</v>
      </c>
      <c r="C39" s="11"/>
      <c r="D39" s="2">
        <v>178.08</v>
      </c>
      <c r="E39" s="2"/>
      <c r="F39" s="19">
        <f t="shared" si="13"/>
        <v>1.5350070035556515E-2</v>
      </c>
      <c r="G39" s="2"/>
      <c r="H39" s="2"/>
      <c r="I39" s="2"/>
      <c r="J39" s="19">
        <f t="shared" si="14"/>
        <v>0</v>
      </c>
      <c r="K39" s="2"/>
      <c r="L39" s="2">
        <f t="shared" si="15"/>
        <v>178.08</v>
      </c>
      <c r="M39" s="2"/>
      <c r="N39" s="19">
        <f t="shared" si="16"/>
        <v>0</v>
      </c>
      <c r="O39" s="11"/>
      <c r="P39" s="2">
        <v>989.47</v>
      </c>
      <c r="Q39" s="2"/>
      <c r="R39" s="19">
        <f t="shared" si="17"/>
        <v>1.0534309567125233E-2</v>
      </c>
      <c r="S39" s="2"/>
      <c r="T39" s="2"/>
      <c r="U39" s="2"/>
      <c r="V39" s="19">
        <f t="shared" si="18"/>
        <v>0</v>
      </c>
      <c r="W39" s="2"/>
      <c r="X39" s="2">
        <f t="shared" si="19"/>
        <v>989.47</v>
      </c>
      <c r="Y39" s="2"/>
      <c r="Z39" s="19">
        <f t="shared" si="20"/>
        <v>0</v>
      </c>
    </row>
    <row r="40" spans="1:26" s="24" customFormat="1" hidden="1" outlineLevel="1" x14ac:dyDescent="0.3">
      <c r="A40" s="44"/>
      <c r="B40" s="11" t="str">
        <f>CONCATENATE("          ", "5528", " - ", "FREIGHT-IN-ART/TECH")</f>
        <v xml:space="preserve">          5528 - FREIGHT-IN-ART/TECH</v>
      </c>
      <c r="C40" s="11"/>
      <c r="D40" s="2"/>
      <c r="E40" s="2"/>
      <c r="F40" s="19">
        <f t="shared" si="13"/>
        <v>0</v>
      </c>
      <c r="G40" s="2"/>
      <c r="H40" s="2">
        <v>4.29</v>
      </c>
      <c r="I40" s="2"/>
      <c r="J40" s="19">
        <f t="shared" si="14"/>
        <v>0</v>
      </c>
      <c r="K40" s="2"/>
      <c r="L40" s="2">
        <f t="shared" si="15"/>
        <v>-4.29</v>
      </c>
      <c r="M40" s="2"/>
      <c r="N40" s="19">
        <f t="shared" si="16"/>
        <v>-1</v>
      </c>
      <c r="O40" s="11"/>
      <c r="P40" s="2">
        <v>0</v>
      </c>
      <c r="Q40" s="2"/>
      <c r="R40" s="19">
        <f t="shared" si="17"/>
        <v>0</v>
      </c>
      <c r="S40" s="2"/>
      <c r="T40" s="2">
        <v>286.27</v>
      </c>
      <c r="U40" s="2"/>
      <c r="V40" s="19">
        <f t="shared" si="18"/>
        <v>1.3432389010469259E-2</v>
      </c>
      <c r="W40" s="2"/>
      <c r="X40" s="2">
        <f t="shared" si="19"/>
        <v>-286.27</v>
      </c>
      <c r="Y40" s="2"/>
      <c r="Z40" s="19">
        <f t="shared" si="20"/>
        <v>-1</v>
      </c>
    </row>
    <row r="41" spans="1:26" x14ac:dyDescent="0.3">
      <c r="A41" s="9"/>
      <c r="B41" s="10"/>
      <c r="C41" s="10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O41" s="10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x14ac:dyDescent="0.3">
      <c r="A42" s="10"/>
      <c r="B42" s="26" t="s">
        <v>107</v>
      </c>
      <c r="C42" s="26"/>
      <c r="D42" s="20">
        <f>D12-D30</f>
        <v>4502.7299999999996</v>
      </c>
      <c r="E42" s="13"/>
      <c r="F42" s="21">
        <f>IF(D$12=0,0,D42/D$12)</f>
        <v>0.3881245555435836</v>
      </c>
      <c r="G42" s="13"/>
      <c r="H42" s="20">
        <f>H12-H30</f>
        <v>488.92</v>
      </c>
      <c r="I42" s="13"/>
      <c r="J42" s="21">
        <f>IF(H$12=0,0,H42/H$12)</f>
        <v>0</v>
      </c>
      <c r="K42" s="15"/>
      <c r="L42" s="20">
        <f>+D42-H42</f>
        <v>4013.8099999999995</v>
      </c>
      <c r="M42" s="15"/>
      <c r="N42" s="21">
        <f>IF(H42=0,0,L42/H42)</f>
        <v>8.2095434835964962</v>
      </c>
      <c r="O42" s="25"/>
      <c r="P42" s="20">
        <f>P12-P30</f>
        <v>40336.779999999977</v>
      </c>
      <c r="Q42" s="13"/>
      <c r="R42" s="21">
        <f>IF(P$12=0,0,P42/P$12)</f>
        <v>0.42944215333564983</v>
      </c>
      <c r="S42" s="13"/>
      <c r="T42" s="20">
        <f>T12-T30</f>
        <v>7600.1800000000039</v>
      </c>
      <c r="U42" s="13"/>
      <c r="V42" s="21">
        <f>IF(T$12=0,0,T42/T$12)</f>
        <v>0.35661639120266991</v>
      </c>
      <c r="W42" s="15"/>
      <c r="X42" s="20">
        <f>+P42-T42</f>
        <v>32736.599999999973</v>
      </c>
      <c r="Y42" s="15"/>
      <c r="Z42" s="21">
        <f>IF(T42=0,0,X42/T42)</f>
        <v>4.3073453523469123</v>
      </c>
    </row>
    <row r="43" spans="1:26" x14ac:dyDescent="0.3">
      <c r="A43" s="9"/>
      <c r="B43" s="10"/>
      <c r="C43" s="9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3">
      <c r="A44" s="10"/>
      <c r="B44" s="25" t="s">
        <v>294</v>
      </c>
      <c r="C44" s="10"/>
      <c r="D44" s="22">
        <f>SUM(OSRRefD22x_0)</f>
        <v>6524.0100000000011</v>
      </c>
      <c r="E44" s="22"/>
      <c r="F44" s="34">
        <f t="shared" ref="F44:F49" si="21">IF(D$12=0,0,D44/D$12)</f>
        <v>0.56235405667492733</v>
      </c>
      <c r="G44" s="22"/>
      <c r="H44" s="22">
        <f>SUM(OSRRefH22x_0)</f>
        <v>274.11</v>
      </c>
      <c r="I44" s="22"/>
      <c r="J44" s="34">
        <f t="shared" ref="J44:J49" si="22">IF(H$12=0,0,H44/H$12)</f>
        <v>0</v>
      </c>
      <c r="K44" s="4"/>
      <c r="L44" s="22">
        <f t="shared" ref="L44:L49" si="23">+D44-H44</f>
        <v>6249.9000000000015</v>
      </c>
      <c r="M44" s="4"/>
      <c r="N44" s="34">
        <f t="shared" ref="N44:N49" si="24">IF(H44=0,0,L44/H44)</f>
        <v>22.800700448724967</v>
      </c>
      <c r="O44" s="10"/>
      <c r="P44" s="22">
        <f>SUM(OSRRefP22x_0)</f>
        <v>27518.729999999996</v>
      </c>
      <c r="Q44" s="22"/>
      <c r="R44" s="34">
        <f t="shared" ref="R44:R49" si="25">IF(P$12=0,0,P44/P$12)</f>
        <v>0.29297585648290103</v>
      </c>
      <c r="S44" s="22"/>
      <c r="T44" s="22">
        <f>SUM(OSRRefT22x_0)</f>
        <v>12427.749999999996</v>
      </c>
      <c r="U44" s="22"/>
      <c r="V44" s="34">
        <f t="shared" ref="V44:V49" si="26">IF(T$12=0,0,T44/T$12)</f>
        <v>0.58313610411450478</v>
      </c>
      <c r="W44" s="4"/>
      <c r="X44" s="22">
        <f t="shared" ref="X44:X49" si="27">+P44-T44</f>
        <v>15090.98</v>
      </c>
      <c r="Y44" s="4"/>
      <c r="Z44" s="34">
        <f t="shared" ref="Z44:Z49" si="28">IF(T44=0,0,X44/T44)</f>
        <v>1.214297036873127</v>
      </c>
    </row>
    <row r="45" spans="1:26" s="29" customFormat="1" outlineLevel="1" collapsed="1" x14ac:dyDescent="0.3">
      <c r="A45" s="27"/>
      <c r="B45" s="14" t="str">
        <f>CONCATENATE("     ","*Benefits                                         ")</f>
        <v xml:space="preserve">     *Benefits                                         </v>
      </c>
      <c r="C45" s="14"/>
      <c r="D45" s="1">
        <f>SUM(OSRRefD22_0x_0)</f>
        <v>153.04999999999998</v>
      </c>
      <c r="E45" s="1"/>
      <c r="F45" s="5">
        <f t="shared" si="21"/>
        <v>1.3192543906906582E-2</v>
      </c>
      <c r="G45" s="1"/>
      <c r="H45" s="1">
        <f>SUM(OSRRefH22_0x_0)</f>
        <v>0</v>
      </c>
      <c r="I45" s="1"/>
      <c r="J45" s="5">
        <f t="shared" si="22"/>
        <v>0</v>
      </c>
      <c r="K45" s="1"/>
      <c r="L45" s="1">
        <f t="shared" si="23"/>
        <v>153.04999999999998</v>
      </c>
      <c r="M45" s="1"/>
      <c r="N45" s="5">
        <f t="shared" si="24"/>
        <v>0</v>
      </c>
      <c r="O45" s="14"/>
      <c r="P45" s="1">
        <f>SUM(OSRRefP22_0x_0)</f>
        <v>378.80000000000007</v>
      </c>
      <c r="Q45" s="1"/>
      <c r="R45" s="5">
        <f t="shared" si="25"/>
        <v>4.0328625062175088E-3</v>
      </c>
      <c r="S45" s="1"/>
      <c r="T45" s="1">
        <f>SUM(OSRRefT22_0x_0)</f>
        <v>778.2</v>
      </c>
      <c r="U45" s="1"/>
      <c r="V45" s="5">
        <f t="shared" si="26"/>
        <v>3.6514776707119778E-2</v>
      </c>
      <c r="W45" s="1"/>
      <c r="X45" s="1">
        <f t="shared" si="27"/>
        <v>-399.4</v>
      </c>
      <c r="Y45" s="1"/>
      <c r="Z45" s="5">
        <f t="shared" si="28"/>
        <v>-0.51323567206373677</v>
      </c>
    </row>
    <row r="46" spans="1:26" s="24" customFormat="1" hidden="1" outlineLevel="2" x14ac:dyDescent="0.3">
      <c r="A46" s="28"/>
      <c r="B46" s="11" t="str">
        <f>CONCATENATE("          ", "6111", " - ", "F.I.C.A.")</f>
        <v xml:space="preserve">          6111 - F.I.C.A.</v>
      </c>
      <c r="C46" s="11"/>
      <c r="D46" s="6">
        <v>59.97</v>
      </c>
      <c r="E46" s="2"/>
      <c r="F46" s="7">
        <f t="shared" si="21"/>
        <v>5.1692705527421612E-3</v>
      </c>
      <c r="G46" s="2"/>
      <c r="H46" s="6"/>
      <c r="I46" s="2"/>
      <c r="J46" s="7">
        <f t="shared" si="22"/>
        <v>0</v>
      </c>
      <c r="K46" s="2"/>
      <c r="L46" s="6">
        <f t="shared" si="23"/>
        <v>59.97</v>
      </c>
      <c r="M46" s="2"/>
      <c r="N46" s="7">
        <f t="shared" si="24"/>
        <v>0</v>
      </c>
      <c r="O46" s="11"/>
      <c r="P46" s="6">
        <v>70.28</v>
      </c>
      <c r="Q46" s="2"/>
      <c r="R46" s="7">
        <f t="shared" si="25"/>
        <v>7.4823013974911951E-4</v>
      </c>
      <c r="S46" s="2"/>
      <c r="T46" s="6">
        <v>484.61</v>
      </c>
      <c r="U46" s="2"/>
      <c r="V46" s="7">
        <f t="shared" si="26"/>
        <v>2.2738917938881154E-2</v>
      </c>
      <c r="W46" s="2"/>
      <c r="X46" s="6">
        <f t="shared" si="27"/>
        <v>-414.33000000000004</v>
      </c>
      <c r="Y46" s="2"/>
      <c r="Z46" s="7">
        <f t="shared" si="28"/>
        <v>-0.85497616640184892</v>
      </c>
    </row>
    <row r="47" spans="1:26" s="24" customFormat="1" hidden="1" outlineLevel="2" x14ac:dyDescent="0.3">
      <c r="A47" s="28"/>
      <c r="B47" s="11" t="str">
        <f>CONCATENATE("          ", "6112", " - ", "COMPENSATION INSURANCE")</f>
        <v xml:space="preserve">          6112 - COMPENSATION INSURANCE</v>
      </c>
      <c r="C47" s="11"/>
      <c r="D47" s="6">
        <v>79.17</v>
      </c>
      <c r="E47" s="2"/>
      <c r="F47" s="7">
        <f t="shared" si="21"/>
        <v>6.8242646266566103E-3</v>
      </c>
      <c r="G47" s="2"/>
      <c r="H47" s="6"/>
      <c r="I47" s="2"/>
      <c r="J47" s="7">
        <f t="shared" si="22"/>
        <v>0</v>
      </c>
      <c r="K47" s="2"/>
      <c r="L47" s="6">
        <f t="shared" si="23"/>
        <v>79.17</v>
      </c>
      <c r="M47" s="2"/>
      <c r="N47" s="7">
        <f t="shared" si="24"/>
        <v>0</v>
      </c>
      <c r="O47" s="11"/>
      <c r="P47" s="6">
        <v>262.42</v>
      </c>
      <c r="Q47" s="2"/>
      <c r="R47" s="7">
        <f t="shared" si="25"/>
        <v>2.7938325736050649E-3</v>
      </c>
      <c r="S47" s="2"/>
      <c r="T47" s="6">
        <v>255.57</v>
      </c>
      <c r="U47" s="2"/>
      <c r="V47" s="7">
        <f t="shared" si="26"/>
        <v>1.1991880600152403E-2</v>
      </c>
      <c r="W47" s="2"/>
      <c r="X47" s="6">
        <f t="shared" si="27"/>
        <v>6.8500000000000227</v>
      </c>
      <c r="Y47" s="2"/>
      <c r="Z47" s="7">
        <f t="shared" si="28"/>
        <v>2.6802832883358857E-2</v>
      </c>
    </row>
    <row r="48" spans="1:26" s="24" customFormat="1" hidden="1" outlineLevel="2" x14ac:dyDescent="0.3">
      <c r="A48" s="28"/>
      <c r="B48" s="11" t="str">
        <f>CONCATENATE("          ", "6113", " - ", "GROUP INSURANCE")</f>
        <v xml:space="preserve">          6113 - GROUP INSURANCE</v>
      </c>
      <c r="C48" s="11"/>
      <c r="D48" s="6"/>
      <c r="E48" s="2"/>
      <c r="F48" s="7">
        <f t="shared" si="21"/>
        <v>0</v>
      </c>
      <c r="G48" s="2"/>
      <c r="H48" s="6"/>
      <c r="I48" s="2"/>
      <c r="J48" s="7">
        <f t="shared" si="22"/>
        <v>0</v>
      </c>
      <c r="K48" s="2"/>
      <c r="L48" s="6">
        <f t="shared" si="23"/>
        <v>0</v>
      </c>
      <c r="M48" s="2"/>
      <c r="N48" s="7">
        <f t="shared" si="24"/>
        <v>0</v>
      </c>
      <c r="O48" s="11"/>
      <c r="P48" s="6"/>
      <c r="Q48" s="2"/>
      <c r="R48" s="7">
        <f t="shared" si="25"/>
        <v>0</v>
      </c>
      <c r="S48" s="2"/>
      <c r="T48" s="6">
        <v>0</v>
      </c>
      <c r="U48" s="2"/>
      <c r="V48" s="7">
        <f t="shared" si="26"/>
        <v>0</v>
      </c>
      <c r="W48" s="2"/>
      <c r="X48" s="6">
        <f t="shared" si="27"/>
        <v>0</v>
      </c>
      <c r="Y48" s="2"/>
      <c r="Z48" s="7">
        <f t="shared" si="28"/>
        <v>0</v>
      </c>
    </row>
    <row r="49" spans="1:26" s="24" customFormat="1" hidden="1" outlineLevel="2" x14ac:dyDescent="0.3">
      <c r="A49" s="28"/>
      <c r="B49" s="11" t="str">
        <f>CONCATENATE("          ", "6114", " - ", "STATE UNEMPLOYMENT INSURANCE")</f>
        <v xml:space="preserve">          6114 - STATE UNEMPLOYMENT INSURANCE</v>
      </c>
      <c r="C49" s="11"/>
      <c r="D49" s="6">
        <v>13.91</v>
      </c>
      <c r="E49" s="2"/>
      <c r="F49" s="7">
        <f t="shared" si="21"/>
        <v>1.1990087275078117E-3</v>
      </c>
      <c r="G49" s="2"/>
      <c r="H49" s="6"/>
      <c r="I49" s="2"/>
      <c r="J49" s="7">
        <f t="shared" si="22"/>
        <v>0</v>
      </c>
      <c r="K49" s="2"/>
      <c r="L49" s="6">
        <f t="shared" si="23"/>
        <v>13.91</v>
      </c>
      <c r="M49" s="2"/>
      <c r="N49" s="7">
        <f t="shared" si="24"/>
        <v>0</v>
      </c>
      <c r="O49" s="11"/>
      <c r="P49" s="6">
        <v>46.1</v>
      </c>
      <c r="Q49" s="2"/>
      <c r="R49" s="7">
        <f t="shared" si="25"/>
        <v>4.9079979286332403E-4</v>
      </c>
      <c r="S49" s="2"/>
      <c r="T49" s="6">
        <v>38.020000000000003</v>
      </c>
      <c r="U49" s="2"/>
      <c r="V49" s="7">
        <f t="shared" si="26"/>
        <v>1.7839781680862169E-3</v>
      </c>
      <c r="W49" s="2"/>
      <c r="X49" s="6">
        <f t="shared" si="27"/>
        <v>8.0799999999999983</v>
      </c>
      <c r="Y49" s="2"/>
      <c r="Z49" s="7">
        <f t="shared" si="28"/>
        <v>0.21251972645975795</v>
      </c>
    </row>
    <row r="50" spans="1:26" s="29" customFormat="1" outlineLevel="1" collapsed="1" x14ac:dyDescent="0.3">
      <c r="A50" s="27"/>
      <c r="B50" s="14" t="str">
        <f>CONCATENATE("     ","*Payroll                                          ")</f>
        <v xml:space="preserve">     *Payroll                                          </v>
      </c>
      <c r="C50" s="14"/>
      <c r="D50" s="1">
        <f>SUM(OSRRefD22_1x_0)</f>
        <v>5071.58</v>
      </c>
      <c r="E50" s="1"/>
      <c r="F50" s="5">
        <f t="shared" ref="F50:F54" si="29">IF(D$12=0,0,D50/D$12)</f>
        <v>0.43715806486370001</v>
      </c>
      <c r="G50" s="1"/>
      <c r="H50" s="1">
        <f>SUM(OSRRefH22_1x_0)</f>
        <v>0</v>
      </c>
      <c r="I50" s="1"/>
      <c r="J50" s="5">
        <f t="shared" ref="J50:J54" si="30">IF(H$12=0,0,H50/H$12)</f>
        <v>0</v>
      </c>
      <c r="K50" s="1"/>
      <c r="L50" s="1">
        <f t="shared" ref="L50:L54" si="31">+D50-H50</f>
        <v>5071.58</v>
      </c>
      <c r="M50" s="1"/>
      <c r="N50" s="5">
        <f t="shared" ref="N50:N54" si="32">IF(H50=0,0,L50/H50)</f>
        <v>0</v>
      </c>
      <c r="O50" s="14"/>
      <c r="P50" s="1">
        <f>SUM(OSRRefP22_1x_0)</f>
        <v>15795.169999999998</v>
      </c>
      <c r="Q50" s="1"/>
      <c r="R50" s="5">
        <f t="shared" ref="R50:R54" si="33">IF(P$12=0,0,P50/P$12)</f>
        <v>0.1681619558403685</v>
      </c>
      <c r="S50" s="1"/>
      <c r="T50" s="1">
        <f>SUM(OSRRefT22_1x_0)</f>
        <v>8152.5399999999991</v>
      </c>
      <c r="U50" s="1"/>
      <c r="V50" s="5">
        <f t="shared" ref="V50:V54" si="34">IF(T$12=0,0,T50/T$12)</f>
        <v>0.38253428128483963</v>
      </c>
      <c r="W50" s="1"/>
      <c r="X50" s="1">
        <f t="shared" ref="X50:X54" si="35">+P50-T50</f>
        <v>7642.6299999999992</v>
      </c>
      <c r="Y50" s="1"/>
      <c r="Z50" s="5">
        <f t="shared" ref="Z50:Z54" si="36">IF(T50=0,0,X50/T50)</f>
        <v>0.93745384873916593</v>
      </c>
    </row>
    <row r="51" spans="1:26" s="24" customFormat="1" hidden="1" outlineLevel="2" x14ac:dyDescent="0.3">
      <c r="A51" s="28"/>
      <c r="B51" s="11" t="str">
        <f>CONCATENATE("          ", "6004", " - ", "STAFF HOURLY")</f>
        <v xml:space="preserve">          6004 - STAFF HOURLY</v>
      </c>
      <c r="C51" s="11"/>
      <c r="D51" s="6">
        <v>783.61</v>
      </c>
      <c r="E51" s="2"/>
      <c r="F51" s="7">
        <f t="shared" si="29"/>
        <v>6.7545307617713615E-2</v>
      </c>
      <c r="G51" s="2"/>
      <c r="H51" s="6"/>
      <c r="I51" s="2"/>
      <c r="J51" s="7">
        <f t="shared" si="30"/>
        <v>0</v>
      </c>
      <c r="K51" s="2"/>
      <c r="L51" s="6">
        <f t="shared" si="31"/>
        <v>783.61</v>
      </c>
      <c r="M51" s="2"/>
      <c r="N51" s="7">
        <f t="shared" si="32"/>
        <v>0</v>
      </c>
      <c r="O51" s="11"/>
      <c r="P51" s="6">
        <v>783.61</v>
      </c>
      <c r="Q51" s="2"/>
      <c r="R51" s="7">
        <f t="shared" si="33"/>
        <v>8.3426383012067101E-3</v>
      </c>
      <c r="S51" s="2"/>
      <c r="T51" s="6"/>
      <c r="U51" s="2"/>
      <c r="V51" s="7">
        <f t="shared" si="34"/>
        <v>0</v>
      </c>
      <c r="W51" s="2"/>
      <c r="X51" s="6">
        <f t="shared" si="35"/>
        <v>783.61</v>
      </c>
      <c r="Y51" s="2"/>
      <c r="Z51" s="7">
        <f t="shared" si="36"/>
        <v>0</v>
      </c>
    </row>
    <row r="52" spans="1:26" s="24" customFormat="1" hidden="1" outlineLevel="2" x14ac:dyDescent="0.3">
      <c r="A52" s="28"/>
      <c r="B52" s="11" t="str">
        <f>CONCATENATE("          ", "6005", " - ", "TEMPORARY WAGES-HOURLY")</f>
        <v xml:space="preserve">          6005 - TEMPORARY WAGES-HOURLY</v>
      </c>
      <c r="C52" s="11"/>
      <c r="D52" s="6"/>
      <c r="E52" s="2"/>
      <c r="F52" s="7">
        <f t="shared" si="29"/>
        <v>0</v>
      </c>
      <c r="G52" s="2"/>
      <c r="H52" s="6"/>
      <c r="I52" s="2"/>
      <c r="J52" s="7">
        <f t="shared" si="30"/>
        <v>0</v>
      </c>
      <c r="K52" s="2"/>
      <c r="L52" s="6">
        <f t="shared" si="31"/>
        <v>0</v>
      </c>
      <c r="M52" s="2"/>
      <c r="N52" s="7">
        <f t="shared" si="32"/>
        <v>0</v>
      </c>
      <c r="O52" s="11"/>
      <c r="P52" s="6">
        <v>134.81</v>
      </c>
      <c r="Q52" s="2"/>
      <c r="R52" s="7">
        <f t="shared" si="33"/>
        <v>1.4352433855944623E-3</v>
      </c>
      <c r="S52" s="2"/>
      <c r="T52" s="6">
        <v>5379.19</v>
      </c>
      <c r="U52" s="2"/>
      <c r="V52" s="7">
        <f t="shared" si="34"/>
        <v>0.25240288064144384</v>
      </c>
      <c r="W52" s="2"/>
      <c r="X52" s="6">
        <f t="shared" si="35"/>
        <v>-5244.3799999999992</v>
      </c>
      <c r="Y52" s="2"/>
      <c r="Z52" s="7">
        <f t="shared" si="36"/>
        <v>-0.97493860599830073</v>
      </c>
    </row>
    <row r="53" spans="1:26" s="24" customFormat="1" hidden="1" outlineLevel="2" x14ac:dyDescent="0.3">
      <c r="A53" s="28"/>
      <c r="B53" s="11" t="str">
        <f>CONCATENATE("          ", "6007", " - ", "STUDENT HOURLY")</f>
        <v xml:space="preserve">          6007 - STUDENT HOURLY</v>
      </c>
      <c r="C53" s="11"/>
      <c r="D53" s="6">
        <v>3436.96</v>
      </c>
      <c r="E53" s="2"/>
      <c r="F53" s="7">
        <f t="shared" si="29"/>
        <v>0.29625773084796897</v>
      </c>
      <c r="G53" s="2"/>
      <c r="H53" s="6"/>
      <c r="I53" s="2"/>
      <c r="J53" s="7">
        <f t="shared" si="30"/>
        <v>0</v>
      </c>
      <c r="K53" s="2"/>
      <c r="L53" s="6">
        <f t="shared" si="31"/>
        <v>3436.96</v>
      </c>
      <c r="M53" s="2"/>
      <c r="N53" s="7">
        <f t="shared" si="32"/>
        <v>0</v>
      </c>
      <c r="O53" s="11"/>
      <c r="P53" s="6">
        <v>12125.05</v>
      </c>
      <c r="Q53" s="2"/>
      <c r="R53" s="7">
        <f t="shared" si="33"/>
        <v>0.12908833033530251</v>
      </c>
      <c r="S53" s="2"/>
      <c r="T53" s="6">
        <v>2773.35</v>
      </c>
      <c r="U53" s="2"/>
      <c r="V53" s="7">
        <f t="shared" si="34"/>
        <v>0.13013140064339582</v>
      </c>
      <c r="W53" s="2"/>
      <c r="X53" s="6">
        <f t="shared" si="35"/>
        <v>9351.6999999999989</v>
      </c>
      <c r="Y53" s="2"/>
      <c r="Z53" s="7">
        <f t="shared" si="36"/>
        <v>3.3719869471938266</v>
      </c>
    </row>
    <row r="54" spans="1:26" s="24" customFormat="1" hidden="1" outlineLevel="2" x14ac:dyDescent="0.3">
      <c r="A54" s="28"/>
      <c r="B54" s="11" t="str">
        <f>CONCATENATE("          ", "6008", " - ", "STUDENT HOURLY-FICA EXEMPT")</f>
        <v xml:space="preserve">          6008 - STUDENT HOURLY-FICA EXEMPT</v>
      </c>
      <c r="C54" s="11"/>
      <c r="D54" s="6">
        <v>851.01</v>
      </c>
      <c r="E54" s="2"/>
      <c r="F54" s="7">
        <f t="shared" si="29"/>
        <v>7.3355026398017456E-2</v>
      </c>
      <c r="G54" s="2"/>
      <c r="H54" s="6"/>
      <c r="I54" s="2"/>
      <c r="J54" s="7">
        <f t="shared" si="30"/>
        <v>0</v>
      </c>
      <c r="K54" s="2"/>
      <c r="L54" s="6">
        <f t="shared" si="31"/>
        <v>851.01</v>
      </c>
      <c r="M54" s="2"/>
      <c r="N54" s="7">
        <f t="shared" si="32"/>
        <v>0</v>
      </c>
      <c r="O54" s="11"/>
      <c r="P54" s="6">
        <v>2751.7</v>
      </c>
      <c r="Q54" s="2"/>
      <c r="R54" s="7">
        <f t="shared" si="33"/>
        <v>2.9295743818264827E-2</v>
      </c>
      <c r="S54" s="2"/>
      <c r="T54" s="6"/>
      <c r="U54" s="2"/>
      <c r="V54" s="7">
        <f t="shared" si="34"/>
        <v>0</v>
      </c>
      <c r="W54" s="2"/>
      <c r="X54" s="6">
        <f t="shared" si="35"/>
        <v>2751.7</v>
      </c>
      <c r="Y54" s="2"/>
      <c r="Z54" s="7">
        <f t="shared" si="36"/>
        <v>0</v>
      </c>
    </row>
    <row r="55" spans="1:26" s="29" customFormat="1" outlineLevel="1" collapsed="1" x14ac:dyDescent="0.3">
      <c r="A55" s="27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SUM(OSRRefD22_2x_0)</f>
        <v>0</v>
      </c>
      <c r="E55" s="1"/>
      <c r="F55" s="5">
        <f t="shared" ref="F55:F61" si="37">IF(D$12=0,0,D55/D$12)</f>
        <v>0</v>
      </c>
      <c r="G55" s="1"/>
      <c r="H55" s="1">
        <f>SUM(OSRRefH22_2x_0)</f>
        <v>0</v>
      </c>
      <c r="I55" s="1"/>
      <c r="J55" s="5">
        <f t="shared" ref="J55:J61" si="38">IF(H$12=0,0,H55/H$12)</f>
        <v>0</v>
      </c>
      <c r="K55" s="1"/>
      <c r="L55" s="1">
        <f t="shared" ref="L55:L61" si="39">+D55-H55</f>
        <v>0</v>
      </c>
      <c r="M55" s="1"/>
      <c r="N55" s="5">
        <f t="shared" ref="N55:N61" si="40">IF(H55=0,0,L55/H55)</f>
        <v>0</v>
      </c>
      <c r="O55" s="14"/>
      <c r="P55" s="1">
        <f>SUM(OSRRefP22_2x_0)</f>
        <v>1188.43</v>
      </c>
      <c r="Q55" s="1"/>
      <c r="R55" s="5">
        <f t="shared" ref="R55:R61" si="41">IF(P$12=0,0,P55/P$12)</f>
        <v>1.2652520560359223E-2</v>
      </c>
      <c r="S55" s="1"/>
      <c r="T55" s="1">
        <f>SUM(OSRRefT22_2x_0)</f>
        <v>124.72</v>
      </c>
      <c r="U55" s="1"/>
      <c r="V55" s="5">
        <f t="shared" ref="V55:V61" si="42">IF(T$12=0,0,T55/T$12)</f>
        <v>5.8521240695347957E-3</v>
      </c>
      <c r="W55" s="1"/>
      <c r="X55" s="1">
        <f t="shared" ref="X55:X61" si="43">+P55-T55</f>
        <v>1063.71</v>
      </c>
      <c r="Y55" s="1"/>
      <c r="Z55" s="5">
        <f t="shared" ref="Z55:Z61" si="44">IF(T55=0,0,X55/T55)</f>
        <v>8.528784477228994</v>
      </c>
    </row>
    <row r="56" spans="1:26" s="24" customFormat="1" hidden="1" outlineLevel="2" x14ac:dyDescent="0.3">
      <c r="A56" s="28"/>
      <c r="B56" s="11" t="str">
        <f>CONCATENATE("          ", "6362", " - ", "ADVERTISING EXPENSE")</f>
        <v xml:space="preserve">          6362 - ADVERTISING EXPENSE</v>
      </c>
      <c r="C56" s="11"/>
      <c r="D56" s="6"/>
      <c r="E56" s="2"/>
      <c r="F56" s="7">
        <f t="shared" si="37"/>
        <v>0</v>
      </c>
      <c r="G56" s="2"/>
      <c r="H56" s="6"/>
      <c r="I56" s="2"/>
      <c r="J56" s="7">
        <f t="shared" si="38"/>
        <v>0</v>
      </c>
      <c r="K56" s="2"/>
      <c r="L56" s="6">
        <f t="shared" si="39"/>
        <v>0</v>
      </c>
      <c r="M56" s="2"/>
      <c r="N56" s="7">
        <f t="shared" si="40"/>
        <v>0</v>
      </c>
      <c r="O56" s="11"/>
      <c r="P56" s="6">
        <v>1188.43</v>
      </c>
      <c r="Q56" s="2"/>
      <c r="R56" s="7">
        <f t="shared" si="41"/>
        <v>1.2652520560359223E-2</v>
      </c>
      <c r="S56" s="2"/>
      <c r="T56" s="6">
        <v>124.72</v>
      </c>
      <c r="U56" s="2"/>
      <c r="V56" s="7">
        <f t="shared" si="42"/>
        <v>5.8521240695347957E-3</v>
      </c>
      <c r="W56" s="2"/>
      <c r="X56" s="6">
        <f t="shared" si="43"/>
        <v>1063.71</v>
      </c>
      <c r="Y56" s="2"/>
      <c r="Z56" s="7">
        <f t="shared" si="44"/>
        <v>8.528784477228994</v>
      </c>
    </row>
    <row r="57" spans="1:26" s="29" customFormat="1" outlineLevel="1" collapsed="1" x14ac:dyDescent="0.3">
      <c r="A57" s="27"/>
      <c r="B57" s="14" t="str">
        <f>CONCATENATE("     ","Bad Debts/Over/Short                              ")</f>
        <v xml:space="preserve">     Bad Debts/Over/Short                              </v>
      </c>
      <c r="C57" s="14"/>
      <c r="D57" s="1">
        <f>SUM(OSRRefD22_3x_0)</f>
        <v>0.02</v>
      </c>
      <c r="E57" s="1"/>
      <c r="F57" s="5">
        <f t="shared" si="37"/>
        <v>1.7239521603275508E-6</v>
      </c>
      <c r="G57" s="1"/>
      <c r="H57" s="1">
        <f>SUM(OSRRefH22_3x_0)</f>
        <v>0</v>
      </c>
      <c r="I57" s="1"/>
      <c r="J57" s="5">
        <f t="shared" si="38"/>
        <v>0</v>
      </c>
      <c r="K57" s="1"/>
      <c r="L57" s="1">
        <f t="shared" si="39"/>
        <v>0.02</v>
      </c>
      <c r="M57" s="1"/>
      <c r="N57" s="5">
        <f t="shared" si="40"/>
        <v>0</v>
      </c>
      <c r="O57" s="14"/>
      <c r="P57" s="1">
        <f>SUM(OSRRefP22_3x_0)</f>
        <v>-3.45</v>
      </c>
      <c r="Q57" s="1"/>
      <c r="R57" s="5">
        <f t="shared" si="41"/>
        <v>-3.6730136342266113E-5</v>
      </c>
      <c r="S57" s="1"/>
      <c r="T57" s="1">
        <f>SUM(OSRRefT22_3x_0)</f>
        <v>1.1000000000000001</v>
      </c>
      <c r="U57" s="1"/>
      <c r="V57" s="5">
        <f t="shared" si="42"/>
        <v>5.1614307861516002E-5</v>
      </c>
      <c r="W57" s="1"/>
      <c r="X57" s="1">
        <f t="shared" si="43"/>
        <v>-4.5500000000000007</v>
      </c>
      <c r="Y57" s="1"/>
      <c r="Z57" s="5">
        <f t="shared" si="44"/>
        <v>-4.1363636363636367</v>
      </c>
    </row>
    <row r="58" spans="1:26" s="24" customFormat="1" hidden="1" outlineLevel="2" x14ac:dyDescent="0.3">
      <c r="A58" s="28"/>
      <c r="B58" s="11" t="str">
        <f>CONCATENATE("          ", "6272", " - ", "CASH (OVER/SHORT)")</f>
        <v xml:space="preserve">          6272 - CASH (OVER/SHORT)</v>
      </c>
      <c r="C58" s="11"/>
      <c r="D58" s="6">
        <v>0.02</v>
      </c>
      <c r="E58" s="2"/>
      <c r="F58" s="7">
        <f t="shared" si="37"/>
        <v>1.7239521603275508E-6</v>
      </c>
      <c r="G58" s="2"/>
      <c r="H58" s="6"/>
      <c r="I58" s="2"/>
      <c r="J58" s="7">
        <f t="shared" si="38"/>
        <v>0</v>
      </c>
      <c r="K58" s="2"/>
      <c r="L58" s="6">
        <f t="shared" si="39"/>
        <v>0.02</v>
      </c>
      <c r="M58" s="2"/>
      <c r="N58" s="7">
        <f t="shared" si="40"/>
        <v>0</v>
      </c>
      <c r="O58" s="11"/>
      <c r="P58" s="6">
        <v>-3.45</v>
      </c>
      <c r="Q58" s="2"/>
      <c r="R58" s="7">
        <f t="shared" si="41"/>
        <v>-3.6730136342266113E-5</v>
      </c>
      <c r="S58" s="2"/>
      <c r="T58" s="6">
        <v>1.1000000000000001</v>
      </c>
      <c r="U58" s="2"/>
      <c r="V58" s="7">
        <f t="shared" si="42"/>
        <v>5.1614307861516002E-5</v>
      </c>
      <c r="W58" s="2"/>
      <c r="X58" s="6">
        <f t="shared" si="43"/>
        <v>-4.5500000000000007</v>
      </c>
      <c r="Y58" s="2"/>
      <c r="Z58" s="7">
        <f t="shared" si="44"/>
        <v>-4.1363636363636367</v>
      </c>
    </row>
    <row r="59" spans="1:26" s="29" customFormat="1" outlineLevel="1" collapsed="1" x14ac:dyDescent="0.3">
      <c r="A59" s="27"/>
      <c r="B59" s="14" t="str">
        <f>CONCATENATE("     ","Discounts and Markdowns                           ")</f>
        <v xml:space="preserve">     Discounts and Markdowns                           </v>
      </c>
      <c r="C59" s="14"/>
      <c r="D59" s="1">
        <f>SUM(OSRRefD22_4x_0)</f>
        <v>12.46</v>
      </c>
      <c r="E59" s="1"/>
      <c r="F59" s="5">
        <f t="shared" si="37"/>
        <v>1.0740221958840644E-3</v>
      </c>
      <c r="G59" s="1"/>
      <c r="H59" s="1">
        <f>SUM(OSRRefH22_4x_0)</f>
        <v>0</v>
      </c>
      <c r="I59" s="1"/>
      <c r="J59" s="5">
        <f t="shared" si="38"/>
        <v>0</v>
      </c>
      <c r="K59" s="1"/>
      <c r="L59" s="1">
        <f t="shared" si="39"/>
        <v>12.46</v>
      </c>
      <c r="M59" s="1"/>
      <c r="N59" s="5">
        <f t="shared" si="40"/>
        <v>0</v>
      </c>
      <c r="O59" s="14"/>
      <c r="P59" s="1">
        <f>SUM(OSRRefP22_4x_0)</f>
        <v>-28.89</v>
      </c>
      <c r="Q59" s="1"/>
      <c r="R59" s="5">
        <f t="shared" si="41"/>
        <v>-3.0757496780523707E-4</v>
      </c>
      <c r="S59" s="1"/>
      <c r="T59" s="1">
        <f>SUM(OSRRefT22_4x_0)</f>
        <v>0</v>
      </c>
      <c r="U59" s="1"/>
      <c r="V59" s="5">
        <f t="shared" si="42"/>
        <v>0</v>
      </c>
      <c r="W59" s="1"/>
      <c r="X59" s="1">
        <f t="shared" si="43"/>
        <v>-28.89</v>
      </c>
      <c r="Y59" s="1"/>
      <c r="Z59" s="5">
        <f t="shared" si="44"/>
        <v>0</v>
      </c>
    </row>
    <row r="60" spans="1:26" s="24" customFormat="1" hidden="1" outlineLevel="2" x14ac:dyDescent="0.3">
      <c r="A60" s="28"/>
      <c r="B60" s="11" t="str">
        <f>CONCATENATE("          ", "6382", " - ", "DISCOUNTS/MARK DOWNS")</f>
        <v xml:space="preserve">          6382 - DISCOUNTS/MARK DOWNS</v>
      </c>
      <c r="C60" s="11"/>
      <c r="D60" s="6"/>
      <c r="E60" s="2"/>
      <c r="F60" s="7">
        <f t="shared" si="37"/>
        <v>0</v>
      </c>
      <c r="G60" s="2"/>
      <c r="H60" s="6"/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/>
      <c r="Q60" s="2"/>
      <c r="R60" s="7">
        <f t="shared" si="41"/>
        <v>0</v>
      </c>
      <c r="S60" s="2"/>
      <c r="T60" s="6">
        <v>0</v>
      </c>
      <c r="U60" s="2"/>
      <c r="V60" s="7">
        <f t="shared" si="42"/>
        <v>0</v>
      </c>
      <c r="W60" s="2"/>
      <c r="X60" s="6">
        <f t="shared" si="43"/>
        <v>0</v>
      </c>
      <c r="Y60" s="2"/>
      <c r="Z60" s="7">
        <f t="shared" si="44"/>
        <v>0</v>
      </c>
    </row>
    <row r="61" spans="1:26" s="24" customFormat="1" hidden="1" outlineLevel="2" x14ac:dyDescent="0.3">
      <c r="A61" s="28"/>
      <c r="B61" s="11" t="str">
        <f>CONCATENATE("          ", "9175", " - ", "EARNED DISCOUNTS")</f>
        <v xml:space="preserve">          9175 - EARNED DISCOUNTS</v>
      </c>
      <c r="C61" s="11"/>
      <c r="D61" s="6">
        <v>12.46</v>
      </c>
      <c r="E61" s="2"/>
      <c r="F61" s="7">
        <f t="shared" si="37"/>
        <v>1.0740221958840644E-3</v>
      </c>
      <c r="G61" s="2"/>
      <c r="H61" s="6"/>
      <c r="I61" s="2"/>
      <c r="J61" s="7">
        <f t="shared" si="38"/>
        <v>0</v>
      </c>
      <c r="K61" s="2"/>
      <c r="L61" s="6">
        <f t="shared" si="39"/>
        <v>12.46</v>
      </c>
      <c r="M61" s="2"/>
      <c r="N61" s="7">
        <f t="shared" si="40"/>
        <v>0</v>
      </c>
      <c r="O61" s="11"/>
      <c r="P61" s="6">
        <v>-28.89</v>
      </c>
      <c r="Q61" s="2"/>
      <c r="R61" s="7">
        <f t="shared" si="41"/>
        <v>-3.0757496780523707E-4</v>
      </c>
      <c r="S61" s="2"/>
      <c r="T61" s="6">
        <v>0</v>
      </c>
      <c r="U61" s="2"/>
      <c r="V61" s="7">
        <f t="shared" si="42"/>
        <v>0</v>
      </c>
      <c r="W61" s="2"/>
      <c r="X61" s="6">
        <f t="shared" si="43"/>
        <v>-28.89</v>
      </c>
      <c r="Y61" s="2"/>
      <c r="Z61" s="7">
        <f t="shared" si="44"/>
        <v>0</v>
      </c>
    </row>
    <row r="62" spans="1:26" s="29" customFormat="1" outlineLevel="1" collapsed="1" x14ac:dyDescent="0.3">
      <c r="A62" s="27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SUM(OSRRefD22_5x_0)</f>
        <v>0</v>
      </c>
      <c r="E62" s="1"/>
      <c r="F62" s="5">
        <f t="shared" ref="F62:F64" si="45">IF(D$12=0,0,D62/D$12)</f>
        <v>0</v>
      </c>
      <c r="G62" s="1"/>
      <c r="H62" s="1">
        <f>SUM(OSRRefH22_5x_0)</f>
        <v>0</v>
      </c>
      <c r="I62" s="1"/>
      <c r="J62" s="5">
        <f t="shared" ref="J62:J64" si="46">IF(H$12=0,0,H62/H$12)</f>
        <v>0</v>
      </c>
      <c r="K62" s="1"/>
      <c r="L62" s="1">
        <f t="shared" ref="L62:L64" si="47">+D62-H62</f>
        <v>0</v>
      </c>
      <c r="M62" s="1"/>
      <c r="N62" s="5">
        <f t="shared" ref="N62:N64" si="48">IF(H62=0,0,L62/H62)</f>
        <v>0</v>
      </c>
      <c r="O62" s="14"/>
      <c r="P62" s="1">
        <f>SUM(OSRRefP22_5x_0)</f>
        <v>54.5</v>
      </c>
      <c r="Q62" s="1"/>
      <c r="R62" s="5">
        <f t="shared" ref="R62:R64" si="49">IF(P$12=0,0,P62/P$12)</f>
        <v>5.8022969004449369E-4</v>
      </c>
      <c r="S62" s="1"/>
      <c r="T62" s="1">
        <f>SUM(OSRRefT22_5x_0)</f>
        <v>0</v>
      </c>
      <c r="U62" s="1"/>
      <c r="V62" s="5">
        <f t="shared" ref="V62:V64" si="50">IF(T$12=0,0,T62/T$12)</f>
        <v>0</v>
      </c>
      <c r="W62" s="1"/>
      <c r="X62" s="1">
        <f t="shared" ref="X62:X64" si="51">+P62-T62</f>
        <v>54.5</v>
      </c>
      <c r="Y62" s="1"/>
      <c r="Z62" s="5">
        <f t="shared" ref="Z62:Z64" si="52">IF(T62=0,0,X62/T62)</f>
        <v>0</v>
      </c>
    </row>
    <row r="63" spans="1:26" s="24" customFormat="1" hidden="1" outlineLevel="2" x14ac:dyDescent="0.3">
      <c r="A63" s="28"/>
      <c r="B63" s="11" t="str">
        <f>CONCATENATE("          ", "6305", " - ", "FREIGHT OUT")</f>
        <v xml:space="preserve">          6305 - FREIGHT OUT</v>
      </c>
      <c r="C63" s="11"/>
      <c r="D63" s="6"/>
      <c r="E63" s="2"/>
      <c r="F63" s="7">
        <f t="shared" si="45"/>
        <v>0</v>
      </c>
      <c r="G63" s="2"/>
      <c r="H63" s="6"/>
      <c r="I63" s="2"/>
      <c r="J63" s="7">
        <f t="shared" si="46"/>
        <v>0</v>
      </c>
      <c r="K63" s="2"/>
      <c r="L63" s="6">
        <f t="shared" si="47"/>
        <v>0</v>
      </c>
      <c r="M63" s="2"/>
      <c r="N63" s="7">
        <f t="shared" si="48"/>
        <v>0</v>
      </c>
      <c r="O63" s="11"/>
      <c r="P63" s="6"/>
      <c r="Q63" s="2"/>
      <c r="R63" s="7">
        <f t="shared" si="49"/>
        <v>0</v>
      </c>
      <c r="S63" s="2"/>
      <c r="T63" s="6">
        <v>0</v>
      </c>
      <c r="U63" s="2"/>
      <c r="V63" s="7">
        <f t="shared" si="50"/>
        <v>0</v>
      </c>
      <c r="W63" s="2"/>
      <c r="X63" s="6">
        <f t="shared" si="51"/>
        <v>0</v>
      </c>
      <c r="Y63" s="2"/>
      <c r="Z63" s="7">
        <f t="shared" si="52"/>
        <v>0</v>
      </c>
    </row>
    <row r="64" spans="1:26" s="24" customFormat="1" hidden="1" outlineLevel="2" x14ac:dyDescent="0.3">
      <c r="A64" s="28"/>
      <c r="B64" s="11" t="str">
        <f>CONCATENATE("          ", "6307", " - ", "POSTAGE")</f>
        <v xml:space="preserve">          6307 - POSTAGE</v>
      </c>
      <c r="C64" s="11"/>
      <c r="D64" s="6"/>
      <c r="E64" s="2"/>
      <c r="F64" s="7">
        <f t="shared" si="45"/>
        <v>0</v>
      </c>
      <c r="G64" s="2"/>
      <c r="H64" s="6"/>
      <c r="I64" s="2"/>
      <c r="J64" s="7">
        <f t="shared" si="46"/>
        <v>0</v>
      </c>
      <c r="K64" s="2"/>
      <c r="L64" s="6">
        <f t="shared" si="47"/>
        <v>0</v>
      </c>
      <c r="M64" s="2"/>
      <c r="N64" s="7">
        <f t="shared" si="48"/>
        <v>0</v>
      </c>
      <c r="O64" s="11"/>
      <c r="P64" s="6">
        <v>54.5</v>
      </c>
      <c r="Q64" s="2"/>
      <c r="R64" s="7">
        <f t="shared" si="49"/>
        <v>5.8022969004449369E-4</v>
      </c>
      <c r="S64" s="2"/>
      <c r="T64" s="6"/>
      <c r="U64" s="2"/>
      <c r="V64" s="7">
        <f t="shared" si="50"/>
        <v>0</v>
      </c>
      <c r="W64" s="2"/>
      <c r="X64" s="6">
        <f t="shared" si="51"/>
        <v>54.5</v>
      </c>
      <c r="Y64" s="2"/>
      <c r="Z64" s="7">
        <f t="shared" si="52"/>
        <v>0</v>
      </c>
    </row>
    <row r="65" spans="1:26" s="29" customFormat="1" outlineLevel="1" collapsed="1" x14ac:dyDescent="0.3">
      <c r="A65" s="27"/>
      <c r="B65" s="14" t="str">
        <f>CONCATENATE("     ","General                                           ")</f>
        <v xml:space="preserve">     General                                           </v>
      </c>
      <c r="C65" s="14"/>
      <c r="D65" s="1">
        <f>SUM(OSRRefD22_6x_0)</f>
        <v>160</v>
      </c>
      <c r="E65" s="1"/>
      <c r="F65" s="5">
        <f t="shared" ref="F65:F71" si="53">IF(D$12=0,0,D65/D$12)</f>
        <v>1.3791617282620407E-2</v>
      </c>
      <c r="G65" s="1"/>
      <c r="H65" s="1">
        <f>SUM(OSRRefH22_6x_0)</f>
        <v>160</v>
      </c>
      <c r="I65" s="1"/>
      <c r="J65" s="5">
        <f t="shared" ref="J65:J71" si="54">IF(H$12=0,0,H65/H$12)</f>
        <v>0</v>
      </c>
      <c r="K65" s="1"/>
      <c r="L65" s="1">
        <f t="shared" ref="L65:L71" si="55">+D65-H65</f>
        <v>0</v>
      </c>
      <c r="M65" s="1"/>
      <c r="N65" s="5">
        <f t="shared" ref="N65:N71" si="56">IF(H65=0,0,L65/H65)</f>
        <v>0</v>
      </c>
      <c r="O65" s="14"/>
      <c r="P65" s="1">
        <f>SUM(OSRRefP22_6x_0)</f>
        <v>388.04</v>
      </c>
      <c r="Q65" s="1"/>
      <c r="R65" s="5">
        <f t="shared" ref="R65:R71" si="57">IF(P$12=0,0,P65/P$12)</f>
        <v>4.1312353931167948E-3</v>
      </c>
      <c r="S65" s="1"/>
      <c r="T65" s="1">
        <f>SUM(OSRRefT22_6x_0)</f>
        <v>879.55</v>
      </c>
      <c r="U65" s="1"/>
      <c r="V65" s="5">
        <f t="shared" ref="V65:V71" si="58">IF(T$12=0,0,T65/T$12)</f>
        <v>4.1270331345087632E-2</v>
      </c>
      <c r="W65" s="1"/>
      <c r="X65" s="1">
        <f t="shared" ref="X65:X71" si="59">+P65-T65</f>
        <v>-491.50999999999993</v>
      </c>
      <c r="Y65" s="1"/>
      <c r="Z65" s="5">
        <f t="shared" ref="Z65:Z71" si="60">IF(T65=0,0,X65/T65)</f>
        <v>-0.55881985106020116</v>
      </c>
    </row>
    <row r="66" spans="1:26" s="24" customFormat="1" hidden="1" outlineLevel="2" x14ac:dyDescent="0.3">
      <c r="A66" s="28"/>
      <c r="B66" s="11" t="str">
        <f>CONCATENATE("          ", "6279", " - ", "GENERAL EXPENSE")</f>
        <v xml:space="preserve">          6279 - GENERAL EXPENSE</v>
      </c>
      <c r="C66" s="11"/>
      <c r="D66" s="6">
        <v>160</v>
      </c>
      <c r="E66" s="2"/>
      <c r="F66" s="7">
        <f t="shared" si="53"/>
        <v>1.3791617282620407E-2</v>
      </c>
      <c r="G66" s="2"/>
      <c r="H66" s="6">
        <v>160</v>
      </c>
      <c r="I66" s="2"/>
      <c r="J66" s="7">
        <f t="shared" si="54"/>
        <v>0</v>
      </c>
      <c r="K66" s="2"/>
      <c r="L66" s="6">
        <f t="shared" si="55"/>
        <v>0</v>
      </c>
      <c r="M66" s="2"/>
      <c r="N66" s="7">
        <f t="shared" si="56"/>
        <v>0</v>
      </c>
      <c r="O66" s="11"/>
      <c r="P66" s="6">
        <v>388.04</v>
      </c>
      <c r="Q66" s="2"/>
      <c r="R66" s="7">
        <f t="shared" si="57"/>
        <v>4.1312353931167948E-3</v>
      </c>
      <c r="S66" s="2"/>
      <c r="T66" s="6">
        <v>879.55</v>
      </c>
      <c r="U66" s="2"/>
      <c r="V66" s="7">
        <f t="shared" si="58"/>
        <v>4.1270331345087632E-2</v>
      </c>
      <c r="W66" s="2"/>
      <c r="X66" s="6">
        <f t="shared" si="59"/>
        <v>-491.50999999999993</v>
      </c>
      <c r="Y66" s="2"/>
      <c r="Z66" s="7">
        <f t="shared" si="60"/>
        <v>-0.55881985106020116</v>
      </c>
    </row>
    <row r="67" spans="1:26" s="29" customFormat="1" outlineLevel="1" collapsed="1" x14ac:dyDescent="0.3">
      <c r="A67" s="27"/>
      <c r="B67" s="14" t="str">
        <f>CONCATENATE("     ","Inventory Adjustment                              ")</f>
        <v xml:space="preserve">     Inventory Adjustment                              </v>
      </c>
      <c r="C67" s="14"/>
      <c r="D67" s="1">
        <f>SUM(OSRRefD22_7x_0)</f>
        <v>650</v>
      </c>
      <c r="E67" s="1"/>
      <c r="F67" s="5">
        <f t="shared" si="53"/>
        <v>5.6028445210645407E-2</v>
      </c>
      <c r="G67" s="1"/>
      <c r="H67" s="1">
        <f>SUM(OSRRefH22_7x_0)</f>
        <v>0</v>
      </c>
      <c r="I67" s="1"/>
      <c r="J67" s="5">
        <f t="shared" si="54"/>
        <v>0</v>
      </c>
      <c r="K67" s="1"/>
      <c r="L67" s="1">
        <f t="shared" si="55"/>
        <v>650</v>
      </c>
      <c r="M67" s="1"/>
      <c r="N67" s="5">
        <f t="shared" si="56"/>
        <v>0</v>
      </c>
      <c r="O67" s="14"/>
      <c r="P67" s="1">
        <f>SUM(OSRRefP22_7x_0)</f>
        <v>3900</v>
      </c>
      <c r="Q67" s="1"/>
      <c r="R67" s="5">
        <f t="shared" si="57"/>
        <v>4.152102369125734E-2</v>
      </c>
      <c r="S67" s="1"/>
      <c r="T67" s="1">
        <f>SUM(OSRRefT22_7x_0)</f>
        <v>0</v>
      </c>
      <c r="U67" s="1"/>
      <c r="V67" s="5">
        <f t="shared" si="58"/>
        <v>0</v>
      </c>
      <c r="W67" s="1"/>
      <c r="X67" s="1">
        <f t="shared" si="59"/>
        <v>3900</v>
      </c>
      <c r="Y67" s="1"/>
      <c r="Z67" s="5">
        <f t="shared" si="60"/>
        <v>0</v>
      </c>
    </row>
    <row r="68" spans="1:26" s="24" customFormat="1" hidden="1" outlineLevel="2" x14ac:dyDescent="0.3">
      <c r="A68" s="28"/>
      <c r="B68" s="11" t="str">
        <f>CONCATENATE("          ", "6408", " - ", "INVENTORY ADJUSTMENT")</f>
        <v xml:space="preserve">          6408 - INVENTORY ADJUSTMENT</v>
      </c>
      <c r="C68" s="11"/>
      <c r="D68" s="6">
        <v>650</v>
      </c>
      <c r="E68" s="2"/>
      <c r="F68" s="7">
        <f t="shared" si="53"/>
        <v>5.6028445210645407E-2</v>
      </c>
      <c r="G68" s="2"/>
      <c r="H68" s="6"/>
      <c r="I68" s="2"/>
      <c r="J68" s="7">
        <f t="shared" si="54"/>
        <v>0</v>
      </c>
      <c r="K68" s="2"/>
      <c r="L68" s="6">
        <f t="shared" si="55"/>
        <v>650</v>
      </c>
      <c r="M68" s="2"/>
      <c r="N68" s="7">
        <f t="shared" si="56"/>
        <v>0</v>
      </c>
      <c r="O68" s="11"/>
      <c r="P68" s="6">
        <v>3900</v>
      </c>
      <c r="Q68" s="2"/>
      <c r="R68" s="7">
        <f t="shared" si="57"/>
        <v>4.152102369125734E-2</v>
      </c>
      <c r="S68" s="2"/>
      <c r="T68" s="6"/>
      <c r="U68" s="2"/>
      <c r="V68" s="7">
        <f t="shared" si="58"/>
        <v>0</v>
      </c>
      <c r="W68" s="2"/>
      <c r="X68" s="6">
        <f t="shared" si="59"/>
        <v>3900</v>
      </c>
      <c r="Y68" s="2"/>
      <c r="Z68" s="7">
        <f t="shared" si="60"/>
        <v>0</v>
      </c>
    </row>
    <row r="69" spans="1:26" s="29" customFormat="1" outlineLevel="1" collapsed="1" x14ac:dyDescent="0.3">
      <c r="A69" s="27"/>
      <c r="B69" s="14" t="str">
        <f>CONCATENATE("     ","Repair and Maintenance                            ")</f>
        <v xml:space="preserve">     Repair and Maintenance                            </v>
      </c>
      <c r="C69" s="14"/>
      <c r="D69" s="1">
        <f>SUM(OSRRefD22_8x_0)</f>
        <v>139.06</v>
      </c>
      <c r="E69" s="1"/>
      <c r="F69" s="5">
        <f t="shared" si="53"/>
        <v>1.1986639370757462E-2</v>
      </c>
      <c r="G69" s="1"/>
      <c r="H69" s="1">
        <f>SUM(OSRRefH22_8x_0)</f>
        <v>61.11</v>
      </c>
      <c r="I69" s="1"/>
      <c r="J69" s="5">
        <f t="shared" si="54"/>
        <v>0</v>
      </c>
      <c r="K69" s="1"/>
      <c r="L69" s="1">
        <f t="shared" si="55"/>
        <v>77.95</v>
      </c>
      <c r="M69" s="1"/>
      <c r="N69" s="5">
        <f t="shared" si="56"/>
        <v>1.2755686467026675</v>
      </c>
      <c r="O69" s="14"/>
      <c r="P69" s="1">
        <f>SUM(OSRRefP22_8x_0)</f>
        <v>383.39</v>
      </c>
      <c r="Q69" s="1"/>
      <c r="R69" s="5">
        <f t="shared" si="57"/>
        <v>4.0817295571772185E-3</v>
      </c>
      <c r="S69" s="1"/>
      <c r="T69" s="1">
        <f>SUM(OSRRefT22_8x_0)</f>
        <v>200.82</v>
      </c>
      <c r="U69" s="1"/>
      <c r="V69" s="5">
        <f t="shared" si="58"/>
        <v>9.4228957315905838E-3</v>
      </c>
      <c r="W69" s="1"/>
      <c r="X69" s="1">
        <f t="shared" si="59"/>
        <v>182.57</v>
      </c>
      <c r="Y69" s="1"/>
      <c r="Z69" s="5">
        <f t="shared" si="60"/>
        <v>0.90912259735086143</v>
      </c>
    </row>
    <row r="70" spans="1:26" s="24" customFormat="1" hidden="1" outlineLevel="2" x14ac:dyDescent="0.3">
      <c r="A70" s="28"/>
      <c r="B70" s="11" t="str">
        <f>CONCATENATE("          ", "6373", " - ", "MAINTENANCE CONTRACTS")</f>
        <v xml:space="preserve">          6373 - MAINTENANCE CONTRACTS</v>
      </c>
      <c r="C70" s="11"/>
      <c r="D70" s="6">
        <v>139.06</v>
      </c>
      <c r="E70" s="2"/>
      <c r="F70" s="7">
        <f t="shared" si="53"/>
        <v>1.1986639370757462E-2</v>
      </c>
      <c r="G70" s="2"/>
      <c r="H70" s="6">
        <v>61.11</v>
      </c>
      <c r="I70" s="2"/>
      <c r="J70" s="7">
        <f t="shared" si="54"/>
        <v>0</v>
      </c>
      <c r="K70" s="2"/>
      <c r="L70" s="6">
        <f t="shared" si="55"/>
        <v>77.95</v>
      </c>
      <c r="M70" s="2"/>
      <c r="N70" s="7">
        <f t="shared" si="56"/>
        <v>1.2755686467026675</v>
      </c>
      <c r="O70" s="11"/>
      <c r="P70" s="6">
        <v>200.17</v>
      </c>
      <c r="Q70" s="2"/>
      <c r="R70" s="7">
        <f t="shared" si="57"/>
        <v>2.1310931569946106E-3</v>
      </c>
      <c r="S70" s="2"/>
      <c r="T70" s="6">
        <v>200.82</v>
      </c>
      <c r="U70" s="2"/>
      <c r="V70" s="7">
        <f t="shared" si="58"/>
        <v>9.4228957315905838E-3</v>
      </c>
      <c r="W70" s="2"/>
      <c r="X70" s="6">
        <f t="shared" si="59"/>
        <v>-0.65000000000000568</v>
      </c>
      <c r="Y70" s="2"/>
      <c r="Z70" s="7">
        <f t="shared" si="60"/>
        <v>-3.2367294094214007E-3</v>
      </c>
    </row>
    <row r="71" spans="1:26" s="24" customFormat="1" hidden="1" outlineLevel="2" x14ac:dyDescent="0.3">
      <c r="A71" s="28"/>
      <c r="B71" s="11" t="str">
        <f>CONCATENATE("          ", "6375", " - ", "OUTSIDE REPAIRS &amp; MAINTENANCE")</f>
        <v xml:space="preserve">          6375 - OUTSIDE REPAIRS &amp; MAINTENANCE</v>
      </c>
      <c r="C71" s="11"/>
      <c r="D71" s="6"/>
      <c r="E71" s="2"/>
      <c r="F71" s="7">
        <f t="shared" si="53"/>
        <v>0</v>
      </c>
      <c r="G71" s="2"/>
      <c r="H71" s="6"/>
      <c r="I71" s="2"/>
      <c r="J71" s="7">
        <f t="shared" si="54"/>
        <v>0</v>
      </c>
      <c r="K71" s="2"/>
      <c r="L71" s="6">
        <f t="shared" si="55"/>
        <v>0</v>
      </c>
      <c r="M71" s="2"/>
      <c r="N71" s="7">
        <f t="shared" si="56"/>
        <v>0</v>
      </c>
      <c r="O71" s="11"/>
      <c r="P71" s="6">
        <v>183.22</v>
      </c>
      <c r="Q71" s="2"/>
      <c r="R71" s="7">
        <f t="shared" si="57"/>
        <v>1.9506364001826077E-3</v>
      </c>
      <c r="S71" s="2"/>
      <c r="T71" s="6"/>
      <c r="U71" s="2"/>
      <c r="V71" s="7">
        <f t="shared" si="58"/>
        <v>0</v>
      </c>
      <c r="W71" s="2"/>
      <c r="X71" s="6">
        <f t="shared" si="59"/>
        <v>183.22</v>
      </c>
      <c r="Y71" s="2"/>
      <c r="Z71" s="7">
        <f t="shared" si="60"/>
        <v>0</v>
      </c>
    </row>
    <row r="72" spans="1:26" s="29" customFormat="1" outlineLevel="1" collapsed="1" x14ac:dyDescent="0.3">
      <c r="A72" s="27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SUM(OSRRefD22_9x_0)</f>
        <v>273.81</v>
      </c>
      <c r="E72" s="1"/>
      <c r="F72" s="5">
        <f t="shared" ref="F72:F74" si="61">IF(D$12=0,0,D72/D$12)</f>
        <v>2.3601767050964336E-2</v>
      </c>
      <c r="G72" s="1"/>
      <c r="H72" s="1">
        <f>SUM(OSRRefH22_9x_0)</f>
        <v>0</v>
      </c>
      <c r="I72" s="1"/>
      <c r="J72" s="5">
        <f t="shared" ref="J72:J74" si="62">IF(H$12=0,0,H72/H$12)</f>
        <v>0</v>
      </c>
      <c r="K72" s="1"/>
      <c r="L72" s="1">
        <f t="shared" ref="L72:L74" si="63">+D72-H72</f>
        <v>273.81</v>
      </c>
      <c r="M72" s="1"/>
      <c r="N72" s="5">
        <f t="shared" ref="N72:N74" si="64">IF(H72=0,0,L72/H72)</f>
        <v>0</v>
      </c>
      <c r="O72" s="14"/>
      <c r="P72" s="1">
        <f>SUM(OSRRefP22_9x_0)</f>
        <v>3437.25</v>
      </c>
      <c r="Q72" s="1"/>
      <c r="R72" s="5">
        <f t="shared" ref="R72:R74" si="65">IF(P$12=0,0,P72/P$12)</f>
        <v>3.6594394534044693E-2</v>
      </c>
      <c r="S72" s="1"/>
      <c r="T72" s="1">
        <f>SUM(OSRRefT22_9x_0)</f>
        <v>18.5</v>
      </c>
      <c r="U72" s="1"/>
      <c r="V72" s="5">
        <f t="shared" ref="V72:V74" si="66">IF(T$12=0,0,T72/T$12)</f>
        <v>8.6805881403458724E-4</v>
      </c>
      <c r="W72" s="1"/>
      <c r="X72" s="1">
        <f t="shared" ref="X72:X74" si="67">+P72-T72</f>
        <v>3418.75</v>
      </c>
      <c r="Y72" s="1"/>
      <c r="Z72" s="5">
        <f t="shared" ref="Z72:Z74" si="68">IF(T72=0,0,X72/T72)</f>
        <v>184.79729729729729</v>
      </c>
    </row>
    <row r="73" spans="1:26" s="24" customFormat="1" hidden="1" outlineLevel="2" x14ac:dyDescent="0.3">
      <c r="A73" s="28"/>
      <c r="B73" s="11" t="str">
        <f>CONCATENATE("          ", "6282", " - ", "JANITORIAL/EXTERMINATOR EXPENS")</f>
        <v xml:space="preserve">          6282 - JANITORIAL/EXTERMINATOR EXPENS</v>
      </c>
      <c r="C73" s="11"/>
      <c r="D73" s="6">
        <v>138</v>
      </c>
      <c r="E73" s="2"/>
      <c r="F73" s="7">
        <f t="shared" si="61"/>
        <v>1.1895269906260102E-2</v>
      </c>
      <c r="G73" s="2"/>
      <c r="H73" s="6"/>
      <c r="I73" s="2"/>
      <c r="J73" s="7">
        <f t="shared" si="62"/>
        <v>0</v>
      </c>
      <c r="K73" s="2"/>
      <c r="L73" s="6">
        <f t="shared" si="63"/>
        <v>138</v>
      </c>
      <c r="M73" s="2"/>
      <c r="N73" s="7">
        <f t="shared" si="64"/>
        <v>0</v>
      </c>
      <c r="O73" s="11"/>
      <c r="P73" s="6">
        <v>629.6</v>
      </c>
      <c r="Q73" s="2"/>
      <c r="R73" s="7">
        <f t="shared" si="65"/>
        <v>6.702983722055288E-3</v>
      </c>
      <c r="S73" s="2"/>
      <c r="T73" s="6">
        <v>176</v>
      </c>
      <c r="U73" s="2"/>
      <c r="V73" s="7">
        <f t="shared" si="66"/>
        <v>8.2582892578425601E-3</v>
      </c>
      <c r="W73" s="2"/>
      <c r="X73" s="6">
        <f t="shared" si="67"/>
        <v>453.6</v>
      </c>
      <c r="Y73" s="2"/>
      <c r="Z73" s="7">
        <f t="shared" si="68"/>
        <v>2.5772727272727276</v>
      </c>
    </row>
    <row r="74" spans="1:26" s="24" customFormat="1" hidden="1" outlineLevel="2" x14ac:dyDescent="0.3">
      <c r="A74" s="28"/>
      <c r="B74" s="11" t="str">
        <f>CONCATENATE("          ", "6285", " - ", "JANITORIAL SERVICES")</f>
        <v xml:space="preserve">          6285 - JANITORIAL SERVICES</v>
      </c>
      <c r="C74" s="11"/>
      <c r="D74" s="6">
        <v>135.81</v>
      </c>
      <c r="E74" s="2"/>
      <c r="F74" s="7">
        <f t="shared" si="61"/>
        <v>1.1706497144704234E-2</v>
      </c>
      <c r="G74" s="2"/>
      <c r="H74" s="6"/>
      <c r="I74" s="2"/>
      <c r="J74" s="7">
        <f t="shared" si="62"/>
        <v>0</v>
      </c>
      <c r="K74" s="2"/>
      <c r="L74" s="6">
        <f t="shared" si="63"/>
        <v>135.81</v>
      </c>
      <c r="M74" s="2"/>
      <c r="N74" s="7">
        <f t="shared" si="64"/>
        <v>0</v>
      </c>
      <c r="O74" s="11"/>
      <c r="P74" s="6">
        <v>2807.65</v>
      </c>
      <c r="Q74" s="2"/>
      <c r="R74" s="7">
        <f t="shared" si="65"/>
        <v>2.9891410811989406E-2</v>
      </c>
      <c r="S74" s="2"/>
      <c r="T74" s="6">
        <v>-157.5</v>
      </c>
      <c r="U74" s="2"/>
      <c r="V74" s="7">
        <f t="shared" si="66"/>
        <v>-7.3902304438079732E-3</v>
      </c>
      <c r="W74" s="2"/>
      <c r="X74" s="6">
        <f t="shared" si="67"/>
        <v>2965.15</v>
      </c>
      <c r="Y74" s="2"/>
      <c r="Z74" s="7">
        <f t="shared" si="68"/>
        <v>-18.826349206349207</v>
      </c>
    </row>
    <row r="75" spans="1:26" s="29" customFormat="1" outlineLevel="1" collapsed="1" x14ac:dyDescent="0.3">
      <c r="A75" s="27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SUM(OSRRefD22_10x_0)</f>
        <v>11.03</v>
      </c>
      <c r="E75" s="1"/>
      <c r="F75" s="5">
        <f t="shared" ref="F75:F79" si="69">IF(D$12=0,0,D75/D$12)</f>
        <v>9.5075961642064426E-4</v>
      </c>
      <c r="G75" s="1"/>
      <c r="H75" s="1">
        <f>SUM(OSRRefH22_10x_0)</f>
        <v>0</v>
      </c>
      <c r="I75" s="1"/>
      <c r="J75" s="5">
        <f t="shared" ref="J75:J79" si="70">IF(H$12=0,0,H75/H$12)</f>
        <v>0</v>
      </c>
      <c r="K75" s="1"/>
      <c r="L75" s="1">
        <f t="shared" ref="L75:L79" si="71">+D75-H75</f>
        <v>11.03</v>
      </c>
      <c r="M75" s="1"/>
      <c r="N75" s="5">
        <f t="shared" ref="N75:N79" si="72">IF(H75=0,0,L75/H75)</f>
        <v>0</v>
      </c>
      <c r="O75" s="14"/>
      <c r="P75" s="1">
        <f>SUM(OSRRefP22_10x_0)</f>
        <v>1747.49</v>
      </c>
      <c r="Q75" s="1"/>
      <c r="R75" s="5">
        <f t="shared" ref="R75:R79" si="73">IF(P$12=0,0,P75/P$12)</f>
        <v>1.8604506074419307E-2</v>
      </c>
      <c r="S75" s="1"/>
      <c r="T75" s="1">
        <f>SUM(OSRRefT22_10x_0)</f>
        <v>1892.27</v>
      </c>
      <c r="U75" s="1"/>
      <c r="V75" s="5">
        <f t="shared" ref="V75:V79" si="74">IF(T$12=0,0,T75/T$12)</f>
        <v>8.8789278488282622E-2</v>
      </c>
      <c r="W75" s="1"/>
      <c r="X75" s="1">
        <f t="shared" ref="X75:X79" si="75">+P75-T75</f>
        <v>-144.77999999999997</v>
      </c>
      <c r="Y75" s="1"/>
      <c r="Z75" s="5">
        <f t="shared" ref="Z75:Z79" si="76">IF(T75=0,0,X75/T75)</f>
        <v>-7.6511280102733739E-2</v>
      </c>
    </row>
    <row r="76" spans="1:26" s="24" customFormat="1" hidden="1" outlineLevel="2" x14ac:dyDescent="0.3">
      <c r="A76" s="28"/>
      <c r="B76" s="11" t="str">
        <f>CONCATENATE("          ", "6234", " - ", "EXPENDABLE SUPPLIES &amp; EQUIPMEN")</f>
        <v xml:space="preserve">          6234 - EXPENDABLE SUPPLIES &amp; EQUIPMEN</v>
      </c>
      <c r="C76" s="11"/>
      <c r="D76" s="6"/>
      <c r="E76" s="2"/>
      <c r="F76" s="7">
        <f t="shared" si="69"/>
        <v>0</v>
      </c>
      <c r="G76" s="2"/>
      <c r="H76" s="6"/>
      <c r="I76" s="2"/>
      <c r="J76" s="7">
        <f t="shared" si="70"/>
        <v>0</v>
      </c>
      <c r="K76" s="2"/>
      <c r="L76" s="6">
        <f t="shared" si="71"/>
        <v>0</v>
      </c>
      <c r="M76" s="2"/>
      <c r="N76" s="7">
        <f t="shared" si="72"/>
        <v>0</v>
      </c>
      <c r="O76" s="11"/>
      <c r="P76" s="6">
        <v>1393.55</v>
      </c>
      <c r="Q76" s="2"/>
      <c r="R76" s="7">
        <f t="shared" si="73"/>
        <v>1.4836313478192736E-2</v>
      </c>
      <c r="S76" s="2"/>
      <c r="T76" s="6"/>
      <c r="U76" s="2"/>
      <c r="V76" s="7">
        <f t="shared" si="74"/>
        <v>0</v>
      </c>
      <c r="W76" s="2"/>
      <c r="X76" s="6">
        <f t="shared" si="75"/>
        <v>1393.55</v>
      </c>
      <c r="Y76" s="2"/>
      <c r="Z76" s="7">
        <f t="shared" si="76"/>
        <v>0</v>
      </c>
    </row>
    <row r="77" spans="1:26" s="24" customFormat="1" hidden="1" outlineLevel="2" x14ac:dyDescent="0.3">
      <c r="A77" s="28"/>
      <c r="B77" s="11" t="str">
        <f>CONCATENATE("          ", "6235", " - ", "COVID-19 EXPENSES")</f>
        <v xml:space="preserve">          6235 - COVID-19 EXPENSES</v>
      </c>
      <c r="C77" s="11"/>
      <c r="D77" s="6"/>
      <c r="E77" s="2"/>
      <c r="F77" s="7">
        <f t="shared" si="69"/>
        <v>0</v>
      </c>
      <c r="G77" s="2"/>
      <c r="H77" s="6"/>
      <c r="I77" s="2"/>
      <c r="J77" s="7">
        <f t="shared" si="70"/>
        <v>0</v>
      </c>
      <c r="K77" s="2"/>
      <c r="L77" s="6">
        <f t="shared" si="71"/>
        <v>0</v>
      </c>
      <c r="M77" s="2"/>
      <c r="N77" s="7">
        <f t="shared" si="72"/>
        <v>0</v>
      </c>
      <c r="O77" s="11"/>
      <c r="P77" s="6"/>
      <c r="Q77" s="2"/>
      <c r="R77" s="7">
        <f t="shared" si="73"/>
        <v>0</v>
      </c>
      <c r="S77" s="2"/>
      <c r="T77" s="6">
        <v>444.3</v>
      </c>
      <c r="U77" s="2"/>
      <c r="V77" s="7">
        <f t="shared" si="74"/>
        <v>2.0847488166246871E-2</v>
      </c>
      <c r="W77" s="2"/>
      <c r="X77" s="6">
        <f t="shared" si="75"/>
        <v>-444.3</v>
      </c>
      <c r="Y77" s="2"/>
      <c r="Z77" s="7">
        <f t="shared" si="76"/>
        <v>-1</v>
      </c>
    </row>
    <row r="78" spans="1:26" s="24" customFormat="1" hidden="1" outlineLevel="2" x14ac:dyDescent="0.3">
      <c r="A78" s="28"/>
      <c r="B78" s="11" t="str">
        <f>CONCATENATE("          ", "6241", " - ", "OFFICE EXPENSE")</f>
        <v xml:space="preserve">          6241 - OFFICE EXPENSE</v>
      </c>
      <c r="C78" s="11"/>
      <c r="D78" s="6">
        <v>11.03</v>
      </c>
      <c r="E78" s="2"/>
      <c r="F78" s="7">
        <f t="shared" si="69"/>
        <v>9.5075961642064426E-4</v>
      </c>
      <c r="G78" s="2"/>
      <c r="H78" s="6"/>
      <c r="I78" s="2"/>
      <c r="J78" s="7">
        <f t="shared" si="70"/>
        <v>0</v>
      </c>
      <c r="K78" s="2"/>
      <c r="L78" s="6">
        <f t="shared" si="71"/>
        <v>11.03</v>
      </c>
      <c r="M78" s="2"/>
      <c r="N78" s="7">
        <f t="shared" si="72"/>
        <v>0</v>
      </c>
      <c r="O78" s="11"/>
      <c r="P78" s="6">
        <v>11.03</v>
      </c>
      <c r="Q78" s="2"/>
      <c r="R78" s="7">
        <f t="shared" si="73"/>
        <v>1.1742997213194064E-4</v>
      </c>
      <c r="S78" s="2"/>
      <c r="T78" s="6">
        <v>225.24</v>
      </c>
      <c r="U78" s="2"/>
      <c r="V78" s="7">
        <f t="shared" si="74"/>
        <v>1.056873336611624E-2</v>
      </c>
      <c r="W78" s="2"/>
      <c r="X78" s="6">
        <f t="shared" si="75"/>
        <v>-214.21</v>
      </c>
      <c r="Y78" s="2"/>
      <c r="Z78" s="7">
        <f t="shared" si="76"/>
        <v>-0.95103001243118446</v>
      </c>
    </row>
    <row r="79" spans="1:26" s="24" customFormat="1" hidden="1" outlineLevel="2" x14ac:dyDescent="0.3">
      <c r="A79" s="28"/>
      <c r="B79" s="11" t="str">
        <f>CONCATENATE("          ", "6247", " - ", "STORE SUPPLIES")</f>
        <v xml:space="preserve">          6247 - STORE SUPPLIES</v>
      </c>
      <c r="C79" s="11"/>
      <c r="D79" s="6"/>
      <c r="E79" s="2"/>
      <c r="F79" s="7">
        <f t="shared" si="69"/>
        <v>0</v>
      </c>
      <c r="G79" s="2"/>
      <c r="H79" s="6"/>
      <c r="I79" s="2"/>
      <c r="J79" s="7">
        <f t="shared" si="70"/>
        <v>0</v>
      </c>
      <c r="K79" s="2"/>
      <c r="L79" s="6">
        <f t="shared" si="71"/>
        <v>0</v>
      </c>
      <c r="M79" s="2"/>
      <c r="N79" s="7">
        <f t="shared" si="72"/>
        <v>0</v>
      </c>
      <c r="O79" s="11"/>
      <c r="P79" s="6">
        <v>342.91</v>
      </c>
      <c r="Q79" s="2"/>
      <c r="R79" s="7">
        <f t="shared" si="73"/>
        <v>3.6507626240946298E-3</v>
      </c>
      <c r="S79" s="2"/>
      <c r="T79" s="6">
        <v>1222.73</v>
      </c>
      <c r="U79" s="2"/>
      <c r="V79" s="7">
        <f t="shared" si="74"/>
        <v>5.7373056955919509E-2</v>
      </c>
      <c r="W79" s="2"/>
      <c r="X79" s="6">
        <f t="shared" si="75"/>
        <v>-879.81999999999994</v>
      </c>
      <c r="Y79" s="2"/>
      <c r="Z79" s="7">
        <f t="shared" si="76"/>
        <v>-0.7195537853818913</v>
      </c>
    </row>
    <row r="80" spans="1:26" s="29" customFormat="1" outlineLevel="1" collapsed="1" x14ac:dyDescent="0.3">
      <c r="A80" s="27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SUM(OSRRefD22_11x_0)</f>
        <v>53</v>
      </c>
      <c r="E80" s="1"/>
      <c r="F80" s="5">
        <f t="shared" ref="F80:F83" si="77">IF(D$12=0,0,D80/D$12)</f>
        <v>4.5684732248680096E-3</v>
      </c>
      <c r="G80" s="1"/>
      <c r="H80" s="1">
        <f>SUM(OSRRefH22_11x_0)</f>
        <v>53</v>
      </c>
      <c r="I80" s="1"/>
      <c r="J80" s="5">
        <f t="shared" ref="J80:J83" si="78">IF(H$12=0,0,H80/H$12)</f>
        <v>0</v>
      </c>
      <c r="K80" s="1"/>
      <c r="L80" s="1">
        <f t="shared" ref="L80:L83" si="79">+D80-H80</f>
        <v>0</v>
      </c>
      <c r="M80" s="1"/>
      <c r="N80" s="5">
        <f t="shared" ref="N80:N83" si="80">IF(H80=0,0,L80/H80)</f>
        <v>0</v>
      </c>
      <c r="O80" s="14"/>
      <c r="P80" s="1">
        <f>SUM(OSRRefP22_11x_0)</f>
        <v>278</v>
      </c>
      <c r="Q80" s="1"/>
      <c r="R80" s="5">
        <f t="shared" ref="R80:R83" si="81">IF(P$12=0,0,P80/P$12)</f>
        <v>2.959703740043472E-3</v>
      </c>
      <c r="S80" s="1"/>
      <c r="T80" s="1">
        <f>SUM(OSRRefT22_11x_0)</f>
        <v>366.05</v>
      </c>
      <c r="U80" s="1"/>
      <c r="V80" s="5">
        <f t="shared" ref="V80:V83" si="82">IF(T$12=0,0,T80/T$12)</f>
        <v>1.7175833993370849E-2</v>
      </c>
      <c r="W80" s="1"/>
      <c r="X80" s="1">
        <f t="shared" ref="X80:X83" si="83">+P80-T80</f>
        <v>-88.050000000000011</v>
      </c>
      <c r="Y80" s="1"/>
      <c r="Z80" s="5">
        <f t="shared" ref="Z80:Z83" si="84">IF(T80=0,0,X80/T80)</f>
        <v>-0.24054090971178804</v>
      </c>
    </row>
    <row r="81" spans="1:26" s="24" customFormat="1" hidden="1" outlineLevel="2" x14ac:dyDescent="0.3">
      <c r="A81" s="28"/>
      <c r="B81" s="11" t="str">
        <f>CONCATENATE("          ", "6309", " - ", "TELEPHONE")</f>
        <v xml:space="preserve">          6309 - TELEPHONE</v>
      </c>
      <c r="C81" s="11"/>
      <c r="D81" s="6">
        <v>53</v>
      </c>
      <c r="E81" s="2"/>
      <c r="F81" s="7">
        <f t="shared" si="77"/>
        <v>4.5684732248680096E-3</v>
      </c>
      <c r="G81" s="2"/>
      <c r="H81" s="6">
        <v>53</v>
      </c>
      <c r="I81" s="2"/>
      <c r="J81" s="7">
        <f t="shared" si="78"/>
        <v>0</v>
      </c>
      <c r="K81" s="2"/>
      <c r="L81" s="6">
        <f t="shared" si="79"/>
        <v>0</v>
      </c>
      <c r="M81" s="2"/>
      <c r="N81" s="7">
        <f t="shared" si="80"/>
        <v>0</v>
      </c>
      <c r="O81" s="11"/>
      <c r="P81" s="6">
        <v>278</v>
      </c>
      <c r="Q81" s="2"/>
      <c r="R81" s="7">
        <f t="shared" si="81"/>
        <v>2.959703740043472E-3</v>
      </c>
      <c r="S81" s="2"/>
      <c r="T81" s="6">
        <v>366.05</v>
      </c>
      <c r="U81" s="2"/>
      <c r="V81" s="7">
        <f t="shared" si="82"/>
        <v>1.7175833993370849E-2</v>
      </c>
      <c r="W81" s="2"/>
      <c r="X81" s="6">
        <f t="shared" si="83"/>
        <v>-88.050000000000011</v>
      </c>
      <c r="Y81" s="2"/>
      <c r="Z81" s="7">
        <f t="shared" si="84"/>
        <v>-0.24054090971178804</v>
      </c>
    </row>
    <row r="82" spans="1:26" s="29" customFormat="1" outlineLevel="1" collapsed="1" x14ac:dyDescent="0.3">
      <c r="A82" s="27"/>
      <c r="B82" s="14" t="str">
        <f>CONCATENATE("     ","Training                                          ")</f>
        <v xml:space="preserve">     Training                                          </v>
      </c>
      <c r="C82" s="14"/>
      <c r="D82" s="1">
        <f>SUM(OSRRefD22_12x_0)</f>
        <v>0</v>
      </c>
      <c r="E82" s="1"/>
      <c r="F82" s="5">
        <f t="shared" si="77"/>
        <v>0</v>
      </c>
      <c r="G82" s="1"/>
      <c r="H82" s="1">
        <f>SUM(OSRRefH22_12x_0)</f>
        <v>0</v>
      </c>
      <c r="I82" s="1"/>
      <c r="J82" s="5">
        <f t="shared" si="78"/>
        <v>0</v>
      </c>
      <c r="K82" s="1"/>
      <c r="L82" s="1">
        <f t="shared" si="79"/>
        <v>0</v>
      </c>
      <c r="M82" s="1"/>
      <c r="N82" s="5">
        <f t="shared" si="80"/>
        <v>0</v>
      </c>
      <c r="O82" s="14"/>
      <c r="P82" s="1">
        <f>SUM(OSRRefP22_12x_0)</f>
        <v>0</v>
      </c>
      <c r="Q82" s="1"/>
      <c r="R82" s="5">
        <f t="shared" si="81"/>
        <v>0</v>
      </c>
      <c r="S82" s="1"/>
      <c r="T82" s="1">
        <f>SUM(OSRRefT22_12x_0)</f>
        <v>14</v>
      </c>
      <c r="U82" s="1"/>
      <c r="V82" s="5">
        <f t="shared" si="82"/>
        <v>6.5690937278293094E-4</v>
      </c>
      <c r="W82" s="1"/>
      <c r="X82" s="1">
        <f t="shared" si="83"/>
        <v>-14</v>
      </c>
      <c r="Y82" s="1"/>
      <c r="Z82" s="5">
        <f t="shared" si="84"/>
        <v>-1</v>
      </c>
    </row>
    <row r="83" spans="1:26" s="24" customFormat="1" hidden="1" outlineLevel="2" x14ac:dyDescent="0.3">
      <c r="A83" s="28"/>
      <c r="B83" s="11" t="str">
        <f>CONCATENATE("          ", "6376", " - ", "TRAINING")</f>
        <v xml:space="preserve">          6376 - TRAINING</v>
      </c>
      <c r="C83" s="11"/>
      <c r="D83" s="6"/>
      <c r="E83" s="2"/>
      <c r="F83" s="7">
        <f t="shared" si="77"/>
        <v>0</v>
      </c>
      <c r="G83" s="2"/>
      <c r="H83" s="6"/>
      <c r="I83" s="2"/>
      <c r="J83" s="7">
        <f t="shared" si="78"/>
        <v>0</v>
      </c>
      <c r="K83" s="2"/>
      <c r="L83" s="6">
        <f t="shared" si="79"/>
        <v>0</v>
      </c>
      <c r="M83" s="2"/>
      <c r="N83" s="7">
        <f t="shared" si="80"/>
        <v>0</v>
      </c>
      <c r="O83" s="11"/>
      <c r="P83" s="6"/>
      <c r="Q83" s="2"/>
      <c r="R83" s="7">
        <f t="shared" si="81"/>
        <v>0</v>
      </c>
      <c r="S83" s="2"/>
      <c r="T83" s="6">
        <v>14</v>
      </c>
      <c r="U83" s="2"/>
      <c r="V83" s="7">
        <f t="shared" si="82"/>
        <v>6.5690937278293094E-4</v>
      </c>
      <c r="W83" s="2"/>
      <c r="X83" s="6">
        <f t="shared" si="83"/>
        <v>-14</v>
      </c>
      <c r="Y83" s="2"/>
      <c r="Z83" s="7">
        <f t="shared" si="84"/>
        <v>-1</v>
      </c>
    </row>
    <row r="84" spans="1:26" s="53" customFormat="1" x14ac:dyDescent="0.3">
      <c r="A84" s="37"/>
      <c r="B84" s="37"/>
      <c r="C84" s="37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3">
      <c r="A85" s="10"/>
      <c r="B85" s="25" t="s">
        <v>292</v>
      </c>
      <c r="C85" s="10"/>
      <c r="D85" s="4">
        <f>SUM(0)</f>
        <v>0</v>
      </c>
      <c r="E85" s="4"/>
      <c r="F85" s="12">
        <f>IF(D$12=0,0,D85/D$12)</f>
        <v>0</v>
      </c>
      <c r="G85" s="4"/>
      <c r="H85" s="4">
        <f>SUM(0)</f>
        <v>0</v>
      </c>
      <c r="I85" s="4"/>
      <c r="J85" s="12">
        <f>IF(H$12=0,0,H85/H$12)</f>
        <v>0</v>
      </c>
      <c r="K85" s="4"/>
      <c r="L85" s="4">
        <f>+D85-H85</f>
        <v>0</v>
      </c>
      <c r="M85" s="4"/>
      <c r="N85" s="12">
        <f>IF(H85=0,0,L85/H85)</f>
        <v>0</v>
      </c>
      <c r="O85" s="10"/>
      <c r="P85" s="4">
        <f>SUM(0)</f>
        <v>0</v>
      </c>
      <c r="Q85" s="4"/>
      <c r="R85" s="12">
        <f>IF(P$12=0,0,P85/P$12)</f>
        <v>0</v>
      </c>
      <c r="S85" s="4"/>
      <c r="T85" s="4">
        <f>SUM(0)</f>
        <v>0</v>
      </c>
      <c r="U85" s="4"/>
      <c r="V85" s="12">
        <f>IF(T$12=0,0,T85/T$12)</f>
        <v>0</v>
      </c>
      <c r="W85" s="4"/>
      <c r="X85" s="4">
        <f>+P85-T85</f>
        <v>0</v>
      </c>
      <c r="Y85" s="4"/>
      <c r="Z85" s="12">
        <f>IF(T85=0,0,X85/T85)</f>
        <v>0</v>
      </c>
    </row>
    <row r="86" spans="1:26" x14ac:dyDescent="0.3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3">
      <c r="A87" s="10"/>
      <c r="B87" s="26" t="s">
        <v>276</v>
      </c>
      <c r="C87" s="26"/>
      <c r="D87" s="20">
        <f>+D42-D44+D85</f>
        <v>-2021.2800000000016</v>
      </c>
      <c r="E87" s="13"/>
      <c r="F87" s="21">
        <f>IF(D$12=0,0,D87/D$12)</f>
        <v>-0.17422950113134375</v>
      </c>
      <c r="G87" s="13"/>
      <c r="H87" s="20">
        <f>+H42-H44+H85</f>
        <v>214.81</v>
      </c>
      <c r="I87" s="13"/>
      <c r="J87" s="21">
        <f>IF(H$12=0,0,H87/H$12)</f>
        <v>0</v>
      </c>
      <c r="K87" s="15"/>
      <c r="L87" s="20">
        <f>+D87-H87</f>
        <v>-2236.0900000000015</v>
      </c>
      <c r="M87" s="15"/>
      <c r="N87" s="21">
        <f>IF(H87=0,0,L87/H87)</f>
        <v>-10.409617801778323</v>
      </c>
      <c r="O87" s="25"/>
      <c r="P87" s="20">
        <f>+P42-P44+P85</f>
        <v>12818.049999999981</v>
      </c>
      <c r="Q87" s="13"/>
      <c r="R87" s="21">
        <f>IF(P$12=0,0,P87/P$12)</f>
        <v>0.13646629685274883</v>
      </c>
      <c r="S87" s="13"/>
      <c r="T87" s="20">
        <f>+T42-T44+T85</f>
        <v>-4827.5699999999924</v>
      </c>
      <c r="U87" s="13"/>
      <c r="V87" s="21">
        <f>IF(T$12=0,0,T87/T$12)</f>
        <v>-0.22651971291183493</v>
      </c>
      <c r="W87" s="15"/>
      <c r="X87" s="20">
        <f>+P87-T87</f>
        <v>17645.619999999974</v>
      </c>
      <c r="Y87" s="15"/>
      <c r="Z87" s="21">
        <f>IF(T87=0,0,X87/T87)</f>
        <v>-3.6551764138065321</v>
      </c>
    </row>
    <row r="88" spans="1:26" x14ac:dyDescent="0.3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3">
      <c r="A89" s="51"/>
      <c r="B89" s="10" t="s">
        <v>127</v>
      </c>
      <c r="C89" s="10"/>
      <c r="D89" s="4">
        <v>1500.11</v>
      </c>
      <c r="E89" s="4"/>
      <c r="F89" s="12">
        <f>IF(D$12=0,0,D89/D$12)</f>
        <v>0.1293058937614481</v>
      </c>
      <c r="G89" s="4"/>
      <c r="H89" s="4">
        <v>556.70000000000005</v>
      </c>
      <c r="I89" s="4"/>
      <c r="J89" s="12">
        <f>IF(H$12=0,0,H89/H$12)</f>
        <v>0</v>
      </c>
      <c r="K89" s="4"/>
      <c r="L89" s="4">
        <f>+D89-H89</f>
        <v>943.40999999999985</v>
      </c>
      <c r="M89" s="4"/>
      <c r="N89" s="12">
        <f>IF(H89=0,0,L89/H89)</f>
        <v>1.6946470271241239</v>
      </c>
      <c r="O89" s="10"/>
      <c r="P89" s="4">
        <v>11306.23</v>
      </c>
      <c r="Q89" s="4"/>
      <c r="R89" s="12">
        <f>IF(P$12=0,0,P89/P$12)</f>
        <v>0.12037083171507808</v>
      </c>
      <c r="S89" s="4"/>
      <c r="T89" s="4">
        <v>3943.16</v>
      </c>
      <c r="U89" s="4"/>
      <c r="V89" s="12">
        <f>IF(T$12=0,0,T89/T$12)</f>
        <v>0.18502134017019584</v>
      </c>
      <c r="W89" s="4"/>
      <c r="X89" s="4">
        <f>+P89-T89</f>
        <v>7363.07</v>
      </c>
      <c r="Y89" s="4"/>
      <c r="Z89" s="12">
        <f>IF(T89=0,0,X89/T89)</f>
        <v>1.8673018594223922</v>
      </c>
    </row>
    <row r="90" spans="1:26" x14ac:dyDescent="0.3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" thickBot="1" x14ac:dyDescent="0.35">
      <c r="A91" s="10"/>
      <c r="B91" s="26" t="s">
        <v>125</v>
      </c>
      <c r="C91" s="26"/>
      <c r="D91" s="32">
        <f>+D87-D89</f>
        <v>-3521.3900000000012</v>
      </c>
      <c r="E91" s="13"/>
      <c r="F91" s="35">
        <f>IF(D$12=0,0,D91/D$12)</f>
        <v>-0.30353539489279185</v>
      </c>
      <c r="G91" s="13"/>
      <c r="H91" s="32">
        <f>+H87-H89</f>
        <v>-341.89000000000004</v>
      </c>
      <c r="I91" s="13"/>
      <c r="J91" s="35">
        <f>IF(H$12=0,0,H91/H$12)</f>
        <v>0</v>
      </c>
      <c r="K91" s="15"/>
      <c r="L91" s="32">
        <f>D91-H91</f>
        <v>-3179.5000000000014</v>
      </c>
      <c r="M91" s="15"/>
      <c r="N91" s="35">
        <f>IF(H91=0,0,L91/H91)</f>
        <v>9.2997747813624301</v>
      </c>
      <c r="O91" s="25"/>
      <c r="P91" s="32">
        <f>+P87-P89</f>
        <v>1511.8199999999815</v>
      </c>
      <c r="Q91" s="13"/>
      <c r="R91" s="35">
        <f>IF(P$12=0,0,P91/P$12)</f>
        <v>1.6095465137670746E-2</v>
      </c>
      <c r="S91" s="13"/>
      <c r="T91" s="32">
        <f>+T87-T89</f>
        <v>-8770.7299999999923</v>
      </c>
      <c r="U91" s="13"/>
      <c r="V91" s="35">
        <f>IF(T$12=0,0,T91/T$12)</f>
        <v>-0.41154105308203076</v>
      </c>
      <c r="W91" s="15"/>
      <c r="X91" s="32">
        <f>P91-T91</f>
        <v>10282.549999999974</v>
      </c>
      <c r="Y91" s="15"/>
      <c r="Z91" s="35">
        <f>IF(T91=0,0,X91/T91)</f>
        <v>-1.1723710569131627</v>
      </c>
    </row>
    <row r="92" spans="1:26" ht="15" thickTop="1" x14ac:dyDescent="0.3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3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" thickBot="1" x14ac:dyDescent="0.35">
      <c r="A94" s="10"/>
      <c r="B94" s="26" t="s">
        <v>293</v>
      </c>
      <c r="C94" s="26"/>
      <c r="D94" s="31">
        <f>SUM(D91:D93)</f>
        <v>-3521.3900000000012</v>
      </c>
      <c r="E94" s="13"/>
      <c r="F94" s="33">
        <f>IF(D$12=0,0,D94/D$12)</f>
        <v>-0.30353539489279185</v>
      </c>
      <c r="G94" s="13"/>
      <c r="H94" s="31">
        <f>SUM(H91:H93)</f>
        <v>-341.89000000000004</v>
      </c>
      <c r="I94" s="13"/>
      <c r="J94" s="33">
        <f>IF(H$12=0,0,H94/H$12)</f>
        <v>0</v>
      </c>
      <c r="K94" s="15"/>
      <c r="L94" s="31">
        <f>+D94-H94</f>
        <v>-3179.5000000000014</v>
      </c>
      <c r="M94" s="15"/>
      <c r="N94" s="33">
        <f>IF(H94=0,0,L94/H94)</f>
        <v>9.2997747813624301</v>
      </c>
      <c r="O94" s="25"/>
      <c r="P94" s="31">
        <f>SUM(P91:P93)</f>
        <v>1511.8199999999815</v>
      </c>
      <c r="Q94" s="13"/>
      <c r="R94" s="33">
        <f>IF(P$12=0,0,P94/P$12)</f>
        <v>1.6095465137670746E-2</v>
      </c>
      <c r="S94" s="13"/>
      <c r="T94" s="31">
        <f>SUM(T91:T93)</f>
        <v>-8770.7299999999923</v>
      </c>
      <c r="U94" s="13"/>
      <c r="V94" s="33">
        <f>IF(T$12=0,0,T94/T$12)</f>
        <v>-0.41154105308203076</v>
      </c>
      <c r="W94" s="15"/>
      <c r="X94" s="31">
        <f>+P94-T94</f>
        <v>10282.549999999974</v>
      </c>
      <c r="Y94" s="15"/>
      <c r="Z94" s="33">
        <f>IF(T94=0,0,X94/T94)</f>
        <v>-1.1723710569131627</v>
      </c>
    </row>
    <row r="95" spans="1:26" ht="15" thickTop="1" x14ac:dyDescent="0.3">
      <c r="A95" s="9"/>
      <c r="C95" s="9"/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3">
      <c r="A96" s="9"/>
      <c r="B96" s="60">
        <v>44575.854680405093</v>
      </c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3">
      <c r="A97" s="9"/>
      <c r="B97" s="57" t="s">
        <v>56</v>
      </c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3">
      <c r="A98" s="9"/>
      <c r="B98" s="59"/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3"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","307", " - ", "Art Store")</f>
        <v>Department 307 - Art Store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11601.25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25" si="0">+D12-H12</f>
        <v>11601.25</v>
      </c>
      <c r="M12" s="4"/>
      <c r="N12" s="12">
        <f t="shared" ref="N12:N25" si="1">IF(H12=0,0,L12/H12)</f>
        <v>0</v>
      </c>
      <c r="O12" s="10"/>
      <c r="P12" s="4">
        <f>SUM(OSRRefP13x_0)</f>
        <v>93928.319999999978</v>
      </c>
      <c r="Q12" s="4"/>
      <c r="R12" s="12"/>
      <c r="S12" s="4"/>
      <c r="T12" s="4">
        <f>SUM(OSRRefT13x_0)</f>
        <v>21311.919999999998</v>
      </c>
      <c r="U12" s="4"/>
      <c r="V12" s="12"/>
      <c r="W12" s="4"/>
      <c r="X12" s="4">
        <f t="shared" ref="X12:X25" si="2">+P12-T12</f>
        <v>72616.39999999998</v>
      </c>
      <c r="Y12" s="4"/>
      <c r="Z12" s="12">
        <f t="shared" ref="Z12:Z25" si="3">IF(T12=0,0,X12/T12)</f>
        <v>3.4073138412681723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--8671.83</f>
        <v>8671.83</v>
      </c>
      <c r="E13" s="2"/>
      <c r="F13" s="19"/>
      <c r="G13" s="2"/>
      <c r="H13" s="2">
        <f t="shared" ref="H13:H25" si="4">0</f>
        <v>0</v>
      </c>
      <c r="I13" s="2"/>
      <c r="J13" s="19"/>
      <c r="K13" s="2"/>
      <c r="L13" s="2">
        <f t="shared" si="0"/>
        <v>8671.83</v>
      </c>
      <c r="M13" s="2"/>
      <c r="N13" s="19">
        <f t="shared" si="1"/>
        <v>0</v>
      </c>
      <c r="O13" s="11"/>
      <c r="P13" s="2">
        <f>--69743.31</f>
        <v>69743.31</v>
      </c>
      <c r="Q13" s="2"/>
      <c r="R13" s="19"/>
      <c r="S13" s="2"/>
      <c r="T13" s="2">
        <f>-1096.44</f>
        <v>-1096.44</v>
      </c>
      <c r="U13" s="2"/>
      <c r="V13" s="19"/>
      <c r="W13" s="2"/>
      <c r="X13" s="2">
        <f t="shared" si="2"/>
        <v>70839.75</v>
      </c>
      <c r="Y13" s="2"/>
      <c r="Z13" s="19">
        <f t="shared" si="3"/>
        <v>-64.608870526430991</v>
      </c>
    </row>
    <row r="14" spans="1:26" s="24" customFormat="1" hidden="1" outlineLevel="1" x14ac:dyDescent="0.3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19" si="5"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19" si="6">0</f>
        <v>0</v>
      </c>
      <c r="Q14" s="2"/>
      <c r="R14" s="19"/>
      <c r="S14" s="2"/>
      <c r="T14" s="2">
        <f>--17.51</f>
        <v>17.510000000000002</v>
      </c>
      <c r="U14" s="2"/>
      <c r="V14" s="19"/>
      <c r="W14" s="2"/>
      <c r="X14" s="2">
        <f t="shared" si="2"/>
        <v>-17.510000000000002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5"/>
        <v>0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>--7990.32</f>
        <v>7990.32</v>
      </c>
      <c r="U15" s="2"/>
      <c r="V15" s="19"/>
      <c r="W15" s="2"/>
      <c r="X15" s="2">
        <f t="shared" si="2"/>
        <v>-7990.32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5"/>
        <v>0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6"/>
        <v>0</v>
      </c>
      <c r="Q16" s="2"/>
      <c r="R16" s="19"/>
      <c r="S16" s="2"/>
      <c r="T16" s="2">
        <f>--12479.05</f>
        <v>12479.05</v>
      </c>
      <c r="U16" s="2"/>
      <c r="V16" s="19"/>
      <c r="W16" s="2"/>
      <c r="X16" s="2">
        <f t="shared" si="2"/>
        <v>-12479.05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5"/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6"/>
        <v>0</v>
      </c>
      <c r="Q17" s="2"/>
      <c r="R17" s="19"/>
      <c r="S17" s="2"/>
      <c r="T17" s="2">
        <f>--374.55</f>
        <v>374.55</v>
      </c>
      <c r="U17" s="2"/>
      <c r="V17" s="19"/>
      <c r="W17" s="2"/>
      <c r="X17" s="2">
        <f t="shared" si="2"/>
        <v>-374.55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5"/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6"/>
        <v>0</v>
      </c>
      <c r="Q18" s="2"/>
      <c r="R18" s="19"/>
      <c r="S18" s="2"/>
      <c r="T18" s="2">
        <f>--71.95</f>
        <v>71.95</v>
      </c>
      <c r="U18" s="2"/>
      <c r="V18" s="19"/>
      <c r="W18" s="2"/>
      <c r="X18" s="2">
        <f t="shared" si="2"/>
        <v>-71.95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5"/>
        <v>0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6"/>
        <v>0</v>
      </c>
      <c r="Q19" s="2"/>
      <c r="R19" s="19"/>
      <c r="S19" s="2"/>
      <c r="T19" s="2">
        <f>--9.99</f>
        <v>9.99</v>
      </c>
      <c r="U19" s="2"/>
      <c r="V19" s="19"/>
      <c r="W19" s="2"/>
      <c r="X19" s="2">
        <f t="shared" si="2"/>
        <v>-9.99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>--4265.13</f>
        <v>4265.13</v>
      </c>
      <c r="E20" s="2"/>
      <c r="F20" s="19"/>
      <c r="G20" s="2"/>
      <c r="H20" s="2">
        <f t="shared" si="4"/>
        <v>0</v>
      </c>
      <c r="I20" s="2"/>
      <c r="J20" s="19"/>
      <c r="K20" s="2"/>
      <c r="L20" s="2">
        <f t="shared" si="0"/>
        <v>4265.13</v>
      </c>
      <c r="M20" s="2"/>
      <c r="N20" s="19">
        <f t="shared" si="1"/>
        <v>0</v>
      </c>
      <c r="O20" s="11"/>
      <c r="P20" s="2">
        <f>--26802.96</f>
        <v>26802.959999999999</v>
      </c>
      <c r="Q20" s="2"/>
      <c r="R20" s="19"/>
      <c r="S20" s="2"/>
      <c r="T20" s="2">
        <f>0</f>
        <v>0</v>
      </c>
      <c r="U20" s="2"/>
      <c r="V20" s="19"/>
      <c r="W20" s="2"/>
      <c r="X20" s="2">
        <f t="shared" si="2"/>
        <v>26802.959999999999</v>
      </c>
      <c r="Y20" s="2"/>
      <c r="Z20" s="19">
        <f t="shared" si="3"/>
        <v>0</v>
      </c>
    </row>
    <row r="21" spans="1:26" s="24" customFormat="1" hidden="1" outlineLevel="1" x14ac:dyDescent="0.3">
      <c r="A21" s="44"/>
      <c r="B21" s="11" t="str">
        <f>CONCATENATE("          ", "4131", " - ", "NON-TAXABLE SALES-FOOD")</f>
        <v xml:space="preserve">          4131 - NON-TAXABLE SALES-FOOD</v>
      </c>
      <c r="C21" s="11"/>
      <c r="D21" s="2">
        <f>0</f>
        <v>0</v>
      </c>
      <c r="E21" s="2"/>
      <c r="F21" s="19"/>
      <c r="G21" s="2"/>
      <c r="H21" s="2">
        <f t="shared" si="4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0</f>
        <v>0</v>
      </c>
      <c r="Q21" s="2"/>
      <c r="R21" s="19"/>
      <c r="S21" s="2"/>
      <c r="T21" s="2">
        <f>--1847.16</f>
        <v>1847.16</v>
      </c>
      <c r="U21" s="2"/>
      <c r="V21" s="19"/>
      <c r="W21" s="2"/>
      <c r="X21" s="2">
        <f t="shared" si="2"/>
        <v>-1847.16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"4200", " - ", "TAXABLE RETURNS")</f>
        <v xml:space="preserve">          4200 - TAXABLE RETURNS</v>
      </c>
      <c r="C22" s="11"/>
      <c r="D22" s="2">
        <f>-53.97</f>
        <v>-53.97</v>
      </c>
      <c r="E22" s="2"/>
      <c r="F22" s="19"/>
      <c r="G22" s="2"/>
      <c r="H22" s="2">
        <f t="shared" si="4"/>
        <v>0</v>
      </c>
      <c r="I22" s="2"/>
      <c r="J22" s="19"/>
      <c r="K22" s="2"/>
      <c r="L22" s="2">
        <f t="shared" si="0"/>
        <v>-53.97</v>
      </c>
      <c r="M22" s="2"/>
      <c r="N22" s="19">
        <f t="shared" si="1"/>
        <v>0</v>
      </c>
      <c r="O22" s="11"/>
      <c r="P22" s="2">
        <f>-1026.49</f>
        <v>-1026.49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-1026.49</v>
      </c>
      <c r="Y22" s="2"/>
      <c r="Z22" s="19">
        <f t="shared" si="3"/>
        <v>0</v>
      </c>
    </row>
    <row r="23" spans="1:26" s="24" customFormat="1" hidden="1" outlineLevel="1" x14ac:dyDescent="0.3">
      <c r="A23" s="44"/>
      <c r="B23" s="11" t="str">
        <f>CONCATENATE("          ", "4227", " - ", "SALES RETURN TAXABLE-SCHOOL SU")</f>
        <v xml:space="preserve">          4227 - SALES RETURN TAXABLE-SCHOOL SU</v>
      </c>
      <c r="C23" s="11"/>
      <c r="D23" s="2">
        <f t="shared" ref="D23:D24" si="7">0</f>
        <v>0</v>
      </c>
      <c r="E23" s="2"/>
      <c r="F23" s="19"/>
      <c r="G23" s="2"/>
      <c r="H23" s="2">
        <f t="shared" si="4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8">0</f>
        <v>0</v>
      </c>
      <c r="Q23" s="2"/>
      <c r="R23" s="19"/>
      <c r="S23" s="2"/>
      <c r="T23" s="2">
        <f>-159.97</f>
        <v>-159.97</v>
      </c>
      <c r="U23" s="2"/>
      <c r="V23" s="19"/>
      <c r="W23" s="2"/>
      <c r="X23" s="2">
        <f t="shared" si="2"/>
        <v>159.97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"4228", " - ", "SALES RETURN TAXABLE-ART/TECH")</f>
        <v xml:space="preserve">          4228 - SALES RETURN TAXABLE-ART/TECH</v>
      </c>
      <c r="C24" s="11"/>
      <c r="D24" s="2">
        <f t="shared" si="7"/>
        <v>0</v>
      </c>
      <c r="E24" s="2"/>
      <c r="F24" s="19"/>
      <c r="G24" s="2"/>
      <c r="H24" s="2">
        <f t="shared" si="4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si="8"/>
        <v>0</v>
      </c>
      <c r="Q24" s="2"/>
      <c r="R24" s="19"/>
      <c r="S24" s="2"/>
      <c r="T24" s="2">
        <f>-222.2</f>
        <v>-222.2</v>
      </c>
      <c r="U24" s="2"/>
      <c r="V24" s="19"/>
      <c r="W24" s="2"/>
      <c r="X24" s="2">
        <f t="shared" si="2"/>
        <v>222.2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"4500", " - ", "SALES DISCOUNT")</f>
        <v xml:space="preserve">          4500 - SALES DISCOUNT</v>
      </c>
      <c r="C25" s="11"/>
      <c r="D25" s="2">
        <f>-1281.74</f>
        <v>-1281.74</v>
      </c>
      <c r="E25" s="2"/>
      <c r="F25" s="19"/>
      <c r="G25" s="2"/>
      <c r="H25" s="2">
        <f t="shared" si="4"/>
        <v>0</v>
      </c>
      <c r="I25" s="2"/>
      <c r="J25" s="19"/>
      <c r="K25" s="2"/>
      <c r="L25" s="2">
        <f t="shared" si="0"/>
        <v>-1281.74</v>
      </c>
      <c r="M25" s="2"/>
      <c r="N25" s="19">
        <f t="shared" si="1"/>
        <v>0</v>
      </c>
      <c r="O25" s="11"/>
      <c r="P25" s="2">
        <f>-1591.46</f>
        <v>-1591.46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-1591.46</v>
      </c>
      <c r="Y25" s="2"/>
      <c r="Z25" s="19">
        <f t="shared" si="3"/>
        <v>0</v>
      </c>
    </row>
    <row r="26" spans="1:26" x14ac:dyDescent="0.3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collapsed="1" x14ac:dyDescent="0.3">
      <c r="A27" s="10"/>
      <c r="B27" s="25" t="s">
        <v>256</v>
      </c>
      <c r="C27" s="10"/>
      <c r="D27" s="4">
        <f>SUM(OSRRefD16x_0)</f>
        <v>7098.52</v>
      </c>
      <c r="E27" s="4"/>
      <c r="F27" s="12">
        <f t="shared" ref="F27:F37" si="9">IF(D$12=0,0,D27/D$12)</f>
        <v>0.6118754444564164</v>
      </c>
      <c r="G27" s="4"/>
      <c r="H27" s="4">
        <f>SUM(OSRRefH16x_0)</f>
        <v>-488.92</v>
      </c>
      <c r="I27" s="4"/>
      <c r="J27" s="12">
        <f t="shared" ref="J27:J37" si="10">IF(H$12=0,0,H27/H$12)</f>
        <v>0</v>
      </c>
      <c r="K27" s="4"/>
      <c r="L27" s="4">
        <f t="shared" ref="L27:L37" si="11">+D27-H27</f>
        <v>7587.4400000000005</v>
      </c>
      <c r="M27" s="4"/>
      <c r="N27" s="12">
        <f t="shared" ref="N27:N37" si="12">IF(H27=0,0,L27/H27)</f>
        <v>-15.518776077885953</v>
      </c>
      <c r="O27" s="10"/>
      <c r="P27" s="4">
        <f>SUM(OSRRefP16x_0)</f>
        <v>53591.54</v>
      </c>
      <c r="Q27" s="4"/>
      <c r="R27" s="12">
        <f t="shared" ref="R27:R37" si="13">IF(P$12=0,0,P27/P$12)</f>
        <v>0.57055784666435017</v>
      </c>
      <c r="S27" s="4"/>
      <c r="T27" s="4">
        <f>SUM(OSRRefT16x_0)</f>
        <v>13711.739999999994</v>
      </c>
      <c r="U27" s="4"/>
      <c r="V27" s="12">
        <f t="shared" ref="V27:V37" si="14">IF(T$12=0,0,T27/T$12)</f>
        <v>0.64338360879733014</v>
      </c>
      <c r="W27" s="4"/>
      <c r="X27" s="4">
        <f t="shared" ref="X27:X37" si="15">+P27-T27</f>
        <v>39879.800000000003</v>
      </c>
      <c r="Y27" s="4"/>
      <c r="Z27" s="12">
        <f t="shared" ref="Z27:Z37" si="16">IF(T27=0,0,X27/T27)</f>
        <v>2.908441962872693</v>
      </c>
    </row>
    <row r="28" spans="1:26" s="24" customFormat="1" hidden="1" outlineLevel="1" x14ac:dyDescent="0.3">
      <c r="A28" s="44"/>
      <c r="B28" s="11" t="str">
        <f>CONCATENATE("          ", "5000", " - ", "PURCHASES @ COST")</f>
        <v xml:space="preserve">          5000 - PURCHASES @ COST</v>
      </c>
      <c r="C28" s="11"/>
      <c r="D28" s="2">
        <v>9742.81</v>
      </c>
      <c r="E28" s="2"/>
      <c r="F28" s="19">
        <f t="shared" si="9"/>
        <v>0.83980691735804325</v>
      </c>
      <c r="G28" s="2"/>
      <c r="H28" s="2"/>
      <c r="I28" s="2"/>
      <c r="J28" s="19">
        <f t="shared" si="10"/>
        <v>0</v>
      </c>
      <c r="K28" s="2"/>
      <c r="L28" s="2">
        <f t="shared" si="11"/>
        <v>9742.81</v>
      </c>
      <c r="M28" s="2"/>
      <c r="N28" s="19">
        <f t="shared" si="12"/>
        <v>0</v>
      </c>
      <c r="O28" s="11"/>
      <c r="P28" s="2">
        <v>82267.97</v>
      </c>
      <c r="Q28" s="2"/>
      <c r="R28" s="19">
        <f t="shared" si="13"/>
        <v>0.87585905933375596</v>
      </c>
      <c r="S28" s="2"/>
      <c r="T28" s="2"/>
      <c r="U28" s="2"/>
      <c r="V28" s="19">
        <f t="shared" si="14"/>
        <v>0</v>
      </c>
      <c r="W28" s="2"/>
      <c r="X28" s="2">
        <f t="shared" si="15"/>
        <v>82267.97</v>
      </c>
      <c r="Y28" s="2"/>
      <c r="Z28" s="19">
        <f t="shared" si="16"/>
        <v>0</v>
      </c>
    </row>
    <row r="29" spans="1:26" s="24" customFormat="1" hidden="1" outlineLevel="1" x14ac:dyDescent="0.3">
      <c r="A29" s="44"/>
      <c r="B29" s="11" t="str">
        <f>CONCATENATE("          ", "5026", " - ", "PURCHASES @ COST-WRITING INSTR")</f>
        <v xml:space="preserve">          5026 - PURCHASES @ COST-WRITING INSTR</v>
      </c>
      <c r="C29" s="11"/>
      <c r="D29" s="2"/>
      <c r="E29" s="2"/>
      <c r="F29" s="19">
        <f t="shared" si="9"/>
        <v>0</v>
      </c>
      <c r="G29" s="2"/>
      <c r="H29" s="2">
        <v>-5.1100000000000003</v>
      </c>
      <c r="I29" s="2"/>
      <c r="J29" s="19">
        <f t="shared" si="10"/>
        <v>0</v>
      </c>
      <c r="K29" s="2"/>
      <c r="L29" s="2">
        <f t="shared" si="11"/>
        <v>5.1100000000000003</v>
      </c>
      <c r="M29" s="2"/>
      <c r="N29" s="19">
        <f t="shared" si="12"/>
        <v>-1</v>
      </c>
      <c r="O29" s="11"/>
      <c r="P29" s="2">
        <v>0</v>
      </c>
      <c r="Q29" s="2"/>
      <c r="R29" s="19">
        <f t="shared" si="13"/>
        <v>0</v>
      </c>
      <c r="S29" s="2"/>
      <c r="T29" s="2">
        <v>364.91</v>
      </c>
      <c r="U29" s="2"/>
      <c r="V29" s="19">
        <f t="shared" si="14"/>
        <v>1.7122342801587094E-2</v>
      </c>
      <c r="W29" s="2"/>
      <c r="X29" s="2">
        <f t="shared" si="15"/>
        <v>-364.91</v>
      </c>
      <c r="Y29" s="2"/>
      <c r="Z29" s="19">
        <f t="shared" si="16"/>
        <v>-1</v>
      </c>
    </row>
    <row r="30" spans="1:26" s="24" customFormat="1" hidden="1" outlineLevel="1" x14ac:dyDescent="0.3">
      <c r="A30" s="44"/>
      <c r="B30" s="11" t="str">
        <f>CONCATENATE("          ", "5027", " - ", "PURCHASES @ COST-SCHOOL SUPPLI")</f>
        <v xml:space="preserve">          5027 - PURCHASES @ COST-SCHOOL SUPPLI</v>
      </c>
      <c r="C30" s="11"/>
      <c r="D30" s="2"/>
      <c r="E30" s="2"/>
      <c r="F30" s="19">
        <f t="shared" si="9"/>
        <v>0</v>
      </c>
      <c r="G30" s="2"/>
      <c r="H30" s="2"/>
      <c r="I30" s="2"/>
      <c r="J30" s="19">
        <f t="shared" si="10"/>
        <v>0</v>
      </c>
      <c r="K30" s="2"/>
      <c r="L30" s="2">
        <f t="shared" si="11"/>
        <v>0</v>
      </c>
      <c r="M30" s="2"/>
      <c r="N30" s="19">
        <f t="shared" si="12"/>
        <v>0</v>
      </c>
      <c r="O30" s="11"/>
      <c r="P30" s="2">
        <v>0</v>
      </c>
      <c r="Q30" s="2"/>
      <c r="R30" s="19">
        <f t="shared" si="13"/>
        <v>0</v>
      </c>
      <c r="S30" s="2"/>
      <c r="T30" s="2">
        <v>895.47</v>
      </c>
      <c r="U30" s="2"/>
      <c r="V30" s="19">
        <f t="shared" si="14"/>
        <v>4.201733114613794E-2</v>
      </c>
      <c r="W30" s="2"/>
      <c r="X30" s="2">
        <f t="shared" si="15"/>
        <v>-895.47</v>
      </c>
      <c r="Y30" s="2"/>
      <c r="Z30" s="19">
        <f t="shared" si="16"/>
        <v>-1</v>
      </c>
    </row>
    <row r="31" spans="1:26" s="24" customFormat="1" hidden="1" outlineLevel="1" x14ac:dyDescent="0.3">
      <c r="A31" s="44"/>
      <c r="B31" s="11" t="str">
        <f>CONCATENATE("          ", "5028", " - ", "PURCHASES @ COST-ART/TECH")</f>
        <v xml:space="preserve">          5028 - PURCHASES @ COST-ART/TECH</v>
      </c>
      <c r="C31" s="11"/>
      <c r="D31" s="2"/>
      <c r="E31" s="2"/>
      <c r="F31" s="19">
        <f t="shared" si="9"/>
        <v>0</v>
      </c>
      <c r="G31" s="2"/>
      <c r="H31" s="2"/>
      <c r="I31" s="2"/>
      <c r="J31" s="19">
        <f t="shared" si="10"/>
        <v>0</v>
      </c>
      <c r="K31" s="2"/>
      <c r="L31" s="2">
        <f t="shared" si="11"/>
        <v>0</v>
      </c>
      <c r="M31" s="2"/>
      <c r="N31" s="19">
        <f t="shared" si="12"/>
        <v>0</v>
      </c>
      <c r="O31" s="11"/>
      <c r="P31" s="2">
        <v>0</v>
      </c>
      <c r="Q31" s="2"/>
      <c r="R31" s="19">
        <f t="shared" si="13"/>
        <v>0</v>
      </c>
      <c r="S31" s="2"/>
      <c r="T31" s="2">
        <v>41441.85</v>
      </c>
      <c r="U31" s="2"/>
      <c r="V31" s="19">
        <f t="shared" si="14"/>
        <v>1.9445385493188789</v>
      </c>
      <c r="W31" s="2"/>
      <c r="X31" s="2">
        <f t="shared" si="15"/>
        <v>-41441.85</v>
      </c>
      <c r="Y31" s="2"/>
      <c r="Z31" s="19">
        <f t="shared" si="16"/>
        <v>-1</v>
      </c>
    </row>
    <row r="32" spans="1:26" s="24" customFormat="1" hidden="1" outlineLevel="1" x14ac:dyDescent="0.3">
      <c r="A32" s="44"/>
      <c r="B32" s="11" t="str">
        <f>CONCATENATE("          ", "5031", " - ", "PURCHASES @ COST-FOOD")</f>
        <v xml:space="preserve">          5031 - PURCHASES @ COST-FOOD</v>
      </c>
      <c r="C32" s="11"/>
      <c r="D32" s="2"/>
      <c r="E32" s="2"/>
      <c r="F32" s="19">
        <f t="shared" si="9"/>
        <v>0</v>
      </c>
      <c r="G32" s="2"/>
      <c r="H32" s="2">
        <v>-488.1</v>
      </c>
      <c r="I32" s="2"/>
      <c r="J32" s="19">
        <f t="shared" si="10"/>
        <v>0</v>
      </c>
      <c r="K32" s="2"/>
      <c r="L32" s="2">
        <f t="shared" si="11"/>
        <v>488.1</v>
      </c>
      <c r="M32" s="2"/>
      <c r="N32" s="19">
        <f t="shared" si="12"/>
        <v>-1</v>
      </c>
      <c r="O32" s="11"/>
      <c r="P32" s="2">
        <v>0</v>
      </c>
      <c r="Q32" s="2"/>
      <c r="R32" s="19">
        <f t="shared" si="13"/>
        <v>0</v>
      </c>
      <c r="S32" s="2"/>
      <c r="T32" s="2">
        <v>2441.5700000000002</v>
      </c>
      <c r="U32" s="2"/>
      <c r="V32" s="19">
        <f t="shared" si="14"/>
        <v>0.11456358695040149</v>
      </c>
      <c r="W32" s="2"/>
      <c r="X32" s="2">
        <f t="shared" si="15"/>
        <v>-2441.5700000000002</v>
      </c>
      <c r="Y32" s="2"/>
      <c r="Z32" s="19">
        <f t="shared" si="16"/>
        <v>-1</v>
      </c>
    </row>
    <row r="33" spans="1:26" s="24" customFormat="1" hidden="1" outlineLevel="1" x14ac:dyDescent="0.3">
      <c r="A33" s="44"/>
      <c r="B33" s="11" t="str">
        <f>CONCATENATE("          ", "5042", " - ", "PURCHASES @ COST-EVERYDAY GIFT")</f>
        <v xml:space="preserve">          5042 - PURCHASES @ COST-EVERYDAY GIFT</v>
      </c>
      <c r="C33" s="11"/>
      <c r="D33" s="2"/>
      <c r="E33" s="2"/>
      <c r="F33" s="19">
        <f t="shared" si="9"/>
        <v>0</v>
      </c>
      <c r="G33" s="2"/>
      <c r="H33" s="2"/>
      <c r="I33" s="2"/>
      <c r="J33" s="19">
        <f t="shared" si="10"/>
        <v>0</v>
      </c>
      <c r="K33" s="2"/>
      <c r="L33" s="2">
        <f t="shared" si="11"/>
        <v>0</v>
      </c>
      <c r="M33" s="2"/>
      <c r="N33" s="19">
        <f t="shared" si="12"/>
        <v>0</v>
      </c>
      <c r="O33" s="11"/>
      <c r="P33" s="2">
        <v>0</v>
      </c>
      <c r="Q33" s="2"/>
      <c r="R33" s="19">
        <f t="shared" si="13"/>
        <v>0</v>
      </c>
      <c r="S33" s="2"/>
      <c r="T33" s="2"/>
      <c r="U33" s="2"/>
      <c r="V33" s="19">
        <f t="shared" si="14"/>
        <v>0</v>
      </c>
      <c r="W33" s="2"/>
      <c r="X33" s="2">
        <f t="shared" si="15"/>
        <v>0</v>
      </c>
      <c r="Y33" s="2"/>
      <c r="Z33" s="19">
        <f t="shared" si="16"/>
        <v>0</v>
      </c>
    </row>
    <row r="34" spans="1:26" s="24" customFormat="1" hidden="1" outlineLevel="1" x14ac:dyDescent="0.3">
      <c r="A34" s="44"/>
      <c r="B34" s="11" t="str">
        <f>CONCATENATE("          ", "5200", " - ", "PURCHASES OFFSET")</f>
        <v xml:space="preserve">          5200 - PURCHASES OFFSET</v>
      </c>
      <c r="C34" s="11"/>
      <c r="D34" s="2">
        <v>-9920.89</v>
      </c>
      <c r="E34" s="2"/>
      <c r="F34" s="19">
        <f t="shared" si="9"/>
        <v>-0.8551569873935998</v>
      </c>
      <c r="G34" s="2"/>
      <c r="H34" s="2"/>
      <c r="I34" s="2"/>
      <c r="J34" s="19">
        <f t="shared" si="10"/>
        <v>0</v>
      </c>
      <c r="K34" s="2"/>
      <c r="L34" s="2">
        <f t="shared" si="11"/>
        <v>-9920.89</v>
      </c>
      <c r="M34" s="2"/>
      <c r="N34" s="19">
        <f t="shared" si="12"/>
        <v>0</v>
      </c>
      <c r="O34" s="11"/>
      <c r="P34" s="2">
        <v>-83257.440000000002</v>
      </c>
      <c r="Q34" s="2"/>
      <c r="R34" s="19">
        <f t="shared" si="13"/>
        <v>-0.88639336890088127</v>
      </c>
      <c r="S34" s="2"/>
      <c r="T34" s="2">
        <v>-45863.33</v>
      </c>
      <c r="U34" s="2"/>
      <c r="V34" s="19">
        <f t="shared" si="14"/>
        <v>-2.1520036674311842</v>
      </c>
      <c r="W34" s="2"/>
      <c r="X34" s="2">
        <f t="shared" si="15"/>
        <v>-37394.11</v>
      </c>
      <c r="Y34" s="2"/>
      <c r="Z34" s="19">
        <f t="shared" si="16"/>
        <v>0.81533787450671369</v>
      </c>
    </row>
    <row r="35" spans="1:26" s="24" customFormat="1" hidden="1" outlineLevel="1" x14ac:dyDescent="0.3">
      <c r="A35" s="44"/>
      <c r="B35" s="11" t="str">
        <f>CONCATENATE("          ", "5300", " - ", "COG$ OFFSET")</f>
        <v xml:space="preserve">          5300 - COG$ OFFSET</v>
      </c>
      <c r="C35" s="11"/>
      <c r="D35" s="2">
        <v>7098.52</v>
      </c>
      <c r="E35" s="2"/>
      <c r="F35" s="19">
        <f t="shared" si="9"/>
        <v>0.6118754444564164</v>
      </c>
      <c r="G35" s="2"/>
      <c r="H35" s="2"/>
      <c r="I35" s="2"/>
      <c r="J35" s="19">
        <f t="shared" si="10"/>
        <v>0</v>
      </c>
      <c r="K35" s="2"/>
      <c r="L35" s="2">
        <f t="shared" si="11"/>
        <v>7098.52</v>
      </c>
      <c r="M35" s="2"/>
      <c r="N35" s="19">
        <f t="shared" si="12"/>
        <v>0</v>
      </c>
      <c r="O35" s="11"/>
      <c r="P35" s="2">
        <v>53591.54</v>
      </c>
      <c r="Q35" s="2"/>
      <c r="R35" s="19">
        <f t="shared" si="13"/>
        <v>0.57055784666435017</v>
      </c>
      <c r="S35" s="2"/>
      <c r="T35" s="2">
        <v>14145</v>
      </c>
      <c r="U35" s="2"/>
      <c r="V35" s="19">
        <f t="shared" si="14"/>
        <v>0.66371307700103988</v>
      </c>
      <c r="W35" s="2"/>
      <c r="X35" s="2">
        <f t="shared" si="15"/>
        <v>39446.54</v>
      </c>
      <c r="Y35" s="2"/>
      <c r="Z35" s="19">
        <f t="shared" si="16"/>
        <v>2.7887267585719338</v>
      </c>
    </row>
    <row r="36" spans="1:26" s="24" customFormat="1" hidden="1" outlineLevel="1" x14ac:dyDescent="0.3">
      <c r="A36" s="44"/>
      <c r="B36" s="11" t="str">
        <f>CONCATENATE("          ", "5500", " - ", "FREIGHT-IN")</f>
        <v xml:space="preserve">          5500 - FREIGHT-IN</v>
      </c>
      <c r="C36" s="11"/>
      <c r="D36" s="2">
        <v>178.08</v>
      </c>
      <c r="E36" s="2"/>
      <c r="F36" s="19">
        <f t="shared" si="9"/>
        <v>1.5350070035556515E-2</v>
      </c>
      <c r="G36" s="2"/>
      <c r="H36" s="2"/>
      <c r="I36" s="2"/>
      <c r="J36" s="19">
        <f t="shared" si="10"/>
        <v>0</v>
      </c>
      <c r="K36" s="2"/>
      <c r="L36" s="2">
        <f t="shared" si="11"/>
        <v>178.08</v>
      </c>
      <c r="M36" s="2"/>
      <c r="N36" s="19">
        <f t="shared" si="12"/>
        <v>0</v>
      </c>
      <c r="O36" s="11"/>
      <c r="P36" s="2">
        <v>989.47</v>
      </c>
      <c r="Q36" s="2"/>
      <c r="R36" s="19">
        <f t="shared" si="13"/>
        <v>1.0534309567125233E-2</v>
      </c>
      <c r="S36" s="2"/>
      <c r="T36" s="2"/>
      <c r="U36" s="2"/>
      <c r="V36" s="19">
        <f t="shared" si="14"/>
        <v>0</v>
      </c>
      <c r="W36" s="2"/>
      <c r="X36" s="2">
        <f t="shared" si="15"/>
        <v>989.47</v>
      </c>
      <c r="Y36" s="2"/>
      <c r="Z36" s="19">
        <f t="shared" si="16"/>
        <v>0</v>
      </c>
    </row>
    <row r="37" spans="1:26" s="24" customFormat="1" hidden="1" outlineLevel="1" x14ac:dyDescent="0.3">
      <c r="A37" s="44"/>
      <c r="B37" s="11" t="str">
        <f>CONCATENATE("          ", "5528", " - ", "FREIGHT-IN-ART/TECH")</f>
        <v xml:space="preserve">          5528 - FREIGHT-IN-ART/TECH</v>
      </c>
      <c r="C37" s="11"/>
      <c r="D37" s="2"/>
      <c r="E37" s="2"/>
      <c r="F37" s="19">
        <f t="shared" si="9"/>
        <v>0</v>
      </c>
      <c r="G37" s="2"/>
      <c r="H37" s="2">
        <v>4.29</v>
      </c>
      <c r="I37" s="2"/>
      <c r="J37" s="19">
        <f t="shared" si="10"/>
        <v>0</v>
      </c>
      <c r="K37" s="2"/>
      <c r="L37" s="2">
        <f t="shared" si="11"/>
        <v>-4.29</v>
      </c>
      <c r="M37" s="2"/>
      <c r="N37" s="19">
        <f t="shared" si="12"/>
        <v>-1</v>
      </c>
      <c r="O37" s="11"/>
      <c r="P37" s="2">
        <v>0</v>
      </c>
      <c r="Q37" s="2"/>
      <c r="R37" s="19">
        <f t="shared" si="13"/>
        <v>0</v>
      </c>
      <c r="S37" s="2"/>
      <c r="T37" s="2">
        <v>286.27</v>
      </c>
      <c r="U37" s="2"/>
      <c r="V37" s="19">
        <f t="shared" si="14"/>
        <v>1.3432389010469259E-2</v>
      </c>
      <c r="W37" s="2"/>
      <c r="X37" s="2">
        <f t="shared" si="15"/>
        <v>-286.27</v>
      </c>
      <c r="Y37" s="2"/>
      <c r="Z37" s="19">
        <f t="shared" si="16"/>
        <v>-1</v>
      </c>
    </row>
    <row r="38" spans="1:26" x14ac:dyDescent="0.3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3">
      <c r="A39" s="10"/>
      <c r="B39" s="26" t="s">
        <v>107</v>
      </c>
      <c r="C39" s="26"/>
      <c r="D39" s="20">
        <f>D12-D27</f>
        <v>4502.7299999999996</v>
      </c>
      <c r="E39" s="13"/>
      <c r="F39" s="21">
        <f>IF(D$12=0,0,D39/D$12)</f>
        <v>0.3881245555435836</v>
      </c>
      <c r="G39" s="13"/>
      <c r="H39" s="20">
        <f>H12-H27</f>
        <v>488.92</v>
      </c>
      <c r="I39" s="13"/>
      <c r="J39" s="21">
        <f>IF(H$12=0,0,H39/H$12)</f>
        <v>0</v>
      </c>
      <c r="K39" s="15"/>
      <c r="L39" s="20">
        <f>+D39-H39</f>
        <v>4013.8099999999995</v>
      </c>
      <c r="M39" s="15"/>
      <c r="N39" s="21">
        <f>IF(H39=0,0,L39/H39)</f>
        <v>8.2095434835964962</v>
      </c>
      <c r="O39" s="25"/>
      <c r="P39" s="20">
        <f>P12-P27</f>
        <v>40336.779999999977</v>
      </c>
      <c r="Q39" s="13"/>
      <c r="R39" s="21">
        <f>IF(P$12=0,0,P39/P$12)</f>
        <v>0.42944215333564983</v>
      </c>
      <c r="S39" s="13"/>
      <c r="T39" s="20">
        <f>T12-T27</f>
        <v>7600.1800000000039</v>
      </c>
      <c r="U39" s="13"/>
      <c r="V39" s="21">
        <f>IF(T$12=0,0,T39/T$12)</f>
        <v>0.35661639120266991</v>
      </c>
      <c r="W39" s="15"/>
      <c r="X39" s="20">
        <f>+P39-T39</f>
        <v>32736.599999999973</v>
      </c>
      <c r="Y39" s="15"/>
      <c r="Z39" s="21">
        <f>IF(T39=0,0,X39/T39)</f>
        <v>4.3073453523469123</v>
      </c>
    </row>
    <row r="40" spans="1:26" x14ac:dyDescent="0.3">
      <c r="A40" s="9"/>
      <c r="B40" s="10"/>
      <c r="C40" s="9"/>
      <c r="D40" s="1"/>
      <c r="E40" s="1"/>
      <c r="F40" s="5"/>
      <c r="G40" s="1"/>
      <c r="H40" s="1"/>
      <c r="I40" s="1"/>
      <c r="J40" s="5"/>
      <c r="K40" s="1"/>
      <c r="L40" s="1"/>
      <c r="M40" s="1"/>
      <c r="N40" s="5"/>
      <c r="O40" s="37"/>
      <c r="P40" s="1"/>
      <c r="Q40" s="1"/>
      <c r="R40" s="5"/>
      <c r="S40" s="1"/>
      <c r="T40" s="1"/>
      <c r="U40" s="1"/>
      <c r="V40" s="5"/>
      <c r="W40" s="1"/>
      <c r="X40" s="1"/>
      <c r="Y40" s="1"/>
      <c r="Z40" s="5"/>
    </row>
    <row r="41" spans="1:26" s="23" customFormat="1" x14ac:dyDescent="0.3">
      <c r="A41" s="10"/>
      <c r="B41" s="25" t="s">
        <v>294</v>
      </c>
      <c r="C41" s="10"/>
      <c r="D41" s="22">
        <f>SUM(OSRRefD22x_0)</f>
        <v>6524.0100000000011</v>
      </c>
      <c r="E41" s="22"/>
      <c r="F41" s="34">
        <f t="shared" ref="F41:F45" si="17">IF(D$12=0,0,D41/D$12)</f>
        <v>0.56235405667492733</v>
      </c>
      <c r="G41" s="22"/>
      <c r="H41" s="22">
        <f>SUM(OSRRefH22x_0)</f>
        <v>274.11</v>
      </c>
      <c r="I41" s="22"/>
      <c r="J41" s="34">
        <f t="shared" ref="J41:J45" si="18">IF(H$12=0,0,H41/H$12)</f>
        <v>0</v>
      </c>
      <c r="K41" s="4"/>
      <c r="L41" s="22">
        <f t="shared" ref="L41:L45" si="19">+D41-H41</f>
        <v>6249.9000000000015</v>
      </c>
      <c r="M41" s="4"/>
      <c r="N41" s="34">
        <f t="shared" ref="N41:N45" si="20">IF(H41=0,0,L41/H41)</f>
        <v>22.800700448724967</v>
      </c>
      <c r="O41" s="10"/>
      <c r="P41" s="22">
        <f>SUM(OSRRefP22x_0)</f>
        <v>27518.729999999996</v>
      </c>
      <c r="Q41" s="22"/>
      <c r="R41" s="34">
        <f t="shared" ref="R41:R45" si="21">IF(P$12=0,0,P41/P$12)</f>
        <v>0.29297585648290103</v>
      </c>
      <c r="S41" s="22"/>
      <c r="T41" s="22">
        <f>SUM(OSRRefT22x_0)</f>
        <v>12427.749999999996</v>
      </c>
      <c r="U41" s="22"/>
      <c r="V41" s="34">
        <f t="shared" ref="V41:V45" si="22">IF(T$12=0,0,T41/T$12)</f>
        <v>0.58313610411450478</v>
      </c>
      <c r="W41" s="4"/>
      <c r="X41" s="22">
        <f t="shared" ref="X41:X45" si="23">+P41-T41</f>
        <v>15090.98</v>
      </c>
      <c r="Y41" s="4"/>
      <c r="Z41" s="34">
        <f t="shared" ref="Z41:Z45" si="24">IF(T41=0,0,X41/T41)</f>
        <v>1.214297036873127</v>
      </c>
    </row>
    <row r="42" spans="1:26" s="29" customFormat="1" outlineLevel="1" collapsed="1" x14ac:dyDescent="0.3">
      <c r="A42" s="27"/>
      <c r="B42" s="14" t="str">
        <f>CONCATENATE("     ","*Benefits                                         ")</f>
        <v xml:space="preserve">     *Benefits                                         </v>
      </c>
      <c r="C42" s="14"/>
      <c r="D42" s="1">
        <f>SUM(OSRRefD22_0x_0)</f>
        <v>153.04999999999998</v>
      </c>
      <c r="E42" s="1"/>
      <c r="F42" s="5">
        <f t="shared" si="17"/>
        <v>1.3192543906906582E-2</v>
      </c>
      <c r="G42" s="1"/>
      <c r="H42" s="1">
        <f>SUM(OSRRefH22_0x_0)</f>
        <v>0</v>
      </c>
      <c r="I42" s="1"/>
      <c r="J42" s="5">
        <f t="shared" si="18"/>
        <v>0</v>
      </c>
      <c r="K42" s="1"/>
      <c r="L42" s="1">
        <f t="shared" si="19"/>
        <v>153.04999999999998</v>
      </c>
      <c r="M42" s="1"/>
      <c r="N42" s="5">
        <f t="shared" si="20"/>
        <v>0</v>
      </c>
      <c r="O42" s="14"/>
      <c r="P42" s="1">
        <f>SUM(OSRRefP22_0x_0)</f>
        <v>378.80000000000007</v>
      </c>
      <c r="Q42" s="1"/>
      <c r="R42" s="5">
        <f t="shared" si="21"/>
        <v>4.0328625062175088E-3</v>
      </c>
      <c r="S42" s="1"/>
      <c r="T42" s="1">
        <f>SUM(OSRRefT22_0x_0)</f>
        <v>778.2</v>
      </c>
      <c r="U42" s="1"/>
      <c r="V42" s="5">
        <f t="shared" si="22"/>
        <v>3.6514776707119778E-2</v>
      </c>
      <c r="W42" s="1"/>
      <c r="X42" s="1">
        <f t="shared" si="23"/>
        <v>-399.4</v>
      </c>
      <c r="Y42" s="1"/>
      <c r="Z42" s="5">
        <f t="shared" si="24"/>
        <v>-0.51323567206373677</v>
      </c>
    </row>
    <row r="43" spans="1:26" s="24" customFormat="1" hidden="1" outlineLevel="2" x14ac:dyDescent="0.3">
      <c r="A43" s="28"/>
      <c r="B43" s="11" t="str">
        <f>CONCATENATE("          ", "6111", " - ", "F.I.C.A.")</f>
        <v xml:space="preserve">          6111 - F.I.C.A.</v>
      </c>
      <c r="C43" s="11"/>
      <c r="D43" s="6">
        <v>59.97</v>
      </c>
      <c r="E43" s="2"/>
      <c r="F43" s="7">
        <f t="shared" si="17"/>
        <v>5.1692705527421612E-3</v>
      </c>
      <c r="G43" s="2"/>
      <c r="H43" s="6"/>
      <c r="I43" s="2"/>
      <c r="J43" s="7">
        <f t="shared" si="18"/>
        <v>0</v>
      </c>
      <c r="K43" s="2"/>
      <c r="L43" s="6">
        <f t="shared" si="19"/>
        <v>59.97</v>
      </c>
      <c r="M43" s="2"/>
      <c r="N43" s="7">
        <f t="shared" si="20"/>
        <v>0</v>
      </c>
      <c r="O43" s="11"/>
      <c r="P43" s="6">
        <v>70.28</v>
      </c>
      <c r="Q43" s="2"/>
      <c r="R43" s="7">
        <f t="shared" si="21"/>
        <v>7.4823013974911951E-4</v>
      </c>
      <c r="S43" s="2"/>
      <c r="T43" s="6">
        <v>484.61</v>
      </c>
      <c r="U43" s="2"/>
      <c r="V43" s="7">
        <f t="shared" si="22"/>
        <v>2.2738917938881154E-2</v>
      </c>
      <c r="W43" s="2"/>
      <c r="X43" s="6">
        <f t="shared" si="23"/>
        <v>-414.33000000000004</v>
      </c>
      <c r="Y43" s="2"/>
      <c r="Z43" s="7">
        <f t="shared" si="24"/>
        <v>-0.85497616640184892</v>
      </c>
    </row>
    <row r="44" spans="1:26" s="24" customFormat="1" hidden="1" outlineLevel="2" x14ac:dyDescent="0.3">
      <c r="A44" s="28"/>
      <c r="B44" s="11" t="str">
        <f>CONCATENATE("          ", "6112", " - ", "COMPENSATION INSURANCE")</f>
        <v xml:space="preserve">          6112 - COMPENSATION INSURANCE</v>
      </c>
      <c r="C44" s="11"/>
      <c r="D44" s="6">
        <v>79.17</v>
      </c>
      <c r="E44" s="2"/>
      <c r="F44" s="7">
        <f t="shared" si="17"/>
        <v>6.8242646266566103E-3</v>
      </c>
      <c r="G44" s="2"/>
      <c r="H44" s="6"/>
      <c r="I44" s="2"/>
      <c r="J44" s="7">
        <f t="shared" si="18"/>
        <v>0</v>
      </c>
      <c r="K44" s="2"/>
      <c r="L44" s="6">
        <f t="shared" si="19"/>
        <v>79.17</v>
      </c>
      <c r="M44" s="2"/>
      <c r="N44" s="7">
        <f t="shared" si="20"/>
        <v>0</v>
      </c>
      <c r="O44" s="11"/>
      <c r="P44" s="6">
        <v>262.42</v>
      </c>
      <c r="Q44" s="2"/>
      <c r="R44" s="7">
        <f t="shared" si="21"/>
        <v>2.7938325736050649E-3</v>
      </c>
      <c r="S44" s="2"/>
      <c r="T44" s="6">
        <v>255.57</v>
      </c>
      <c r="U44" s="2"/>
      <c r="V44" s="7">
        <f t="shared" si="22"/>
        <v>1.1991880600152403E-2</v>
      </c>
      <c r="W44" s="2"/>
      <c r="X44" s="6">
        <f t="shared" si="23"/>
        <v>6.8500000000000227</v>
      </c>
      <c r="Y44" s="2"/>
      <c r="Z44" s="7">
        <f t="shared" si="24"/>
        <v>2.6802832883358857E-2</v>
      </c>
    </row>
    <row r="45" spans="1:26" s="24" customFormat="1" hidden="1" outlineLevel="2" x14ac:dyDescent="0.3">
      <c r="A45" s="28"/>
      <c r="B45" s="11" t="str">
        <f>CONCATENATE("          ", "6114", " - ", "STATE UNEMPLOYMENT INSURANCE")</f>
        <v xml:space="preserve">          6114 - STATE UNEMPLOYMENT INSURANCE</v>
      </c>
      <c r="C45" s="11"/>
      <c r="D45" s="6">
        <v>13.91</v>
      </c>
      <c r="E45" s="2"/>
      <c r="F45" s="7">
        <f t="shared" si="17"/>
        <v>1.1990087275078117E-3</v>
      </c>
      <c r="G45" s="2"/>
      <c r="H45" s="6"/>
      <c r="I45" s="2"/>
      <c r="J45" s="7">
        <f t="shared" si="18"/>
        <v>0</v>
      </c>
      <c r="K45" s="2"/>
      <c r="L45" s="6">
        <f t="shared" si="19"/>
        <v>13.91</v>
      </c>
      <c r="M45" s="2"/>
      <c r="N45" s="7">
        <f t="shared" si="20"/>
        <v>0</v>
      </c>
      <c r="O45" s="11"/>
      <c r="P45" s="6">
        <v>46.1</v>
      </c>
      <c r="Q45" s="2"/>
      <c r="R45" s="7">
        <f t="shared" si="21"/>
        <v>4.9079979286332403E-4</v>
      </c>
      <c r="S45" s="2"/>
      <c r="T45" s="6">
        <v>38.020000000000003</v>
      </c>
      <c r="U45" s="2"/>
      <c r="V45" s="7">
        <f t="shared" si="22"/>
        <v>1.7839781680862169E-3</v>
      </c>
      <c r="W45" s="2"/>
      <c r="X45" s="6">
        <f t="shared" si="23"/>
        <v>8.0799999999999983</v>
      </c>
      <c r="Y45" s="2"/>
      <c r="Z45" s="7">
        <f t="shared" si="24"/>
        <v>0.21251972645975795</v>
      </c>
    </row>
    <row r="46" spans="1:26" s="29" customFormat="1" outlineLevel="1" collapsed="1" x14ac:dyDescent="0.3">
      <c r="A46" s="27"/>
      <c r="B46" s="14" t="str">
        <f>CONCATENATE("     ","*Payroll                                          ")</f>
        <v xml:space="preserve">     *Payroll                                          </v>
      </c>
      <c r="C46" s="14"/>
      <c r="D46" s="1">
        <f>SUM(OSRRefD22_1x_0)</f>
        <v>5071.58</v>
      </c>
      <c r="E46" s="1"/>
      <c r="F46" s="5">
        <f t="shared" ref="F46:F50" si="25">IF(D$12=0,0,D46/D$12)</f>
        <v>0.43715806486370001</v>
      </c>
      <c r="G46" s="1"/>
      <c r="H46" s="1">
        <f>SUM(OSRRefH22_1x_0)</f>
        <v>0</v>
      </c>
      <c r="I46" s="1"/>
      <c r="J46" s="5">
        <f t="shared" ref="J46:J50" si="26">IF(H$12=0,0,H46/H$12)</f>
        <v>0</v>
      </c>
      <c r="K46" s="1"/>
      <c r="L46" s="1">
        <f t="shared" ref="L46:L50" si="27">+D46-H46</f>
        <v>5071.58</v>
      </c>
      <c r="M46" s="1"/>
      <c r="N46" s="5">
        <f t="shared" ref="N46:N50" si="28">IF(H46=0,0,L46/H46)</f>
        <v>0</v>
      </c>
      <c r="O46" s="14"/>
      <c r="P46" s="1">
        <f>SUM(OSRRefP22_1x_0)</f>
        <v>15795.169999999998</v>
      </c>
      <c r="Q46" s="1"/>
      <c r="R46" s="5">
        <f t="shared" ref="R46:R50" si="29">IF(P$12=0,0,P46/P$12)</f>
        <v>0.1681619558403685</v>
      </c>
      <c r="S46" s="1"/>
      <c r="T46" s="1">
        <f>SUM(OSRRefT22_1x_0)</f>
        <v>8152.5399999999991</v>
      </c>
      <c r="U46" s="1"/>
      <c r="V46" s="5">
        <f t="shared" ref="V46:V50" si="30">IF(T$12=0,0,T46/T$12)</f>
        <v>0.38253428128483963</v>
      </c>
      <c r="W46" s="1"/>
      <c r="X46" s="1">
        <f t="shared" ref="X46:X50" si="31">+P46-T46</f>
        <v>7642.6299999999992</v>
      </c>
      <c r="Y46" s="1"/>
      <c r="Z46" s="5">
        <f t="shared" ref="Z46:Z50" si="32">IF(T46=0,0,X46/T46)</f>
        <v>0.93745384873916593</v>
      </c>
    </row>
    <row r="47" spans="1:26" s="24" customFormat="1" hidden="1" outlineLevel="2" x14ac:dyDescent="0.3">
      <c r="A47" s="28"/>
      <c r="B47" s="11" t="str">
        <f>CONCATENATE("          ", "6004", " - ", "STAFF HOURLY")</f>
        <v xml:space="preserve">          6004 - STAFF HOURLY</v>
      </c>
      <c r="C47" s="11"/>
      <c r="D47" s="6">
        <v>783.61</v>
      </c>
      <c r="E47" s="2"/>
      <c r="F47" s="7">
        <f t="shared" si="25"/>
        <v>6.7545307617713615E-2</v>
      </c>
      <c r="G47" s="2"/>
      <c r="H47" s="6"/>
      <c r="I47" s="2"/>
      <c r="J47" s="7">
        <f t="shared" si="26"/>
        <v>0</v>
      </c>
      <c r="K47" s="2"/>
      <c r="L47" s="6">
        <f t="shared" si="27"/>
        <v>783.61</v>
      </c>
      <c r="M47" s="2"/>
      <c r="N47" s="7">
        <f t="shared" si="28"/>
        <v>0</v>
      </c>
      <c r="O47" s="11"/>
      <c r="P47" s="6">
        <v>783.61</v>
      </c>
      <c r="Q47" s="2"/>
      <c r="R47" s="7">
        <f t="shared" si="29"/>
        <v>8.3426383012067101E-3</v>
      </c>
      <c r="S47" s="2"/>
      <c r="T47" s="6"/>
      <c r="U47" s="2"/>
      <c r="V47" s="7">
        <f t="shared" si="30"/>
        <v>0</v>
      </c>
      <c r="W47" s="2"/>
      <c r="X47" s="6">
        <f t="shared" si="31"/>
        <v>783.61</v>
      </c>
      <c r="Y47" s="2"/>
      <c r="Z47" s="7">
        <f t="shared" si="32"/>
        <v>0</v>
      </c>
    </row>
    <row r="48" spans="1:26" s="24" customFormat="1" hidden="1" outlineLevel="2" x14ac:dyDescent="0.3">
      <c r="A48" s="28"/>
      <c r="B48" s="11" t="str">
        <f>CONCATENATE("          ", "6005", " - ", "TEMPORARY WAGES-HOURLY")</f>
        <v xml:space="preserve">          6005 - TEMPORARY WAGES-HOURLY</v>
      </c>
      <c r="C48" s="11"/>
      <c r="D48" s="6"/>
      <c r="E48" s="2"/>
      <c r="F48" s="7">
        <f t="shared" si="25"/>
        <v>0</v>
      </c>
      <c r="G48" s="2"/>
      <c r="H48" s="6"/>
      <c r="I48" s="2"/>
      <c r="J48" s="7">
        <f t="shared" si="26"/>
        <v>0</v>
      </c>
      <c r="K48" s="2"/>
      <c r="L48" s="6">
        <f t="shared" si="27"/>
        <v>0</v>
      </c>
      <c r="M48" s="2"/>
      <c r="N48" s="7">
        <f t="shared" si="28"/>
        <v>0</v>
      </c>
      <c r="O48" s="11"/>
      <c r="P48" s="6">
        <v>134.81</v>
      </c>
      <c r="Q48" s="2"/>
      <c r="R48" s="7">
        <f t="shared" si="29"/>
        <v>1.4352433855944623E-3</v>
      </c>
      <c r="S48" s="2"/>
      <c r="T48" s="6">
        <v>5379.19</v>
      </c>
      <c r="U48" s="2"/>
      <c r="V48" s="7">
        <f t="shared" si="30"/>
        <v>0.25240288064144384</v>
      </c>
      <c r="W48" s="2"/>
      <c r="X48" s="6">
        <f t="shared" si="31"/>
        <v>-5244.3799999999992</v>
      </c>
      <c r="Y48" s="2"/>
      <c r="Z48" s="7">
        <f t="shared" si="32"/>
        <v>-0.97493860599830073</v>
      </c>
    </row>
    <row r="49" spans="1:26" s="24" customFormat="1" hidden="1" outlineLevel="2" x14ac:dyDescent="0.3">
      <c r="A49" s="28"/>
      <c r="B49" s="11" t="str">
        <f>CONCATENATE("          ", "6007", " - ", "STUDENT HOURLY")</f>
        <v xml:space="preserve">          6007 - STUDENT HOURLY</v>
      </c>
      <c r="C49" s="11"/>
      <c r="D49" s="6">
        <v>3436.96</v>
      </c>
      <c r="E49" s="2"/>
      <c r="F49" s="7">
        <f t="shared" si="25"/>
        <v>0.29625773084796897</v>
      </c>
      <c r="G49" s="2"/>
      <c r="H49" s="6"/>
      <c r="I49" s="2"/>
      <c r="J49" s="7">
        <f t="shared" si="26"/>
        <v>0</v>
      </c>
      <c r="K49" s="2"/>
      <c r="L49" s="6">
        <f t="shared" si="27"/>
        <v>3436.96</v>
      </c>
      <c r="M49" s="2"/>
      <c r="N49" s="7">
        <f t="shared" si="28"/>
        <v>0</v>
      </c>
      <c r="O49" s="11"/>
      <c r="P49" s="6">
        <v>12125.05</v>
      </c>
      <c r="Q49" s="2"/>
      <c r="R49" s="7">
        <f t="shared" si="29"/>
        <v>0.12908833033530251</v>
      </c>
      <c r="S49" s="2"/>
      <c r="T49" s="6">
        <v>2773.35</v>
      </c>
      <c r="U49" s="2"/>
      <c r="V49" s="7">
        <f t="shared" si="30"/>
        <v>0.13013140064339582</v>
      </c>
      <c r="W49" s="2"/>
      <c r="X49" s="6">
        <f t="shared" si="31"/>
        <v>9351.6999999999989</v>
      </c>
      <c r="Y49" s="2"/>
      <c r="Z49" s="7">
        <f t="shared" si="32"/>
        <v>3.3719869471938266</v>
      </c>
    </row>
    <row r="50" spans="1:26" s="24" customFormat="1" hidden="1" outlineLevel="2" x14ac:dyDescent="0.3">
      <c r="A50" s="28"/>
      <c r="B50" s="11" t="str">
        <f>CONCATENATE("          ", "6008", " - ", "STUDENT HOURLY-FICA EXEMPT")</f>
        <v xml:space="preserve">          6008 - STUDENT HOURLY-FICA EXEMPT</v>
      </c>
      <c r="C50" s="11"/>
      <c r="D50" s="6">
        <v>851.01</v>
      </c>
      <c r="E50" s="2"/>
      <c r="F50" s="7">
        <f t="shared" si="25"/>
        <v>7.3355026398017456E-2</v>
      </c>
      <c r="G50" s="2"/>
      <c r="H50" s="6"/>
      <c r="I50" s="2"/>
      <c r="J50" s="7">
        <f t="shared" si="26"/>
        <v>0</v>
      </c>
      <c r="K50" s="2"/>
      <c r="L50" s="6">
        <f t="shared" si="27"/>
        <v>851.01</v>
      </c>
      <c r="M50" s="2"/>
      <c r="N50" s="7">
        <f t="shared" si="28"/>
        <v>0</v>
      </c>
      <c r="O50" s="11"/>
      <c r="P50" s="6">
        <v>2751.7</v>
      </c>
      <c r="Q50" s="2"/>
      <c r="R50" s="7">
        <f t="shared" si="29"/>
        <v>2.9295743818264827E-2</v>
      </c>
      <c r="S50" s="2"/>
      <c r="T50" s="6"/>
      <c r="U50" s="2"/>
      <c r="V50" s="7">
        <f t="shared" si="30"/>
        <v>0</v>
      </c>
      <c r="W50" s="2"/>
      <c r="X50" s="6">
        <f t="shared" si="31"/>
        <v>2751.7</v>
      </c>
      <c r="Y50" s="2"/>
      <c r="Z50" s="7">
        <f t="shared" si="32"/>
        <v>0</v>
      </c>
    </row>
    <row r="51" spans="1:26" s="29" customFormat="1" outlineLevel="1" collapsed="1" x14ac:dyDescent="0.3">
      <c r="A51" s="27"/>
      <c r="B51" s="14" t="str">
        <f>CONCATENATE("     ","Advertising/Promo                                 ")</f>
        <v xml:space="preserve">     Advertising/Promo                                 </v>
      </c>
      <c r="C51" s="14"/>
      <c r="D51" s="1">
        <f>SUM(OSRRefD22_2x_0)</f>
        <v>0</v>
      </c>
      <c r="E51" s="1"/>
      <c r="F51" s="5">
        <f t="shared" ref="F51:F57" si="33">IF(D$12=0,0,D51/D$12)</f>
        <v>0</v>
      </c>
      <c r="G51" s="1"/>
      <c r="H51" s="1">
        <f>SUM(OSRRefH22_2x_0)</f>
        <v>0</v>
      </c>
      <c r="I51" s="1"/>
      <c r="J51" s="5">
        <f t="shared" ref="J51:J57" si="34">IF(H$12=0,0,H51/H$12)</f>
        <v>0</v>
      </c>
      <c r="K51" s="1"/>
      <c r="L51" s="1">
        <f t="shared" ref="L51:L57" si="35">+D51-H51</f>
        <v>0</v>
      </c>
      <c r="M51" s="1"/>
      <c r="N51" s="5">
        <f t="shared" ref="N51:N57" si="36">IF(H51=0,0,L51/H51)</f>
        <v>0</v>
      </c>
      <c r="O51" s="14"/>
      <c r="P51" s="1">
        <f>SUM(OSRRefP22_2x_0)</f>
        <v>1188.43</v>
      </c>
      <c r="Q51" s="1"/>
      <c r="R51" s="5">
        <f t="shared" ref="R51:R57" si="37">IF(P$12=0,0,P51/P$12)</f>
        <v>1.2652520560359223E-2</v>
      </c>
      <c r="S51" s="1"/>
      <c r="T51" s="1">
        <f>SUM(OSRRefT22_2x_0)</f>
        <v>124.72</v>
      </c>
      <c r="U51" s="1"/>
      <c r="V51" s="5">
        <f t="shared" ref="V51:V57" si="38">IF(T$12=0,0,T51/T$12)</f>
        <v>5.8521240695347957E-3</v>
      </c>
      <c r="W51" s="1"/>
      <c r="X51" s="1">
        <f t="shared" ref="X51:X57" si="39">+P51-T51</f>
        <v>1063.71</v>
      </c>
      <c r="Y51" s="1"/>
      <c r="Z51" s="5">
        <f t="shared" ref="Z51:Z57" si="40">IF(T51=0,0,X51/T51)</f>
        <v>8.528784477228994</v>
      </c>
    </row>
    <row r="52" spans="1:26" s="24" customFormat="1" hidden="1" outlineLevel="2" x14ac:dyDescent="0.3">
      <c r="A52" s="28"/>
      <c r="B52" s="11" t="str">
        <f>CONCATENATE("          ", "6362", " - ", "ADVERTISING EXPENSE")</f>
        <v xml:space="preserve">          6362 - ADVERTISING EXPENSE</v>
      </c>
      <c r="C52" s="11"/>
      <c r="D52" s="6"/>
      <c r="E52" s="2"/>
      <c r="F52" s="7">
        <f t="shared" si="33"/>
        <v>0</v>
      </c>
      <c r="G52" s="2"/>
      <c r="H52" s="6"/>
      <c r="I52" s="2"/>
      <c r="J52" s="7">
        <f t="shared" si="34"/>
        <v>0</v>
      </c>
      <c r="K52" s="2"/>
      <c r="L52" s="6">
        <f t="shared" si="35"/>
        <v>0</v>
      </c>
      <c r="M52" s="2"/>
      <c r="N52" s="7">
        <f t="shared" si="36"/>
        <v>0</v>
      </c>
      <c r="O52" s="11"/>
      <c r="P52" s="6">
        <v>1188.43</v>
      </c>
      <c r="Q52" s="2"/>
      <c r="R52" s="7">
        <f t="shared" si="37"/>
        <v>1.2652520560359223E-2</v>
      </c>
      <c r="S52" s="2"/>
      <c r="T52" s="6">
        <v>124.72</v>
      </c>
      <c r="U52" s="2"/>
      <c r="V52" s="7">
        <f t="shared" si="38"/>
        <v>5.8521240695347957E-3</v>
      </c>
      <c r="W52" s="2"/>
      <c r="X52" s="6">
        <f t="shared" si="39"/>
        <v>1063.71</v>
      </c>
      <c r="Y52" s="2"/>
      <c r="Z52" s="7">
        <f t="shared" si="40"/>
        <v>8.528784477228994</v>
      </c>
    </row>
    <row r="53" spans="1:26" s="29" customFormat="1" outlineLevel="1" collapsed="1" x14ac:dyDescent="0.3">
      <c r="A53" s="27"/>
      <c r="B53" s="14" t="str">
        <f>CONCATENATE("     ","Bad Debts/Over/Short                              ")</f>
        <v xml:space="preserve">     Bad Debts/Over/Short                              </v>
      </c>
      <c r="C53" s="14"/>
      <c r="D53" s="1">
        <f>SUM(OSRRefD22_3x_0)</f>
        <v>0.02</v>
      </c>
      <c r="E53" s="1"/>
      <c r="F53" s="5">
        <f t="shared" si="33"/>
        <v>1.7239521603275508E-6</v>
      </c>
      <c r="G53" s="1"/>
      <c r="H53" s="1">
        <f>SUM(OSRRefH22_3x_0)</f>
        <v>0</v>
      </c>
      <c r="I53" s="1"/>
      <c r="J53" s="5">
        <f t="shared" si="34"/>
        <v>0</v>
      </c>
      <c r="K53" s="1"/>
      <c r="L53" s="1">
        <f t="shared" si="35"/>
        <v>0.02</v>
      </c>
      <c r="M53" s="1"/>
      <c r="N53" s="5">
        <f t="shared" si="36"/>
        <v>0</v>
      </c>
      <c r="O53" s="14"/>
      <c r="P53" s="1">
        <f>SUM(OSRRefP22_3x_0)</f>
        <v>-3.45</v>
      </c>
      <c r="Q53" s="1"/>
      <c r="R53" s="5">
        <f t="shared" si="37"/>
        <v>-3.6730136342266113E-5</v>
      </c>
      <c r="S53" s="1"/>
      <c r="T53" s="1">
        <f>SUM(OSRRefT22_3x_0)</f>
        <v>1.1000000000000001</v>
      </c>
      <c r="U53" s="1"/>
      <c r="V53" s="5">
        <f t="shared" si="38"/>
        <v>5.1614307861516002E-5</v>
      </c>
      <c r="W53" s="1"/>
      <c r="X53" s="1">
        <f t="shared" si="39"/>
        <v>-4.5500000000000007</v>
      </c>
      <c r="Y53" s="1"/>
      <c r="Z53" s="5">
        <f t="shared" si="40"/>
        <v>-4.1363636363636367</v>
      </c>
    </row>
    <row r="54" spans="1:26" s="24" customFormat="1" hidden="1" outlineLevel="2" x14ac:dyDescent="0.3">
      <c r="A54" s="28"/>
      <c r="B54" s="11" t="str">
        <f>CONCATENATE("          ", "6272", " - ", "CASH (OVER/SHORT)")</f>
        <v xml:space="preserve">          6272 - CASH (OVER/SHORT)</v>
      </c>
      <c r="C54" s="11"/>
      <c r="D54" s="6">
        <v>0.02</v>
      </c>
      <c r="E54" s="2"/>
      <c r="F54" s="7">
        <f t="shared" si="33"/>
        <v>1.7239521603275508E-6</v>
      </c>
      <c r="G54" s="2"/>
      <c r="H54" s="6"/>
      <c r="I54" s="2"/>
      <c r="J54" s="7">
        <f t="shared" si="34"/>
        <v>0</v>
      </c>
      <c r="K54" s="2"/>
      <c r="L54" s="6">
        <f t="shared" si="35"/>
        <v>0.02</v>
      </c>
      <c r="M54" s="2"/>
      <c r="N54" s="7">
        <f t="shared" si="36"/>
        <v>0</v>
      </c>
      <c r="O54" s="11"/>
      <c r="P54" s="6">
        <v>-3.45</v>
      </c>
      <c r="Q54" s="2"/>
      <c r="R54" s="7">
        <f t="shared" si="37"/>
        <v>-3.6730136342266113E-5</v>
      </c>
      <c r="S54" s="2"/>
      <c r="T54" s="6">
        <v>1.1000000000000001</v>
      </c>
      <c r="U54" s="2"/>
      <c r="V54" s="7">
        <f t="shared" si="38"/>
        <v>5.1614307861516002E-5</v>
      </c>
      <c r="W54" s="2"/>
      <c r="X54" s="6">
        <f t="shared" si="39"/>
        <v>-4.5500000000000007</v>
      </c>
      <c r="Y54" s="2"/>
      <c r="Z54" s="7">
        <f t="shared" si="40"/>
        <v>-4.1363636363636367</v>
      </c>
    </row>
    <row r="55" spans="1:26" s="29" customFormat="1" outlineLevel="1" collapsed="1" x14ac:dyDescent="0.3">
      <c r="A55" s="27"/>
      <c r="B55" s="14" t="str">
        <f>CONCATENATE("     ","Discounts and Markdowns                           ")</f>
        <v xml:space="preserve">     Discounts and Markdowns                           </v>
      </c>
      <c r="C55" s="14"/>
      <c r="D55" s="1">
        <f>SUM(OSRRefD22_4x_0)</f>
        <v>12.46</v>
      </c>
      <c r="E55" s="1"/>
      <c r="F55" s="5">
        <f t="shared" si="33"/>
        <v>1.0740221958840644E-3</v>
      </c>
      <c r="G55" s="1"/>
      <c r="H55" s="1">
        <f>SUM(OSRRefH22_4x_0)</f>
        <v>0</v>
      </c>
      <c r="I55" s="1"/>
      <c r="J55" s="5">
        <f t="shared" si="34"/>
        <v>0</v>
      </c>
      <c r="K55" s="1"/>
      <c r="L55" s="1">
        <f t="shared" si="35"/>
        <v>12.46</v>
      </c>
      <c r="M55" s="1"/>
      <c r="N55" s="5">
        <f t="shared" si="36"/>
        <v>0</v>
      </c>
      <c r="O55" s="14"/>
      <c r="P55" s="1">
        <f>SUM(OSRRefP22_4x_0)</f>
        <v>-28.89</v>
      </c>
      <c r="Q55" s="1"/>
      <c r="R55" s="5">
        <f t="shared" si="37"/>
        <v>-3.0757496780523707E-4</v>
      </c>
      <c r="S55" s="1"/>
      <c r="T55" s="1">
        <f>SUM(OSRRefT22_4x_0)</f>
        <v>0</v>
      </c>
      <c r="U55" s="1"/>
      <c r="V55" s="5">
        <f t="shared" si="38"/>
        <v>0</v>
      </c>
      <c r="W55" s="1"/>
      <c r="X55" s="1">
        <f t="shared" si="39"/>
        <v>-28.89</v>
      </c>
      <c r="Y55" s="1"/>
      <c r="Z55" s="5">
        <f t="shared" si="40"/>
        <v>0</v>
      </c>
    </row>
    <row r="56" spans="1:26" s="24" customFormat="1" hidden="1" outlineLevel="2" x14ac:dyDescent="0.3">
      <c r="A56" s="28"/>
      <c r="B56" s="11" t="str">
        <f>CONCATENATE("          ", "6382", " - ", "DISCOUNTS/MARK DOWNS")</f>
        <v xml:space="preserve">          6382 - DISCOUNTS/MARK DOWNS</v>
      </c>
      <c r="C56" s="11"/>
      <c r="D56" s="6"/>
      <c r="E56" s="2"/>
      <c r="F56" s="7">
        <f t="shared" si="33"/>
        <v>0</v>
      </c>
      <c r="G56" s="2"/>
      <c r="H56" s="6"/>
      <c r="I56" s="2"/>
      <c r="J56" s="7">
        <f t="shared" si="34"/>
        <v>0</v>
      </c>
      <c r="K56" s="2"/>
      <c r="L56" s="6">
        <f t="shared" si="35"/>
        <v>0</v>
      </c>
      <c r="M56" s="2"/>
      <c r="N56" s="7">
        <f t="shared" si="36"/>
        <v>0</v>
      </c>
      <c r="O56" s="11"/>
      <c r="P56" s="6"/>
      <c r="Q56" s="2"/>
      <c r="R56" s="7">
        <f t="shared" si="37"/>
        <v>0</v>
      </c>
      <c r="S56" s="2"/>
      <c r="T56" s="6">
        <v>0</v>
      </c>
      <c r="U56" s="2"/>
      <c r="V56" s="7">
        <f t="shared" si="38"/>
        <v>0</v>
      </c>
      <c r="W56" s="2"/>
      <c r="X56" s="6">
        <f t="shared" si="39"/>
        <v>0</v>
      </c>
      <c r="Y56" s="2"/>
      <c r="Z56" s="7">
        <f t="shared" si="40"/>
        <v>0</v>
      </c>
    </row>
    <row r="57" spans="1:26" s="24" customFormat="1" hidden="1" outlineLevel="2" x14ac:dyDescent="0.3">
      <c r="A57" s="28"/>
      <c r="B57" s="11" t="str">
        <f>CONCATENATE("          ", "9175", " - ", "EARNED DISCOUNTS")</f>
        <v xml:space="preserve">          9175 - EARNED DISCOUNTS</v>
      </c>
      <c r="C57" s="11"/>
      <c r="D57" s="6">
        <v>12.46</v>
      </c>
      <c r="E57" s="2"/>
      <c r="F57" s="7">
        <f t="shared" si="33"/>
        <v>1.0740221958840644E-3</v>
      </c>
      <c r="G57" s="2"/>
      <c r="H57" s="6"/>
      <c r="I57" s="2"/>
      <c r="J57" s="7">
        <f t="shared" si="34"/>
        <v>0</v>
      </c>
      <c r="K57" s="2"/>
      <c r="L57" s="6">
        <f t="shared" si="35"/>
        <v>12.46</v>
      </c>
      <c r="M57" s="2"/>
      <c r="N57" s="7">
        <f t="shared" si="36"/>
        <v>0</v>
      </c>
      <c r="O57" s="11"/>
      <c r="P57" s="6">
        <v>-28.89</v>
      </c>
      <c r="Q57" s="2"/>
      <c r="R57" s="7">
        <f t="shared" si="37"/>
        <v>-3.0757496780523707E-4</v>
      </c>
      <c r="S57" s="2"/>
      <c r="T57" s="6">
        <v>0</v>
      </c>
      <c r="U57" s="2"/>
      <c r="V57" s="7">
        <f t="shared" si="38"/>
        <v>0</v>
      </c>
      <c r="W57" s="2"/>
      <c r="X57" s="6">
        <f t="shared" si="39"/>
        <v>-28.89</v>
      </c>
      <c r="Y57" s="2"/>
      <c r="Z57" s="7">
        <f t="shared" si="40"/>
        <v>0</v>
      </c>
    </row>
    <row r="58" spans="1:26" s="29" customFormat="1" outlineLevel="1" collapsed="1" x14ac:dyDescent="0.3">
      <c r="A58" s="27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SUM(OSRRefD22_5x_0)</f>
        <v>0</v>
      </c>
      <c r="E58" s="1"/>
      <c r="F58" s="5">
        <f t="shared" ref="F58:F66" si="41">IF(D$12=0,0,D58/D$12)</f>
        <v>0</v>
      </c>
      <c r="G58" s="1"/>
      <c r="H58" s="1">
        <f>SUM(OSRRefH22_5x_0)</f>
        <v>0</v>
      </c>
      <c r="I58" s="1"/>
      <c r="J58" s="5">
        <f t="shared" ref="J58:J66" si="42">IF(H$12=0,0,H58/H$12)</f>
        <v>0</v>
      </c>
      <c r="K58" s="1"/>
      <c r="L58" s="1">
        <f t="shared" ref="L58:L66" si="43">+D58-H58</f>
        <v>0</v>
      </c>
      <c r="M58" s="1"/>
      <c r="N58" s="5">
        <f t="shared" ref="N58:N66" si="44">IF(H58=0,0,L58/H58)</f>
        <v>0</v>
      </c>
      <c r="O58" s="14"/>
      <c r="P58" s="1">
        <f>SUM(OSRRefP22_5x_0)</f>
        <v>54.5</v>
      </c>
      <c r="Q58" s="1"/>
      <c r="R58" s="5">
        <f t="shared" ref="R58:R66" si="45">IF(P$12=0,0,P58/P$12)</f>
        <v>5.8022969004449369E-4</v>
      </c>
      <c r="S58" s="1"/>
      <c r="T58" s="1">
        <f>SUM(OSRRefT22_5x_0)</f>
        <v>0</v>
      </c>
      <c r="U58" s="1"/>
      <c r="V58" s="5">
        <f t="shared" ref="V58:V66" si="46">IF(T$12=0,0,T58/T$12)</f>
        <v>0</v>
      </c>
      <c r="W58" s="1"/>
      <c r="X58" s="1">
        <f t="shared" ref="X58:X66" si="47">+P58-T58</f>
        <v>54.5</v>
      </c>
      <c r="Y58" s="1"/>
      <c r="Z58" s="5">
        <f t="shared" ref="Z58:Z66" si="48">IF(T58=0,0,X58/T58)</f>
        <v>0</v>
      </c>
    </row>
    <row r="59" spans="1:26" s="24" customFormat="1" hidden="1" outlineLevel="2" x14ac:dyDescent="0.3">
      <c r="A59" s="28"/>
      <c r="B59" s="11" t="str">
        <f>CONCATENATE("          ", "6307", " - ", "POSTAGE")</f>
        <v xml:space="preserve">          6307 - POSTAGE</v>
      </c>
      <c r="C59" s="11"/>
      <c r="D59" s="6"/>
      <c r="E59" s="2"/>
      <c r="F59" s="7">
        <f t="shared" si="41"/>
        <v>0</v>
      </c>
      <c r="G59" s="2"/>
      <c r="H59" s="6"/>
      <c r="I59" s="2"/>
      <c r="J59" s="7">
        <f t="shared" si="42"/>
        <v>0</v>
      </c>
      <c r="K59" s="2"/>
      <c r="L59" s="6">
        <f t="shared" si="43"/>
        <v>0</v>
      </c>
      <c r="M59" s="2"/>
      <c r="N59" s="7">
        <f t="shared" si="44"/>
        <v>0</v>
      </c>
      <c r="O59" s="11"/>
      <c r="P59" s="6">
        <v>54.5</v>
      </c>
      <c r="Q59" s="2"/>
      <c r="R59" s="7">
        <f t="shared" si="45"/>
        <v>5.8022969004449369E-4</v>
      </c>
      <c r="S59" s="2"/>
      <c r="T59" s="6"/>
      <c r="U59" s="2"/>
      <c r="V59" s="7">
        <f t="shared" si="46"/>
        <v>0</v>
      </c>
      <c r="W59" s="2"/>
      <c r="X59" s="6">
        <f t="shared" si="47"/>
        <v>54.5</v>
      </c>
      <c r="Y59" s="2"/>
      <c r="Z59" s="7">
        <f t="shared" si="48"/>
        <v>0</v>
      </c>
    </row>
    <row r="60" spans="1:26" s="29" customFormat="1" outlineLevel="1" collapsed="1" x14ac:dyDescent="0.3">
      <c r="A60" s="27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SUM(OSRRefD22_6x_0)</f>
        <v>160</v>
      </c>
      <c r="E60" s="1"/>
      <c r="F60" s="5">
        <f t="shared" si="41"/>
        <v>1.3791617282620407E-2</v>
      </c>
      <c r="G60" s="1"/>
      <c r="H60" s="1">
        <f>SUM(OSRRefH22_6x_0)</f>
        <v>160</v>
      </c>
      <c r="I60" s="1"/>
      <c r="J60" s="5">
        <f t="shared" si="42"/>
        <v>0</v>
      </c>
      <c r="K60" s="1"/>
      <c r="L60" s="1">
        <f t="shared" si="43"/>
        <v>0</v>
      </c>
      <c r="M60" s="1"/>
      <c r="N60" s="5">
        <f t="shared" si="44"/>
        <v>0</v>
      </c>
      <c r="O60" s="14"/>
      <c r="P60" s="1">
        <f>SUM(OSRRefP22_6x_0)</f>
        <v>388.04</v>
      </c>
      <c r="Q60" s="1"/>
      <c r="R60" s="5">
        <f t="shared" si="45"/>
        <v>4.1312353931167948E-3</v>
      </c>
      <c r="S60" s="1"/>
      <c r="T60" s="1">
        <f>SUM(OSRRefT22_6x_0)</f>
        <v>879.55</v>
      </c>
      <c r="U60" s="1"/>
      <c r="V60" s="5">
        <f t="shared" si="46"/>
        <v>4.1270331345087632E-2</v>
      </c>
      <c r="W60" s="1"/>
      <c r="X60" s="1">
        <f t="shared" si="47"/>
        <v>-491.50999999999993</v>
      </c>
      <c r="Y60" s="1"/>
      <c r="Z60" s="5">
        <f t="shared" si="48"/>
        <v>-0.55881985106020116</v>
      </c>
    </row>
    <row r="61" spans="1:26" s="24" customFormat="1" hidden="1" outlineLevel="2" x14ac:dyDescent="0.3">
      <c r="A61" s="28"/>
      <c r="B61" s="11" t="str">
        <f>CONCATENATE("          ", "6279", " - ", "GENERAL EXPENSE")</f>
        <v xml:space="preserve">          6279 - GENERAL EXPENSE</v>
      </c>
      <c r="C61" s="11"/>
      <c r="D61" s="6">
        <v>160</v>
      </c>
      <c r="E61" s="2"/>
      <c r="F61" s="7">
        <f t="shared" si="41"/>
        <v>1.3791617282620407E-2</v>
      </c>
      <c r="G61" s="2"/>
      <c r="H61" s="6">
        <v>160</v>
      </c>
      <c r="I61" s="2"/>
      <c r="J61" s="7">
        <f t="shared" si="42"/>
        <v>0</v>
      </c>
      <c r="K61" s="2"/>
      <c r="L61" s="6">
        <f t="shared" si="43"/>
        <v>0</v>
      </c>
      <c r="M61" s="2"/>
      <c r="N61" s="7">
        <f t="shared" si="44"/>
        <v>0</v>
      </c>
      <c r="O61" s="11"/>
      <c r="P61" s="6">
        <v>388.04</v>
      </c>
      <c r="Q61" s="2"/>
      <c r="R61" s="7">
        <f t="shared" si="45"/>
        <v>4.1312353931167948E-3</v>
      </c>
      <c r="S61" s="2"/>
      <c r="T61" s="6">
        <v>879.55</v>
      </c>
      <c r="U61" s="2"/>
      <c r="V61" s="7">
        <f t="shared" si="46"/>
        <v>4.1270331345087632E-2</v>
      </c>
      <c r="W61" s="2"/>
      <c r="X61" s="6">
        <f t="shared" si="47"/>
        <v>-491.50999999999993</v>
      </c>
      <c r="Y61" s="2"/>
      <c r="Z61" s="7">
        <f t="shared" si="48"/>
        <v>-0.55881985106020116</v>
      </c>
    </row>
    <row r="62" spans="1:26" s="29" customFormat="1" outlineLevel="1" collapsed="1" x14ac:dyDescent="0.3">
      <c r="A62" s="27"/>
      <c r="B62" s="14" t="str">
        <f>CONCATENATE("     ","Inventory Adjustment                              ")</f>
        <v xml:space="preserve">     Inventory Adjustment                              </v>
      </c>
      <c r="C62" s="14"/>
      <c r="D62" s="1">
        <f>SUM(OSRRefD22_7x_0)</f>
        <v>650</v>
      </c>
      <c r="E62" s="1"/>
      <c r="F62" s="5">
        <f t="shared" si="41"/>
        <v>5.6028445210645407E-2</v>
      </c>
      <c r="G62" s="1"/>
      <c r="H62" s="1">
        <f>SUM(OSRRefH22_7x_0)</f>
        <v>0</v>
      </c>
      <c r="I62" s="1"/>
      <c r="J62" s="5">
        <f t="shared" si="42"/>
        <v>0</v>
      </c>
      <c r="K62" s="1"/>
      <c r="L62" s="1">
        <f t="shared" si="43"/>
        <v>650</v>
      </c>
      <c r="M62" s="1"/>
      <c r="N62" s="5">
        <f t="shared" si="44"/>
        <v>0</v>
      </c>
      <c r="O62" s="14"/>
      <c r="P62" s="1">
        <f>SUM(OSRRefP22_7x_0)</f>
        <v>3900</v>
      </c>
      <c r="Q62" s="1"/>
      <c r="R62" s="5">
        <f t="shared" si="45"/>
        <v>4.152102369125734E-2</v>
      </c>
      <c r="S62" s="1"/>
      <c r="T62" s="1">
        <f>SUM(OSRRefT22_7x_0)</f>
        <v>0</v>
      </c>
      <c r="U62" s="1"/>
      <c r="V62" s="5">
        <f t="shared" si="46"/>
        <v>0</v>
      </c>
      <c r="W62" s="1"/>
      <c r="X62" s="1">
        <f t="shared" si="47"/>
        <v>3900</v>
      </c>
      <c r="Y62" s="1"/>
      <c r="Z62" s="5">
        <f t="shared" si="48"/>
        <v>0</v>
      </c>
    </row>
    <row r="63" spans="1:26" s="24" customFormat="1" hidden="1" outlineLevel="2" x14ac:dyDescent="0.3">
      <c r="A63" s="28"/>
      <c r="B63" s="11" t="str">
        <f>CONCATENATE("          ", "6408", " - ", "INVENTORY ADJUSTMENT")</f>
        <v xml:space="preserve">          6408 - INVENTORY ADJUSTMENT</v>
      </c>
      <c r="C63" s="11"/>
      <c r="D63" s="6">
        <v>650</v>
      </c>
      <c r="E63" s="2"/>
      <c r="F63" s="7">
        <f t="shared" si="41"/>
        <v>5.6028445210645407E-2</v>
      </c>
      <c r="G63" s="2"/>
      <c r="H63" s="6"/>
      <c r="I63" s="2"/>
      <c r="J63" s="7">
        <f t="shared" si="42"/>
        <v>0</v>
      </c>
      <c r="K63" s="2"/>
      <c r="L63" s="6">
        <f t="shared" si="43"/>
        <v>650</v>
      </c>
      <c r="M63" s="2"/>
      <c r="N63" s="7">
        <f t="shared" si="44"/>
        <v>0</v>
      </c>
      <c r="O63" s="11"/>
      <c r="P63" s="6">
        <v>3900</v>
      </c>
      <c r="Q63" s="2"/>
      <c r="R63" s="7">
        <f t="shared" si="45"/>
        <v>4.152102369125734E-2</v>
      </c>
      <c r="S63" s="2"/>
      <c r="T63" s="6"/>
      <c r="U63" s="2"/>
      <c r="V63" s="7">
        <f t="shared" si="46"/>
        <v>0</v>
      </c>
      <c r="W63" s="2"/>
      <c r="X63" s="6">
        <f t="shared" si="47"/>
        <v>3900</v>
      </c>
      <c r="Y63" s="2"/>
      <c r="Z63" s="7">
        <f t="shared" si="48"/>
        <v>0</v>
      </c>
    </row>
    <row r="64" spans="1:26" s="29" customFormat="1" outlineLevel="1" collapsed="1" x14ac:dyDescent="0.3">
      <c r="A64" s="27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SUM(OSRRefD22_8x_0)</f>
        <v>139.06</v>
      </c>
      <c r="E64" s="1"/>
      <c r="F64" s="5">
        <f t="shared" si="41"/>
        <v>1.1986639370757462E-2</v>
      </c>
      <c r="G64" s="1"/>
      <c r="H64" s="1">
        <f>SUM(OSRRefH22_8x_0)</f>
        <v>61.11</v>
      </c>
      <c r="I64" s="1"/>
      <c r="J64" s="5">
        <f t="shared" si="42"/>
        <v>0</v>
      </c>
      <c r="K64" s="1"/>
      <c r="L64" s="1">
        <f t="shared" si="43"/>
        <v>77.95</v>
      </c>
      <c r="M64" s="1"/>
      <c r="N64" s="5">
        <f t="shared" si="44"/>
        <v>1.2755686467026675</v>
      </c>
      <c r="O64" s="14"/>
      <c r="P64" s="1">
        <f>SUM(OSRRefP22_8x_0)</f>
        <v>383.39</v>
      </c>
      <c r="Q64" s="1"/>
      <c r="R64" s="5">
        <f t="shared" si="45"/>
        <v>4.0817295571772185E-3</v>
      </c>
      <c r="S64" s="1"/>
      <c r="T64" s="1">
        <f>SUM(OSRRefT22_8x_0)</f>
        <v>200.82</v>
      </c>
      <c r="U64" s="1"/>
      <c r="V64" s="5">
        <f t="shared" si="46"/>
        <v>9.4228957315905838E-3</v>
      </c>
      <c r="W64" s="1"/>
      <c r="X64" s="1">
        <f t="shared" si="47"/>
        <v>182.57</v>
      </c>
      <c r="Y64" s="1"/>
      <c r="Z64" s="5">
        <f t="shared" si="48"/>
        <v>0.90912259735086143</v>
      </c>
    </row>
    <row r="65" spans="1:26" s="24" customFormat="1" hidden="1" outlineLevel="2" x14ac:dyDescent="0.3">
      <c r="A65" s="28"/>
      <c r="B65" s="11" t="str">
        <f>CONCATENATE("          ", "6373", " - ", "MAINTENANCE CONTRACTS")</f>
        <v xml:space="preserve">          6373 - MAINTENANCE CONTRACTS</v>
      </c>
      <c r="C65" s="11"/>
      <c r="D65" s="6">
        <v>139.06</v>
      </c>
      <c r="E65" s="2"/>
      <c r="F65" s="7">
        <f t="shared" si="41"/>
        <v>1.1986639370757462E-2</v>
      </c>
      <c r="G65" s="2"/>
      <c r="H65" s="6">
        <v>61.11</v>
      </c>
      <c r="I65" s="2"/>
      <c r="J65" s="7">
        <f t="shared" si="42"/>
        <v>0</v>
      </c>
      <c r="K65" s="2"/>
      <c r="L65" s="6">
        <f t="shared" si="43"/>
        <v>77.95</v>
      </c>
      <c r="M65" s="2"/>
      <c r="N65" s="7">
        <f t="shared" si="44"/>
        <v>1.2755686467026675</v>
      </c>
      <c r="O65" s="11"/>
      <c r="P65" s="6">
        <v>200.17</v>
      </c>
      <c r="Q65" s="2"/>
      <c r="R65" s="7">
        <f t="shared" si="45"/>
        <v>2.1310931569946106E-3</v>
      </c>
      <c r="S65" s="2"/>
      <c r="T65" s="6">
        <v>200.82</v>
      </c>
      <c r="U65" s="2"/>
      <c r="V65" s="7">
        <f t="shared" si="46"/>
        <v>9.4228957315905838E-3</v>
      </c>
      <c r="W65" s="2"/>
      <c r="X65" s="6">
        <f t="shared" si="47"/>
        <v>-0.65000000000000568</v>
      </c>
      <c r="Y65" s="2"/>
      <c r="Z65" s="7">
        <f t="shared" si="48"/>
        <v>-3.2367294094214007E-3</v>
      </c>
    </row>
    <row r="66" spans="1:26" s="24" customFormat="1" hidden="1" outlineLevel="2" x14ac:dyDescent="0.3">
      <c r="A66" s="28"/>
      <c r="B66" s="11" t="str">
        <f>CONCATENATE("          ", "6375", " - ", "OUTSIDE REPAIRS &amp; MAINTENANCE")</f>
        <v xml:space="preserve">          6375 - OUTSIDE REPAIRS &amp; MAINTENANCE</v>
      </c>
      <c r="C66" s="11"/>
      <c r="D66" s="6"/>
      <c r="E66" s="2"/>
      <c r="F66" s="7">
        <f t="shared" si="41"/>
        <v>0</v>
      </c>
      <c r="G66" s="2"/>
      <c r="H66" s="6"/>
      <c r="I66" s="2"/>
      <c r="J66" s="7">
        <f t="shared" si="42"/>
        <v>0</v>
      </c>
      <c r="K66" s="2"/>
      <c r="L66" s="6">
        <f t="shared" si="43"/>
        <v>0</v>
      </c>
      <c r="M66" s="2"/>
      <c r="N66" s="7">
        <f t="shared" si="44"/>
        <v>0</v>
      </c>
      <c r="O66" s="11"/>
      <c r="P66" s="6">
        <v>183.22</v>
      </c>
      <c r="Q66" s="2"/>
      <c r="R66" s="7">
        <f t="shared" si="45"/>
        <v>1.9506364001826077E-3</v>
      </c>
      <c r="S66" s="2"/>
      <c r="T66" s="6"/>
      <c r="U66" s="2"/>
      <c r="V66" s="7">
        <f t="shared" si="46"/>
        <v>0</v>
      </c>
      <c r="W66" s="2"/>
      <c r="X66" s="6">
        <f t="shared" si="47"/>
        <v>183.22</v>
      </c>
      <c r="Y66" s="2"/>
      <c r="Z66" s="7">
        <f t="shared" si="48"/>
        <v>0</v>
      </c>
    </row>
    <row r="67" spans="1:26" s="29" customFormat="1" outlineLevel="1" collapsed="1" x14ac:dyDescent="0.3">
      <c r="A67" s="27"/>
      <c r="B67" s="14" t="str">
        <f>CONCATENATE("     ","Services                                          ")</f>
        <v xml:space="preserve">     Services                                          </v>
      </c>
      <c r="C67" s="14"/>
      <c r="D67" s="1">
        <f>SUM(OSRRefD22_9x_0)</f>
        <v>273.81</v>
      </c>
      <c r="E67" s="1"/>
      <c r="F67" s="5">
        <f t="shared" ref="F67:F69" si="49">IF(D$12=0,0,D67/D$12)</f>
        <v>2.3601767050964336E-2</v>
      </c>
      <c r="G67" s="1"/>
      <c r="H67" s="1">
        <f>SUM(OSRRefH22_9x_0)</f>
        <v>0</v>
      </c>
      <c r="I67" s="1"/>
      <c r="J67" s="5">
        <f t="shared" ref="J67:J69" si="50">IF(H$12=0,0,H67/H$12)</f>
        <v>0</v>
      </c>
      <c r="K67" s="1"/>
      <c r="L67" s="1">
        <f t="shared" ref="L67:L69" si="51">+D67-H67</f>
        <v>273.81</v>
      </c>
      <c r="M67" s="1"/>
      <c r="N67" s="5">
        <f t="shared" ref="N67:N69" si="52">IF(H67=0,0,L67/H67)</f>
        <v>0</v>
      </c>
      <c r="O67" s="14"/>
      <c r="P67" s="1">
        <f>SUM(OSRRefP22_9x_0)</f>
        <v>3437.25</v>
      </c>
      <c r="Q67" s="1"/>
      <c r="R67" s="5">
        <f t="shared" ref="R67:R69" si="53">IF(P$12=0,0,P67/P$12)</f>
        <v>3.6594394534044693E-2</v>
      </c>
      <c r="S67" s="1"/>
      <c r="T67" s="1">
        <f>SUM(OSRRefT22_9x_0)</f>
        <v>18.5</v>
      </c>
      <c r="U67" s="1"/>
      <c r="V67" s="5">
        <f t="shared" ref="V67:V69" si="54">IF(T$12=0,0,T67/T$12)</f>
        <v>8.6805881403458724E-4</v>
      </c>
      <c r="W67" s="1"/>
      <c r="X67" s="1">
        <f t="shared" ref="X67:X69" si="55">+P67-T67</f>
        <v>3418.75</v>
      </c>
      <c r="Y67" s="1"/>
      <c r="Z67" s="5">
        <f t="shared" ref="Z67:Z69" si="56">IF(T67=0,0,X67/T67)</f>
        <v>184.79729729729729</v>
      </c>
    </row>
    <row r="68" spans="1:26" s="24" customFormat="1" hidden="1" outlineLevel="2" x14ac:dyDescent="0.3">
      <c r="A68" s="28"/>
      <c r="B68" s="11" t="str">
        <f>CONCATENATE("          ", "6282", " - ", "JANITORIAL/EXTERMINATOR EXPENS")</f>
        <v xml:space="preserve">          6282 - JANITORIAL/EXTERMINATOR EXPENS</v>
      </c>
      <c r="C68" s="11"/>
      <c r="D68" s="6">
        <v>138</v>
      </c>
      <c r="E68" s="2"/>
      <c r="F68" s="7">
        <f t="shared" si="49"/>
        <v>1.1895269906260102E-2</v>
      </c>
      <c r="G68" s="2"/>
      <c r="H68" s="6"/>
      <c r="I68" s="2"/>
      <c r="J68" s="7">
        <f t="shared" si="50"/>
        <v>0</v>
      </c>
      <c r="K68" s="2"/>
      <c r="L68" s="6">
        <f t="shared" si="51"/>
        <v>138</v>
      </c>
      <c r="M68" s="2"/>
      <c r="N68" s="7">
        <f t="shared" si="52"/>
        <v>0</v>
      </c>
      <c r="O68" s="11"/>
      <c r="P68" s="6">
        <v>629.6</v>
      </c>
      <c r="Q68" s="2"/>
      <c r="R68" s="7">
        <f t="shared" si="53"/>
        <v>6.702983722055288E-3</v>
      </c>
      <c r="S68" s="2"/>
      <c r="T68" s="6">
        <v>176</v>
      </c>
      <c r="U68" s="2"/>
      <c r="V68" s="7">
        <f t="shared" si="54"/>
        <v>8.2582892578425601E-3</v>
      </c>
      <c r="W68" s="2"/>
      <c r="X68" s="6">
        <f t="shared" si="55"/>
        <v>453.6</v>
      </c>
      <c r="Y68" s="2"/>
      <c r="Z68" s="7">
        <f t="shared" si="56"/>
        <v>2.5772727272727276</v>
      </c>
    </row>
    <row r="69" spans="1:26" s="24" customFormat="1" hidden="1" outlineLevel="2" x14ac:dyDescent="0.3">
      <c r="A69" s="28"/>
      <c r="B69" s="11" t="str">
        <f>CONCATENATE("          ", "6285", " - ", "JANITORIAL SERVICES")</f>
        <v xml:space="preserve">          6285 - JANITORIAL SERVICES</v>
      </c>
      <c r="C69" s="11"/>
      <c r="D69" s="6">
        <v>135.81</v>
      </c>
      <c r="E69" s="2"/>
      <c r="F69" s="7">
        <f t="shared" si="49"/>
        <v>1.1706497144704234E-2</v>
      </c>
      <c r="G69" s="2"/>
      <c r="H69" s="6"/>
      <c r="I69" s="2"/>
      <c r="J69" s="7">
        <f t="shared" si="50"/>
        <v>0</v>
      </c>
      <c r="K69" s="2"/>
      <c r="L69" s="6">
        <f t="shared" si="51"/>
        <v>135.81</v>
      </c>
      <c r="M69" s="2"/>
      <c r="N69" s="7">
        <f t="shared" si="52"/>
        <v>0</v>
      </c>
      <c r="O69" s="11"/>
      <c r="P69" s="6">
        <v>2807.65</v>
      </c>
      <c r="Q69" s="2"/>
      <c r="R69" s="7">
        <f t="shared" si="53"/>
        <v>2.9891410811989406E-2</v>
      </c>
      <c r="S69" s="2"/>
      <c r="T69" s="6">
        <v>-157.5</v>
      </c>
      <c r="U69" s="2"/>
      <c r="V69" s="7">
        <f t="shared" si="54"/>
        <v>-7.3902304438079732E-3</v>
      </c>
      <c r="W69" s="2"/>
      <c r="X69" s="6">
        <f t="shared" si="55"/>
        <v>2965.15</v>
      </c>
      <c r="Y69" s="2"/>
      <c r="Z69" s="7">
        <f t="shared" si="56"/>
        <v>-18.826349206349207</v>
      </c>
    </row>
    <row r="70" spans="1:26" s="29" customFormat="1" outlineLevel="1" collapsed="1" x14ac:dyDescent="0.3">
      <c r="A70" s="27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SUM(OSRRefD22_10x_0)</f>
        <v>11.03</v>
      </c>
      <c r="E70" s="1"/>
      <c r="F70" s="5">
        <f t="shared" ref="F70:F74" si="57">IF(D$12=0,0,D70/D$12)</f>
        <v>9.5075961642064426E-4</v>
      </c>
      <c r="G70" s="1"/>
      <c r="H70" s="1">
        <f>SUM(OSRRefH22_10x_0)</f>
        <v>0</v>
      </c>
      <c r="I70" s="1"/>
      <c r="J70" s="5">
        <f t="shared" ref="J70:J74" si="58">IF(H$12=0,0,H70/H$12)</f>
        <v>0</v>
      </c>
      <c r="K70" s="1"/>
      <c r="L70" s="1">
        <f t="shared" ref="L70:L74" si="59">+D70-H70</f>
        <v>11.03</v>
      </c>
      <c r="M70" s="1"/>
      <c r="N70" s="5">
        <f t="shared" ref="N70:N74" si="60">IF(H70=0,0,L70/H70)</f>
        <v>0</v>
      </c>
      <c r="O70" s="14"/>
      <c r="P70" s="1">
        <f>SUM(OSRRefP22_10x_0)</f>
        <v>1747.49</v>
      </c>
      <c r="Q70" s="1"/>
      <c r="R70" s="5">
        <f t="shared" ref="R70:R74" si="61">IF(P$12=0,0,P70/P$12)</f>
        <v>1.8604506074419307E-2</v>
      </c>
      <c r="S70" s="1"/>
      <c r="T70" s="1">
        <f>SUM(OSRRefT22_10x_0)</f>
        <v>1892.27</v>
      </c>
      <c r="U70" s="1"/>
      <c r="V70" s="5">
        <f t="shared" ref="V70:V74" si="62">IF(T$12=0,0,T70/T$12)</f>
        <v>8.8789278488282622E-2</v>
      </c>
      <c r="W70" s="1"/>
      <c r="X70" s="1">
        <f t="shared" ref="X70:X74" si="63">+P70-T70</f>
        <v>-144.77999999999997</v>
      </c>
      <c r="Y70" s="1"/>
      <c r="Z70" s="5">
        <f t="shared" ref="Z70:Z74" si="64">IF(T70=0,0,X70/T70)</f>
        <v>-7.6511280102733739E-2</v>
      </c>
    </row>
    <row r="71" spans="1:26" s="24" customFormat="1" hidden="1" outlineLevel="2" x14ac:dyDescent="0.3">
      <c r="A71" s="28"/>
      <c r="B71" s="11" t="str">
        <f>CONCATENATE("          ", "6234", " - ", "EXPENDABLE SUPPLIES &amp; EQUIPMEN")</f>
        <v xml:space="preserve">          6234 - EXPENDABLE SUPPLIES &amp; EQUIPMEN</v>
      </c>
      <c r="C71" s="11"/>
      <c r="D71" s="6"/>
      <c r="E71" s="2"/>
      <c r="F71" s="7">
        <f t="shared" si="57"/>
        <v>0</v>
      </c>
      <c r="G71" s="2"/>
      <c r="H71" s="6"/>
      <c r="I71" s="2"/>
      <c r="J71" s="7">
        <f t="shared" si="58"/>
        <v>0</v>
      </c>
      <c r="K71" s="2"/>
      <c r="L71" s="6">
        <f t="shared" si="59"/>
        <v>0</v>
      </c>
      <c r="M71" s="2"/>
      <c r="N71" s="7">
        <f t="shared" si="60"/>
        <v>0</v>
      </c>
      <c r="O71" s="11"/>
      <c r="P71" s="6">
        <v>1393.55</v>
      </c>
      <c r="Q71" s="2"/>
      <c r="R71" s="7">
        <f t="shared" si="61"/>
        <v>1.4836313478192736E-2</v>
      </c>
      <c r="S71" s="2"/>
      <c r="T71" s="6"/>
      <c r="U71" s="2"/>
      <c r="V71" s="7">
        <f t="shared" si="62"/>
        <v>0</v>
      </c>
      <c r="W71" s="2"/>
      <c r="X71" s="6">
        <f t="shared" si="63"/>
        <v>1393.55</v>
      </c>
      <c r="Y71" s="2"/>
      <c r="Z71" s="7">
        <f t="shared" si="64"/>
        <v>0</v>
      </c>
    </row>
    <row r="72" spans="1:26" s="24" customFormat="1" hidden="1" outlineLevel="2" x14ac:dyDescent="0.3">
      <c r="A72" s="28"/>
      <c r="B72" s="11" t="str">
        <f>CONCATENATE("          ", "6235", " - ", "COVID-19 EXPENSES")</f>
        <v xml:space="preserve">          6235 - COVID-19 EXPENSES</v>
      </c>
      <c r="C72" s="11"/>
      <c r="D72" s="6"/>
      <c r="E72" s="2"/>
      <c r="F72" s="7">
        <f t="shared" si="57"/>
        <v>0</v>
      </c>
      <c r="G72" s="2"/>
      <c r="H72" s="6"/>
      <c r="I72" s="2"/>
      <c r="J72" s="7">
        <f t="shared" si="58"/>
        <v>0</v>
      </c>
      <c r="K72" s="2"/>
      <c r="L72" s="6">
        <f t="shared" si="59"/>
        <v>0</v>
      </c>
      <c r="M72" s="2"/>
      <c r="N72" s="7">
        <f t="shared" si="60"/>
        <v>0</v>
      </c>
      <c r="O72" s="11"/>
      <c r="P72" s="6"/>
      <c r="Q72" s="2"/>
      <c r="R72" s="7">
        <f t="shared" si="61"/>
        <v>0</v>
      </c>
      <c r="S72" s="2"/>
      <c r="T72" s="6">
        <v>444.3</v>
      </c>
      <c r="U72" s="2"/>
      <c r="V72" s="7">
        <f t="shared" si="62"/>
        <v>2.0847488166246871E-2</v>
      </c>
      <c r="W72" s="2"/>
      <c r="X72" s="6">
        <f t="shared" si="63"/>
        <v>-444.3</v>
      </c>
      <c r="Y72" s="2"/>
      <c r="Z72" s="7">
        <f t="shared" si="64"/>
        <v>-1</v>
      </c>
    </row>
    <row r="73" spans="1:26" s="24" customFormat="1" hidden="1" outlineLevel="2" x14ac:dyDescent="0.3">
      <c r="A73" s="28"/>
      <c r="B73" s="11" t="str">
        <f>CONCATENATE("          ", "6241", " - ", "OFFICE EXPENSE")</f>
        <v xml:space="preserve">          6241 - OFFICE EXPENSE</v>
      </c>
      <c r="C73" s="11"/>
      <c r="D73" s="6">
        <v>11.03</v>
      </c>
      <c r="E73" s="2"/>
      <c r="F73" s="7">
        <f t="shared" si="57"/>
        <v>9.5075961642064426E-4</v>
      </c>
      <c r="G73" s="2"/>
      <c r="H73" s="6"/>
      <c r="I73" s="2"/>
      <c r="J73" s="7">
        <f t="shared" si="58"/>
        <v>0</v>
      </c>
      <c r="K73" s="2"/>
      <c r="L73" s="6">
        <f t="shared" si="59"/>
        <v>11.03</v>
      </c>
      <c r="M73" s="2"/>
      <c r="N73" s="7">
        <f t="shared" si="60"/>
        <v>0</v>
      </c>
      <c r="O73" s="11"/>
      <c r="P73" s="6">
        <v>11.03</v>
      </c>
      <c r="Q73" s="2"/>
      <c r="R73" s="7">
        <f t="shared" si="61"/>
        <v>1.1742997213194064E-4</v>
      </c>
      <c r="S73" s="2"/>
      <c r="T73" s="6">
        <v>225.24</v>
      </c>
      <c r="U73" s="2"/>
      <c r="V73" s="7">
        <f t="shared" si="62"/>
        <v>1.056873336611624E-2</v>
      </c>
      <c r="W73" s="2"/>
      <c r="X73" s="6">
        <f t="shared" si="63"/>
        <v>-214.21</v>
      </c>
      <c r="Y73" s="2"/>
      <c r="Z73" s="7">
        <f t="shared" si="64"/>
        <v>-0.95103001243118446</v>
      </c>
    </row>
    <row r="74" spans="1:26" s="24" customFormat="1" hidden="1" outlineLevel="2" x14ac:dyDescent="0.3">
      <c r="A74" s="28"/>
      <c r="B74" s="11" t="str">
        <f>CONCATENATE("          ", "6247", " - ", "STORE SUPPLIES")</f>
        <v xml:space="preserve">          6247 - STORE SUPPLIES</v>
      </c>
      <c r="C74" s="11"/>
      <c r="D74" s="6"/>
      <c r="E74" s="2"/>
      <c r="F74" s="7">
        <f t="shared" si="57"/>
        <v>0</v>
      </c>
      <c r="G74" s="2"/>
      <c r="H74" s="6"/>
      <c r="I74" s="2"/>
      <c r="J74" s="7">
        <f t="shared" si="58"/>
        <v>0</v>
      </c>
      <c r="K74" s="2"/>
      <c r="L74" s="6">
        <f t="shared" si="59"/>
        <v>0</v>
      </c>
      <c r="M74" s="2"/>
      <c r="N74" s="7">
        <f t="shared" si="60"/>
        <v>0</v>
      </c>
      <c r="O74" s="11"/>
      <c r="P74" s="6">
        <v>342.91</v>
      </c>
      <c r="Q74" s="2"/>
      <c r="R74" s="7">
        <f t="shared" si="61"/>
        <v>3.6507626240946298E-3</v>
      </c>
      <c r="S74" s="2"/>
      <c r="T74" s="6">
        <v>1222.73</v>
      </c>
      <c r="U74" s="2"/>
      <c r="V74" s="7">
        <f t="shared" si="62"/>
        <v>5.7373056955919509E-2</v>
      </c>
      <c r="W74" s="2"/>
      <c r="X74" s="6">
        <f t="shared" si="63"/>
        <v>-879.81999999999994</v>
      </c>
      <c r="Y74" s="2"/>
      <c r="Z74" s="7">
        <f t="shared" si="64"/>
        <v>-0.7195537853818913</v>
      </c>
    </row>
    <row r="75" spans="1:26" s="29" customFormat="1" outlineLevel="1" collapsed="1" x14ac:dyDescent="0.3">
      <c r="A75" s="27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SUM(OSRRefD22_11x_0)</f>
        <v>53</v>
      </c>
      <c r="E75" s="1"/>
      <c r="F75" s="5">
        <f t="shared" ref="F75:F78" si="65">IF(D$12=0,0,D75/D$12)</f>
        <v>4.5684732248680096E-3</v>
      </c>
      <c r="G75" s="1"/>
      <c r="H75" s="1">
        <f>SUM(OSRRefH22_11x_0)</f>
        <v>53</v>
      </c>
      <c r="I75" s="1"/>
      <c r="J75" s="5">
        <f t="shared" ref="J75:J78" si="66">IF(H$12=0,0,H75/H$12)</f>
        <v>0</v>
      </c>
      <c r="K75" s="1"/>
      <c r="L75" s="1">
        <f t="shared" ref="L75:L78" si="67">+D75-H75</f>
        <v>0</v>
      </c>
      <c r="M75" s="1"/>
      <c r="N75" s="5">
        <f t="shared" ref="N75:N78" si="68">IF(H75=0,0,L75/H75)</f>
        <v>0</v>
      </c>
      <c r="O75" s="14"/>
      <c r="P75" s="1">
        <f>SUM(OSRRefP22_11x_0)</f>
        <v>278</v>
      </c>
      <c r="Q75" s="1"/>
      <c r="R75" s="5">
        <f t="shared" ref="R75:R78" si="69">IF(P$12=0,0,P75/P$12)</f>
        <v>2.959703740043472E-3</v>
      </c>
      <c r="S75" s="1"/>
      <c r="T75" s="1">
        <f>SUM(OSRRefT22_11x_0)</f>
        <v>366.05</v>
      </c>
      <c r="U75" s="1"/>
      <c r="V75" s="5">
        <f t="shared" ref="V75:V78" si="70">IF(T$12=0,0,T75/T$12)</f>
        <v>1.7175833993370849E-2</v>
      </c>
      <c r="W75" s="1"/>
      <c r="X75" s="1">
        <f t="shared" ref="X75:X78" si="71">+P75-T75</f>
        <v>-88.050000000000011</v>
      </c>
      <c r="Y75" s="1"/>
      <c r="Z75" s="5">
        <f t="shared" ref="Z75:Z78" si="72">IF(T75=0,0,X75/T75)</f>
        <v>-0.24054090971178804</v>
      </c>
    </row>
    <row r="76" spans="1:26" s="24" customFormat="1" hidden="1" outlineLevel="2" x14ac:dyDescent="0.3">
      <c r="A76" s="28"/>
      <c r="B76" s="11" t="str">
        <f>CONCATENATE("          ", "6309", " - ", "TELEPHONE")</f>
        <v xml:space="preserve">          6309 - TELEPHONE</v>
      </c>
      <c r="C76" s="11"/>
      <c r="D76" s="6">
        <v>53</v>
      </c>
      <c r="E76" s="2"/>
      <c r="F76" s="7">
        <f t="shared" si="65"/>
        <v>4.5684732248680096E-3</v>
      </c>
      <c r="G76" s="2"/>
      <c r="H76" s="6">
        <v>53</v>
      </c>
      <c r="I76" s="2"/>
      <c r="J76" s="7">
        <f t="shared" si="66"/>
        <v>0</v>
      </c>
      <c r="K76" s="2"/>
      <c r="L76" s="6">
        <f t="shared" si="67"/>
        <v>0</v>
      </c>
      <c r="M76" s="2"/>
      <c r="N76" s="7">
        <f t="shared" si="68"/>
        <v>0</v>
      </c>
      <c r="O76" s="11"/>
      <c r="P76" s="6">
        <v>278</v>
      </c>
      <c r="Q76" s="2"/>
      <c r="R76" s="7">
        <f t="shared" si="69"/>
        <v>2.959703740043472E-3</v>
      </c>
      <c r="S76" s="2"/>
      <c r="T76" s="6">
        <v>366.05</v>
      </c>
      <c r="U76" s="2"/>
      <c r="V76" s="7">
        <f t="shared" si="70"/>
        <v>1.7175833993370849E-2</v>
      </c>
      <c r="W76" s="2"/>
      <c r="X76" s="6">
        <f t="shared" si="71"/>
        <v>-88.050000000000011</v>
      </c>
      <c r="Y76" s="2"/>
      <c r="Z76" s="7">
        <f t="shared" si="72"/>
        <v>-0.24054090971178804</v>
      </c>
    </row>
    <row r="77" spans="1:26" s="29" customFormat="1" outlineLevel="1" collapsed="1" x14ac:dyDescent="0.3">
      <c r="A77" s="27"/>
      <c r="B77" s="14" t="str">
        <f>CONCATENATE("     ","Training                                          ")</f>
        <v xml:space="preserve">     Training                                          </v>
      </c>
      <c r="C77" s="14"/>
      <c r="D77" s="1">
        <f>SUM(OSRRefD22_12x_0)</f>
        <v>0</v>
      </c>
      <c r="E77" s="1"/>
      <c r="F77" s="5">
        <f t="shared" si="65"/>
        <v>0</v>
      </c>
      <c r="G77" s="1"/>
      <c r="H77" s="1">
        <f>SUM(OSRRefH22_12x_0)</f>
        <v>0</v>
      </c>
      <c r="I77" s="1"/>
      <c r="J77" s="5">
        <f t="shared" si="66"/>
        <v>0</v>
      </c>
      <c r="K77" s="1"/>
      <c r="L77" s="1">
        <f t="shared" si="67"/>
        <v>0</v>
      </c>
      <c r="M77" s="1"/>
      <c r="N77" s="5">
        <f t="shared" si="68"/>
        <v>0</v>
      </c>
      <c r="O77" s="14"/>
      <c r="P77" s="1">
        <f>SUM(OSRRefP22_12x_0)</f>
        <v>0</v>
      </c>
      <c r="Q77" s="1"/>
      <c r="R77" s="5">
        <f t="shared" si="69"/>
        <v>0</v>
      </c>
      <c r="S77" s="1"/>
      <c r="T77" s="1">
        <f>SUM(OSRRefT22_12x_0)</f>
        <v>14</v>
      </c>
      <c r="U77" s="1"/>
      <c r="V77" s="5">
        <f t="shared" si="70"/>
        <v>6.5690937278293094E-4</v>
      </c>
      <c r="W77" s="1"/>
      <c r="X77" s="1">
        <f t="shared" si="71"/>
        <v>-14</v>
      </c>
      <c r="Y77" s="1"/>
      <c r="Z77" s="5">
        <f t="shared" si="72"/>
        <v>-1</v>
      </c>
    </row>
    <row r="78" spans="1:26" s="24" customFormat="1" hidden="1" outlineLevel="2" x14ac:dyDescent="0.3">
      <c r="A78" s="28"/>
      <c r="B78" s="11" t="str">
        <f>CONCATENATE("          ", "6376", " - ", "TRAINING")</f>
        <v xml:space="preserve">          6376 - TRAINING</v>
      </c>
      <c r="C78" s="11"/>
      <c r="D78" s="6"/>
      <c r="E78" s="2"/>
      <c r="F78" s="7">
        <f t="shared" si="65"/>
        <v>0</v>
      </c>
      <c r="G78" s="2"/>
      <c r="H78" s="6"/>
      <c r="I78" s="2"/>
      <c r="J78" s="7">
        <f t="shared" si="66"/>
        <v>0</v>
      </c>
      <c r="K78" s="2"/>
      <c r="L78" s="6">
        <f t="shared" si="67"/>
        <v>0</v>
      </c>
      <c r="M78" s="2"/>
      <c r="N78" s="7">
        <f t="shared" si="68"/>
        <v>0</v>
      </c>
      <c r="O78" s="11"/>
      <c r="P78" s="6"/>
      <c r="Q78" s="2"/>
      <c r="R78" s="7">
        <f t="shared" si="69"/>
        <v>0</v>
      </c>
      <c r="S78" s="2"/>
      <c r="T78" s="6">
        <v>14</v>
      </c>
      <c r="U78" s="2"/>
      <c r="V78" s="7">
        <f t="shared" si="70"/>
        <v>6.5690937278293094E-4</v>
      </c>
      <c r="W78" s="2"/>
      <c r="X78" s="6">
        <f t="shared" si="71"/>
        <v>-14</v>
      </c>
      <c r="Y78" s="2"/>
      <c r="Z78" s="7">
        <f t="shared" si="72"/>
        <v>-1</v>
      </c>
    </row>
    <row r="79" spans="1:26" s="53" customFormat="1" x14ac:dyDescent="0.3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3">
      <c r="A80" s="10"/>
      <c r="B80" s="25" t="s">
        <v>292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3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3">
      <c r="A82" s="10"/>
      <c r="B82" s="26" t="s">
        <v>276</v>
      </c>
      <c r="C82" s="26"/>
      <c r="D82" s="20">
        <f>+D39-D41+D80</f>
        <v>-2021.2800000000016</v>
      </c>
      <c r="E82" s="13"/>
      <c r="F82" s="21">
        <f>IF(D$12=0,0,D82/D$12)</f>
        <v>-0.17422950113134375</v>
      </c>
      <c r="G82" s="13"/>
      <c r="H82" s="20">
        <f>+H39-H41+H80</f>
        <v>214.81</v>
      </c>
      <c r="I82" s="13"/>
      <c r="J82" s="21">
        <f>IF(H$12=0,0,H82/H$12)</f>
        <v>0</v>
      </c>
      <c r="K82" s="15"/>
      <c r="L82" s="20">
        <f>+D82-H82</f>
        <v>-2236.0900000000015</v>
      </c>
      <c r="M82" s="15"/>
      <c r="N82" s="21">
        <f>IF(H82=0,0,L82/H82)</f>
        <v>-10.409617801778323</v>
      </c>
      <c r="O82" s="25"/>
      <c r="P82" s="20">
        <f>+P39-P41+P80</f>
        <v>12818.049999999981</v>
      </c>
      <c r="Q82" s="13"/>
      <c r="R82" s="21">
        <f>IF(P$12=0,0,P82/P$12)</f>
        <v>0.13646629685274883</v>
      </c>
      <c r="S82" s="13"/>
      <c r="T82" s="20">
        <f>+T39-T41+T80</f>
        <v>-4827.5699999999924</v>
      </c>
      <c r="U82" s="13"/>
      <c r="V82" s="21">
        <f>IF(T$12=0,0,T82/T$12)</f>
        <v>-0.22651971291183493</v>
      </c>
      <c r="W82" s="15"/>
      <c r="X82" s="20">
        <f>+P82-T82</f>
        <v>17645.619999999974</v>
      </c>
      <c r="Y82" s="15"/>
      <c r="Z82" s="21">
        <f>IF(T82=0,0,X82/T82)</f>
        <v>-3.6551764138065321</v>
      </c>
    </row>
    <row r="83" spans="1:26" x14ac:dyDescent="0.3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3">
      <c r="A84" s="51"/>
      <c r="B84" s="10" t="s">
        <v>127</v>
      </c>
      <c r="C84" s="10"/>
      <c r="D84" s="4">
        <v>1500.11</v>
      </c>
      <c r="E84" s="4"/>
      <c r="F84" s="12">
        <f>IF(D$12=0,0,D84/D$12)</f>
        <v>0.1293058937614481</v>
      </c>
      <c r="G84" s="4"/>
      <c r="H84" s="4">
        <v>556.70000000000005</v>
      </c>
      <c r="I84" s="4"/>
      <c r="J84" s="12">
        <f>IF(H$12=0,0,H84/H$12)</f>
        <v>0</v>
      </c>
      <c r="K84" s="4"/>
      <c r="L84" s="4">
        <f>+D84-H84</f>
        <v>943.40999999999985</v>
      </c>
      <c r="M84" s="4"/>
      <c r="N84" s="12">
        <f>IF(H84=0,0,L84/H84)</f>
        <v>1.6946470271241239</v>
      </c>
      <c r="O84" s="10"/>
      <c r="P84" s="4">
        <v>11306.23</v>
      </c>
      <c r="Q84" s="4"/>
      <c r="R84" s="12">
        <f>IF(P$12=0,0,P84/P$12)</f>
        <v>0.12037083171507808</v>
      </c>
      <c r="S84" s="4"/>
      <c r="T84" s="4">
        <v>3943.16</v>
      </c>
      <c r="U84" s="4"/>
      <c r="V84" s="12">
        <f>IF(T$12=0,0,T84/T$12)</f>
        <v>0.18502134017019584</v>
      </c>
      <c r="W84" s="4"/>
      <c r="X84" s="4">
        <f>+P84-T84</f>
        <v>7363.07</v>
      </c>
      <c r="Y84" s="4"/>
      <c r="Z84" s="12">
        <f>IF(T84=0,0,X84/T84)</f>
        <v>1.8673018594223922</v>
      </c>
    </row>
    <row r="85" spans="1:26" x14ac:dyDescent="0.3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" thickBot="1" x14ac:dyDescent="0.35">
      <c r="A86" s="10"/>
      <c r="B86" s="26" t="s">
        <v>125</v>
      </c>
      <c r="C86" s="26"/>
      <c r="D86" s="32">
        <f>+D82-D84</f>
        <v>-3521.3900000000012</v>
      </c>
      <c r="E86" s="13"/>
      <c r="F86" s="35">
        <f>IF(D$12=0,0,D86/D$12)</f>
        <v>-0.30353539489279185</v>
      </c>
      <c r="G86" s="13"/>
      <c r="H86" s="32">
        <f>+H82-H84</f>
        <v>-341.89000000000004</v>
      </c>
      <c r="I86" s="13"/>
      <c r="J86" s="35">
        <f>IF(H$12=0,0,H86/H$12)</f>
        <v>0</v>
      </c>
      <c r="K86" s="15"/>
      <c r="L86" s="32">
        <f>D86-H86</f>
        <v>-3179.5000000000014</v>
      </c>
      <c r="M86" s="15"/>
      <c r="N86" s="35">
        <f>IF(H86=0,0,L86/H86)</f>
        <v>9.2997747813624301</v>
      </c>
      <c r="O86" s="25"/>
      <c r="P86" s="32">
        <f>+P82-P84</f>
        <v>1511.8199999999815</v>
      </c>
      <c r="Q86" s="13"/>
      <c r="R86" s="35">
        <f>IF(P$12=0,0,P86/P$12)</f>
        <v>1.6095465137670746E-2</v>
      </c>
      <c r="S86" s="13"/>
      <c r="T86" s="32">
        <f>+T82-T84</f>
        <v>-8770.7299999999923</v>
      </c>
      <c r="U86" s="13"/>
      <c r="V86" s="35">
        <f>IF(T$12=0,0,T86/T$12)</f>
        <v>-0.41154105308203076</v>
      </c>
      <c r="W86" s="15"/>
      <c r="X86" s="32">
        <f>P86-T86</f>
        <v>10282.549999999974</v>
      </c>
      <c r="Y86" s="15"/>
      <c r="Z86" s="35">
        <f>IF(T86=0,0,X86/T86)</f>
        <v>-1.1723710569131627</v>
      </c>
    </row>
    <row r="87" spans="1:26" ht="15" thickTop="1" x14ac:dyDescent="0.3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3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" thickBot="1" x14ac:dyDescent="0.35">
      <c r="A89" s="10"/>
      <c r="B89" s="26" t="s">
        <v>293</v>
      </c>
      <c r="C89" s="26"/>
      <c r="D89" s="31">
        <f>SUM(D86:D88)</f>
        <v>-3521.3900000000012</v>
      </c>
      <c r="E89" s="13"/>
      <c r="F89" s="33">
        <f>IF(D$12=0,0,D89/D$12)</f>
        <v>-0.30353539489279185</v>
      </c>
      <c r="G89" s="13"/>
      <c r="H89" s="31">
        <f>SUM(H86:H88)</f>
        <v>-341.89000000000004</v>
      </c>
      <c r="I89" s="13"/>
      <c r="J89" s="33">
        <f>IF(H$12=0,0,H89/H$12)</f>
        <v>0</v>
      </c>
      <c r="K89" s="15"/>
      <c r="L89" s="31">
        <f>+D89-H89</f>
        <v>-3179.5000000000014</v>
      </c>
      <c r="M89" s="15"/>
      <c r="N89" s="33">
        <f>IF(H89=0,0,L89/H89)</f>
        <v>9.2997747813624301</v>
      </c>
      <c r="O89" s="25"/>
      <c r="P89" s="31">
        <f>SUM(P86:P88)</f>
        <v>1511.8199999999815</v>
      </c>
      <c r="Q89" s="13"/>
      <c r="R89" s="33">
        <f>IF(P$12=0,0,P89/P$12)</f>
        <v>1.6095465137670746E-2</v>
      </c>
      <c r="S89" s="13"/>
      <c r="T89" s="31">
        <f>SUM(T86:T88)</f>
        <v>-8770.7299999999923</v>
      </c>
      <c r="U89" s="13"/>
      <c r="V89" s="33">
        <f>IF(T$12=0,0,T89/T$12)</f>
        <v>-0.41154105308203076</v>
      </c>
      <c r="W89" s="15"/>
      <c r="X89" s="31">
        <f>+P89-T89</f>
        <v>10282.549999999974</v>
      </c>
      <c r="Y89" s="15"/>
      <c r="Z89" s="33">
        <f>IF(T89=0,0,X89/T89)</f>
        <v>-1.1723710569131627</v>
      </c>
    </row>
    <row r="90" spans="1:26" ht="15" thickTop="1" x14ac:dyDescent="0.3">
      <c r="A90" s="9"/>
      <c r="C90" s="9"/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3">
      <c r="A91" s="9"/>
      <c r="B91" s="60">
        <v>44575.854680405093</v>
      </c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3">
      <c r="A92" s="9"/>
      <c r="B92" s="57" t="s">
        <v>56</v>
      </c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3">
      <c r="A93" s="9"/>
      <c r="B93" s="59"/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3"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outlinePr summaryBelow="0" summaryRight="0"/>
  </sheetPr>
  <dimension ref="A2:Z12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21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47972.719999999994</v>
      </c>
      <c r="E12" s="4"/>
      <c r="F12" s="12"/>
      <c r="G12" s="4"/>
      <c r="H12" s="4">
        <f>SUM(OSRRefH13x_0)</f>
        <v>17722.289999999997</v>
      </c>
      <c r="I12" s="4"/>
      <c r="J12" s="12"/>
      <c r="K12" s="4"/>
      <c r="L12" s="4">
        <f t="shared" ref="L12:L36" si="0">+D12-H12</f>
        <v>30250.429999999997</v>
      </c>
      <c r="M12" s="4"/>
      <c r="N12" s="12">
        <f t="shared" ref="N12:N36" si="1">IF(H12=0,0,L12/H12)</f>
        <v>1.706914287036269</v>
      </c>
      <c r="O12" s="10"/>
      <c r="P12" s="4">
        <f>SUM(OSRRefP13x_0)</f>
        <v>1399609.87</v>
      </c>
      <c r="Q12" s="4"/>
      <c r="R12" s="12"/>
      <c r="S12" s="4"/>
      <c r="T12" s="4">
        <f>SUM(OSRRefT13x_0)</f>
        <v>1571952.4699999997</v>
      </c>
      <c r="U12" s="4"/>
      <c r="V12" s="12"/>
      <c r="W12" s="4"/>
      <c r="X12" s="4">
        <f t="shared" ref="X12:X36" si="2">+P12-T12</f>
        <v>-172342.59999999963</v>
      </c>
      <c r="Y12" s="4"/>
      <c r="Z12" s="12">
        <f t="shared" ref="Z12:Z36" si="3">IF(T12=0,0,X12/T12)</f>
        <v>-0.10963601208629396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--17446.59</f>
        <v>17446.59</v>
      </c>
      <c r="E13" s="2"/>
      <c r="F13" s="19"/>
      <c r="G13" s="2"/>
      <c r="H13" s="2">
        <f>-325.86</f>
        <v>-325.86</v>
      </c>
      <c r="I13" s="2"/>
      <c r="J13" s="19"/>
      <c r="K13" s="2"/>
      <c r="L13" s="2">
        <f t="shared" si="0"/>
        <v>17772.45</v>
      </c>
      <c r="M13" s="2"/>
      <c r="N13" s="19">
        <f t="shared" si="1"/>
        <v>-54.540139937396425</v>
      </c>
      <c r="O13" s="11"/>
      <c r="P13" s="2">
        <f>--1004834.06</f>
        <v>1004834.06</v>
      </c>
      <c r="Q13" s="2"/>
      <c r="R13" s="19"/>
      <c r="S13" s="2"/>
      <c r="T13" s="2">
        <f>-6925.73</f>
        <v>-6925.73</v>
      </c>
      <c r="U13" s="2"/>
      <c r="V13" s="19"/>
      <c r="W13" s="2"/>
      <c r="X13" s="2">
        <f t="shared" si="2"/>
        <v>1011759.79</v>
      </c>
      <c r="Y13" s="2"/>
      <c r="Z13" s="19">
        <f t="shared" si="3"/>
        <v>-146.08709695584437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20" si="4">0</f>
        <v>0</v>
      </c>
      <c r="E14" s="2"/>
      <c r="F14" s="19"/>
      <c r="G14" s="2"/>
      <c r="H14" s="2">
        <f>--11522</f>
        <v>11522</v>
      </c>
      <c r="I14" s="2"/>
      <c r="J14" s="19"/>
      <c r="K14" s="2"/>
      <c r="L14" s="2">
        <f t="shared" si="0"/>
        <v>-11522</v>
      </c>
      <c r="M14" s="2"/>
      <c r="N14" s="19">
        <f t="shared" si="1"/>
        <v>-1</v>
      </c>
      <c r="O14" s="11"/>
      <c r="P14" s="2">
        <f t="shared" ref="P14:P20" si="5">0</f>
        <v>0</v>
      </c>
      <c r="Q14" s="2"/>
      <c r="R14" s="19"/>
      <c r="S14" s="2"/>
      <c r="T14" s="2">
        <f>--730666.02</f>
        <v>730666.02</v>
      </c>
      <c r="U14" s="2"/>
      <c r="V14" s="19"/>
      <c r="W14" s="2"/>
      <c r="X14" s="2">
        <f t="shared" si="2"/>
        <v>-730666.02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--2822.44</f>
        <v>2822.44</v>
      </c>
      <c r="I15" s="2"/>
      <c r="J15" s="19"/>
      <c r="K15" s="2"/>
      <c r="L15" s="2">
        <f t="shared" si="0"/>
        <v>-2822.44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--323454.06</f>
        <v>323454.06</v>
      </c>
      <c r="U15" s="2"/>
      <c r="V15" s="19"/>
      <c r="W15" s="2"/>
      <c r="X15" s="2">
        <f t="shared" si="2"/>
        <v>-323454.06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--10665.63</f>
        <v>10665.63</v>
      </c>
      <c r="U16" s="2"/>
      <c r="V16" s="19"/>
      <c r="W16" s="2"/>
      <c r="X16" s="2">
        <f t="shared" si="2"/>
        <v>-10665.63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5"/>
        <v>0</v>
      </c>
      <c r="Q17" s="2"/>
      <c r="R17" s="19"/>
      <c r="S17" s="2"/>
      <c r="T17" s="2">
        <f>--2459.56</f>
        <v>2459.56</v>
      </c>
      <c r="U17" s="2"/>
      <c r="V17" s="19"/>
      <c r="W17" s="2"/>
      <c r="X17" s="2">
        <f t="shared" si="2"/>
        <v>-2459.56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--78.85</f>
        <v>78.849999999999994</v>
      </c>
      <c r="I18" s="2"/>
      <c r="J18" s="19"/>
      <c r="K18" s="2"/>
      <c r="L18" s="2">
        <f t="shared" si="0"/>
        <v>-78.849999999999994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--583.97</f>
        <v>583.97</v>
      </c>
      <c r="U18" s="2"/>
      <c r="V18" s="19"/>
      <c r="W18" s="2"/>
      <c r="X18" s="2">
        <f t="shared" si="2"/>
        <v>-583.97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--35.82</f>
        <v>35.82</v>
      </c>
      <c r="I19" s="2"/>
      <c r="J19" s="19"/>
      <c r="K19" s="2"/>
      <c r="L19" s="2">
        <f t="shared" si="0"/>
        <v>-35.82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--376.06</f>
        <v>376.06</v>
      </c>
      <c r="U19" s="2"/>
      <c r="V19" s="19"/>
      <c r="W19" s="2"/>
      <c r="X19" s="2">
        <f t="shared" si="2"/>
        <v>-376.06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--6.95</f>
        <v>6.95</v>
      </c>
      <c r="I20" s="2"/>
      <c r="J20" s="19"/>
      <c r="K20" s="2"/>
      <c r="L20" s="2">
        <f t="shared" si="0"/>
        <v>-6.95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--190.84</f>
        <v>190.84</v>
      </c>
      <c r="U20" s="2"/>
      <c r="V20" s="19"/>
      <c r="W20" s="2"/>
      <c r="X20" s="2">
        <f t="shared" si="2"/>
        <v>-190.84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--32055.36</f>
        <v>32055.360000000001</v>
      </c>
      <c r="E21" s="2"/>
      <c r="F21" s="19"/>
      <c r="G21" s="2"/>
      <c r="H21" s="2">
        <f>-225.75</f>
        <v>-225.75</v>
      </c>
      <c r="I21" s="2"/>
      <c r="J21" s="19"/>
      <c r="K21" s="2"/>
      <c r="L21" s="2">
        <f t="shared" si="0"/>
        <v>32281.11</v>
      </c>
      <c r="M21" s="2"/>
      <c r="N21" s="19">
        <f t="shared" si="1"/>
        <v>-142.99495016611297</v>
      </c>
      <c r="O21" s="11"/>
      <c r="P21" s="2">
        <f>--451307.5</f>
        <v>451307.5</v>
      </c>
      <c r="Q21" s="2"/>
      <c r="R21" s="19"/>
      <c r="S21" s="2"/>
      <c r="T21" s="2">
        <f>--165587.67</f>
        <v>165587.67000000001</v>
      </c>
      <c r="U21" s="2"/>
      <c r="V21" s="19"/>
      <c r="W21" s="2"/>
      <c r="X21" s="2">
        <f t="shared" si="2"/>
        <v>285719.82999999996</v>
      </c>
      <c r="Y21" s="2"/>
      <c r="Z21" s="19">
        <f t="shared" si="3"/>
        <v>1.7254897662368214</v>
      </c>
    </row>
    <row r="22" spans="1:26" s="24" customFormat="1" hidden="1" outlineLevel="1" x14ac:dyDescent="0.3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 t="shared" ref="D22:D27" si="7">0</f>
        <v>0</v>
      </c>
      <c r="E22" s="2"/>
      <c r="F22" s="19"/>
      <c r="G22" s="2"/>
      <c r="H22" s="2">
        <f>--3205.21</f>
        <v>3205.21</v>
      </c>
      <c r="I22" s="2"/>
      <c r="J22" s="19"/>
      <c r="K22" s="2"/>
      <c r="L22" s="2">
        <f t="shared" si="0"/>
        <v>-3205.21</v>
      </c>
      <c r="M22" s="2"/>
      <c r="N22" s="19">
        <f t="shared" si="1"/>
        <v>-1</v>
      </c>
      <c r="O22" s="11"/>
      <c r="P22" s="2">
        <f t="shared" ref="P22:P27" si="8">0</f>
        <v>0</v>
      </c>
      <c r="Q22" s="2"/>
      <c r="R22" s="19"/>
      <c r="S22" s="2"/>
      <c r="T22" s="2">
        <f>--82140.93</f>
        <v>82140.929999999993</v>
      </c>
      <c r="U22" s="2"/>
      <c r="V22" s="19"/>
      <c r="W22" s="2"/>
      <c r="X22" s="2">
        <f t="shared" si="2"/>
        <v>-82140.929999999993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 t="shared" si="7"/>
        <v>0</v>
      </c>
      <c r="E23" s="2"/>
      <c r="F23" s="19"/>
      <c r="G23" s="2"/>
      <c r="H23" s="2">
        <f>--598.12</f>
        <v>598.12</v>
      </c>
      <c r="I23" s="2"/>
      <c r="J23" s="19"/>
      <c r="K23" s="2"/>
      <c r="L23" s="2">
        <f t="shared" si="0"/>
        <v>-598.12</v>
      </c>
      <c r="M23" s="2"/>
      <c r="N23" s="19">
        <f t="shared" si="1"/>
        <v>-1</v>
      </c>
      <c r="O23" s="11"/>
      <c r="P23" s="2">
        <f t="shared" si="8"/>
        <v>0</v>
      </c>
      <c r="Q23" s="2"/>
      <c r="R23" s="19"/>
      <c r="S23" s="2"/>
      <c r="T23" s="2">
        <f>--33631.31</f>
        <v>33631.31</v>
      </c>
      <c r="U23" s="2"/>
      <c r="V23" s="19"/>
      <c r="W23" s="2"/>
      <c r="X23" s="2">
        <f t="shared" si="2"/>
        <v>-33631.31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 t="shared" si="7"/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si="8"/>
        <v>0</v>
      </c>
      <c r="Q24" s="2"/>
      <c r="R24" s="19"/>
      <c r="S24" s="2"/>
      <c r="T24" s="2">
        <f>--284.97</f>
        <v>284.97000000000003</v>
      </c>
      <c r="U24" s="2"/>
      <c r="V24" s="19"/>
      <c r="W24" s="2"/>
      <c r="X24" s="2">
        <f t="shared" si="2"/>
        <v>-284.97000000000003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 t="shared" si="7"/>
        <v>0</v>
      </c>
      <c r="E25" s="2"/>
      <c r="F25" s="19"/>
      <c r="G25" s="2"/>
      <c r="H25" s="2">
        <f>--1301.3</f>
        <v>1301.3</v>
      </c>
      <c r="I25" s="2"/>
      <c r="J25" s="19"/>
      <c r="K25" s="2"/>
      <c r="L25" s="2">
        <f t="shared" si="0"/>
        <v>-1301.3</v>
      </c>
      <c r="M25" s="2"/>
      <c r="N25" s="19">
        <f t="shared" si="1"/>
        <v>-1</v>
      </c>
      <c r="O25" s="11"/>
      <c r="P25" s="2">
        <f t="shared" si="8"/>
        <v>0</v>
      </c>
      <c r="Q25" s="2"/>
      <c r="R25" s="19"/>
      <c r="S25" s="2"/>
      <c r="T25" s="2">
        <f>--296191.01</f>
        <v>296191.01</v>
      </c>
      <c r="U25" s="2"/>
      <c r="V25" s="19"/>
      <c r="W25" s="2"/>
      <c r="X25" s="2">
        <f t="shared" si="2"/>
        <v>-296191.01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 t="shared" si="7"/>
        <v>0</v>
      </c>
      <c r="E26" s="2"/>
      <c r="F26" s="19"/>
      <c r="G26" s="2"/>
      <c r="H26" s="2">
        <f>--41.55</f>
        <v>41.55</v>
      </c>
      <c r="I26" s="2"/>
      <c r="J26" s="19"/>
      <c r="K26" s="2"/>
      <c r="L26" s="2">
        <f t="shared" si="0"/>
        <v>-41.55</v>
      </c>
      <c r="M26" s="2"/>
      <c r="N26" s="19">
        <f t="shared" si="1"/>
        <v>-1</v>
      </c>
      <c r="O26" s="11"/>
      <c r="P26" s="2">
        <f t="shared" si="8"/>
        <v>0</v>
      </c>
      <c r="Q26" s="2"/>
      <c r="R26" s="19"/>
      <c r="S26" s="2"/>
      <c r="T26" s="2">
        <f>--2327.5</f>
        <v>2327.5</v>
      </c>
      <c r="U26" s="2"/>
      <c r="V26" s="19"/>
      <c r="W26" s="2"/>
      <c r="X26" s="2">
        <f t="shared" si="2"/>
        <v>-2327.5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 t="shared" si="7"/>
        <v>0</v>
      </c>
      <c r="E27" s="2"/>
      <c r="F27" s="19"/>
      <c r="G27" s="2"/>
      <c r="H27" s="2">
        <f t="shared" ref="H27:H28" si="9"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8"/>
        <v>0</v>
      </c>
      <c r="Q27" s="2"/>
      <c r="R27" s="19"/>
      <c r="S27" s="2"/>
      <c r="T27" s="2">
        <f>--233.43</f>
        <v>233.43</v>
      </c>
      <c r="U27" s="2"/>
      <c r="V27" s="19"/>
      <c r="W27" s="2"/>
      <c r="X27" s="2">
        <f t="shared" si="2"/>
        <v>-233.43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"4200", " - ", "TAXABLE RETURNS")</f>
        <v xml:space="preserve">          4200 - TAXABLE RETURNS</v>
      </c>
      <c r="C28" s="11"/>
      <c r="D28" s="2">
        <f>-407.24</f>
        <v>-407.24</v>
      </c>
      <c r="E28" s="2"/>
      <c r="F28" s="19"/>
      <c r="G28" s="2"/>
      <c r="H28" s="2">
        <f t="shared" si="9"/>
        <v>0</v>
      </c>
      <c r="I28" s="2"/>
      <c r="J28" s="19"/>
      <c r="K28" s="2"/>
      <c r="L28" s="2">
        <f t="shared" si="0"/>
        <v>-407.24</v>
      </c>
      <c r="M28" s="2"/>
      <c r="N28" s="19">
        <f t="shared" si="1"/>
        <v>0</v>
      </c>
      <c r="O28" s="11"/>
      <c r="P28" s="2">
        <f>-29393.02</f>
        <v>-29393.02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-29393.02</v>
      </c>
      <c r="Y28" s="2"/>
      <c r="Z28" s="19">
        <f t="shared" si="3"/>
        <v>0</v>
      </c>
    </row>
    <row r="29" spans="1:26" s="24" customFormat="1" hidden="1" outlineLevel="1" x14ac:dyDescent="0.3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 t="shared" ref="D29:D31" si="10">0</f>
        <v>0</v>
      </c>
      <c r="E29" s="2"/>
      <c r="F29" s="19"/>
      <c r="G29" s="2"/>
      <c r="H29" s="2">
        <f>-681.18</f>
        <v>-681.18</v>
      </c>
      <c r="I29" s="2"/>
      <c r="J29" s="19"/>
      <c r="K29" s="2"/>
      <c r="L29" s="2">
        <f t="shared" si="0"/>
        <v>681.18</v>
      </c>
      <c r="M29" s="2"/>
      <c r="N29" s="19">
        <f t="shared" si="1"/>
        <v>-1</v>
      </c>
      <c r="O29" s="11"/>
      <c r="P29" s="2">
        <f t="shared" ref="P29:P31" si="11">0</f>
        <v>0</v>
      </c>
      <c r="Q29" s="2"/>
      <c r="R29" s="19"/>
      <c r="S29" s="2"/>
      <c r="T29" s="2">
        <f>-35775.84</f>
        <v>-35775.839999999997</v>
      </c>
      <c r="U29" s="2"/>
      <c r="V29" s="19"/>
      <c r="W29" s="2"/>
      <c r="X29" s="2">
        <f t="shared" si="2"/>
        <v>35775.839999999997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 t="shared" si="10"/>
        <v>0</v>
      </c>
      <c r="E30" s="2"/>
      <c r="F30" s="19"/>
      <c r="G30" s="2"/>
      <c r="H30" s="2">
        <f>-62.65</f>
        <v>-62.65</v>
      </c>
      <c r="I30" s="2"/>
      <c r="J30" s="19"/>
      <c r="K30" s="2"/>
      <c r="L30" s="2">
        <f t="shared" si="0"/>
        <v>62.65</v>
      </c>
      <c r="M30" s="2"/>
      <c r="N30" s="19">
        <f t="shared" si="1"/>
        <v>-1</v>
      </c>
      <c r="O30" s="11"/>
      <c r="P30" s="2">
        <f t="shared" si="11"/>
        <v>0</v>
      </c>
      <c r="Q30" s="2"/>
      <c r="R30" s="19"/>
      <c r="S30" s="2"/>
      <c r="T30" s="2">
        <f>-13866</f>
        <v>-13866</v>
      </c>
      <c r="U30" s="2"/>
      <c r="V30" s="19"/>
      <c r="W30" s="2"/>
      <c r="X30" s="2">
        <f t="shared" si="2"/>
        <v>13866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"4204", " - ", "SALES RETURN TAXABLE-DIGITAL T")</f>
        <v xml:space="preserve">          4204 - SALES RETURN TAXABLE-DIGITAL T</v>
      </c>
      <c r="C31" s="11"/>
      <c r="D31" s="2">
        <f t="shared" si="10"/>
        <v>0</v>
      </c>
      <c r="E31" s="2"/>
      <c r="F31" s="19"/>
      <c r="G31" s="2"/>
      <c r="H31" s="2">
        <f t="shared" ref="H31:H32" si="12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 t="shared" si="11"/>
        <v>0</v>
      </c>
      <c r="Q31" s="2"/>
      <c r="R31" s="19"/>
      <c r="S31" s="2"/>
      <c r="T31" s="2">
        <f>-1630.85</f>
        <v>-1630.85</v>
      </c>
      <c r="U31" s="2"/>
      <c r="V31" s="19"/>
      <c r="W31" s="2"/>
      <c r="X31" s="2">
        <f t="shared" si="2"/>
        <v>1630.85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"4300", " - ", "NON-TAX RETURNS")</f>
        <v xml:space="preserve">          4300 - NON-TAX RETURNS</v>
      </c>
      <c r="C32" s="11"/>
      <c r="D32" s="2">
        <f>-510.16</f>
        <v>-510.16</v>
      </c>
      <c r="E32" s="2"/>
      <c r="F32" s="19"/>
      <c r="G32" s="2"/>
      <c r="H32" s="2">
        <f t="shared" si="12"/>
        <v>0</v>
      </c>
      <c r="I32" s="2"/>
      <c r="J32" s="19"/>
      <c r="K32" s="2"/>
      <c r="L32" s="2">
        <f t="shared" si="0"/>
        <v>-510.16</v>
      </c>
      <c r="M32" s="2"/>
      <c r="N32" s="19">
        <f t="shared" si="1"/>
        <v>0</v>
      </c>
      <c r="O32" s="11"/>
      <c r="P32" s="2">
        <f>-25903.14</f>
        <v>-25903.14</v>
      </c>
      <c r="Q32" s="2"/>
      <c r="R32" s="19"/>
      <c r="S32" s="2"/>
      <c r="T32" s="2">
        <f>0</f>
        <v>0</v>
      </c>
      <c r="U32" s="2"/>
      <c r="V32" s="19"/>
      <c r="W32" s="2"/>
      <c r="X32" s="2">
        <f t="shared" si="2"/>
        <v>-25903.14</v>
      </c>
      <c r="Y32" s="2"/>
      <c r="Z32" s="19">
        <f t="shared" si="3"/>
        <v>0</v>
      </c>
    </row>
    <row r="33" spans="1:26" s="24" customFormat="1" hidden="1" outlineLevel="1" x14ac:dyDescent="0.3">
      <c r="A33" s="44"/>
      <c r="B33" s="11" t="str">
        <f>CONCATENATE("          ", "4301", " - ", "SALES RETURN NON TAXABLE-NEW T")</f>
        <v xml:space="preserve">          4301 - SALES RETURN NON TAXABLE-NEW T</v>
      </c>
      <c r="C33" s="11"/>
      <c r="D33" s="2">
        <f t="shared" ref="D33:D35" si="13">0</f>
        <v>0</v>
      </c>
      <c r="E33" s="2"/>
      <c r="F33" s="19"/>
      <c r="G33" s="2"/>
      <c r="H33" s="2">
        <f>-372.93</f>
        <v>-372.93</v>
      </c>
      <c r="I33" s="2"/>
      <c r="J33" s="19"/>
      <c r="K33" s="2"/>
      <c r="L33" s="2">
        <f t="shared" si="0"/>
        <v>372.93</v>
      </c>
      <c r="M33" s="2"/>
      <c r="N33" s="19">
        <f t="shared" si="1"/>
        <v>-1</v>
      </c>
      <c r="O33" s="11"/>
      <c r="P33" s="2">
        <f t="shared" ref="P33:P35" si="14">0</f>
        <v>0</v>
      </c>
      <c r="Q33" s="2"/>
      <c r="R33" s="19"/>
      <c r="S33" s="2"/>
      <c r="T33" s="2">
        <f>-2749.1</f>
        <v>-2749.1</v>
      </c>
      <c r="U33" s="2"/>
      <c r="V33" s="19"/>
      <c r="W33" s="2"/>
      <c r="X33" s="2">
        <f t="shared" si="2"/>
        <v>2749.1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"4302", " - ", "SALES RETURN NON TAXABLE-TEXT")</f>
        <v xml:space="preserve">          4302 - SALES RETURN NON TAXABLE-TEXT</v>
      </c>
      <c r="C34" s="11"/>
      <c r="D34" s="2">
        <f t="shared" si="13"/>
        <v>0</v>
      </c>
      <c r="E34" s="2"/>
      <c r="F34" s="19"/>
      <c r="G34" s="2"/>
      <c r="H34" s="2">
        <f>-77.35</f>
        <v>-77.349999999999994</v>
      </c>
      <c r="I34" s="2"/>
      <c r="J34" s="19"/>
      <c r="K34" s="2"/>
      <c r="L34" s="2">
        <f t="shared" si="0"/>
        <v>77.349999999999994</v>
      </c>
      <c r="M34" s="2"/>
      <c r="N34" s="19">
        <f t="shared" si="1"/>
        <v>-1</v>
      </c>
      <c r="O34" s="11"/>
      <c r="P34" s="2">
        <f t="shared" si="14"/>
        <v>0</v>
      </c>
      <c r="Q34" s="2"/>
      <c r="R34" s="19"/>
      <c r="S34" s="2"/>
      <c r="T34" s="2">
        <f>-1470.2</f>
        <v>-1470.2</v>
      </c>
      <c r="U34" s="2"/>
      <c r="V34" s="19"/>
      <c r="W34" s="2"/>
      <c r="X34" s="2">
        <f t="shared" si="2"/>
        <v>1470.2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"4304", " - ", "SALES RETURN NON TAXABLE-DIGIT")</f>
        <v xml:space="preserve">          4304 - SALES RETURN NON TAXABLE-DIGIT</v>
      </c>
      <c r="C35" s="11"/>
      <c r="D35" s="2">
        <f t="shared" si="13"/>
        <v>0</v>
      </c>
      <c r="E35" s="2"/>
      <c r="F35" s="19"/>
      <c r="G35" s="2"/>
      <c r="H35" s="2">
        <f>-144.23</f>
        <v>-144.22999999999999</v>
      </c>
      <c r="I35" s="2"/>
      <c r="J35" s="19"/>
      <c r="K35" s="2"/>
      <c r="L35" s="2">
        <f t="shared" si="0"/>
        <v>144.22999999999999</v>
      </c>
      <c r="M35" s="2"/>
      <c r="N35" s="19">
        <f t="shared" si="1"/>
        <v>-1</v>
      </c>
      <c r="O35" s="11"/>
      <c r="P35" s="2">
        <f t="shared" si="14"/>
        <v>0</v>
      </c>
      <c r="Q35" s="2"/>
      <c r="R35" s="19"/>
      <c r="S35" s="2"/>
      <c r="T35" s="2">
        <f>-14422.77</f>
        <v>-14422.77</v>
      </c>
      <c r="U35" s="2"/>
      <c r="V35" s="19"/>
      <c r="W35" s="2"/>
      <c r="X35" s="2">
        <f t="shared" si="2"/>
        <v>14422.77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"4500", " - ", "SALES DISCOUNT")</f>
        <v xml:space="preserve">          4500 - SALES DISCOUNT</v>
      </c>
      <c r="C36" s="11"/>
      <c r="D36" s="2">
        <f>-611.83</f>
        <v>-611.83000000000004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-611.83000000000004</v>
      </c>
      <c r="M36" s="2"/>
      <c r="N36" s="19">
        <f t="shared" si="1"/>
        <v>0</v>
      </c>
      <c r="O36" s="11"/>
      <c r="P36" s="2">
        <f>-1235.53</f>
        <v>-1235.53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-1235.53</v>
      </c>
      <c r="Y36" s="2"/>
      <c r="Z36" s="19">
        <f t="shared" si="3"/>
        <v>0</v>
      </c>
    </row>
    <row r="37" spans="1:26" x14ac:dyDescent="0.3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3">
      <c r="A38" s="10"/>
      <c r="B38" s="25" t="s">
        <v>256</v>
      </c>
      <c r="C38" s="10"/>
      <c r="D38" s="4">
        <f>SUM(OSRRefD16x_0)</f>
        <v>38599.1</v>
      </c>
      <c r="E38" s="4"/>
      <c r="F38" s="12">
        <f t="shared" ref="F38:F55" si="15">IF(D$12=0,0,D38/D$12)</f>
        <v>0.80460520062235374</v>
      </c>
      <c r="G38" s="4"/>
      <c r="H38" s="4">
        <f>SUM(OSRRefH16x_0)</f>
        <v>9464.3199999999924</v>
      </c>
      <c r="I38" s="4"/>
      <c r="J38" s="12">
        <f t="shared" ref="J38:J55" si="16">IF(H$12=0,0,H38/H$12)</f>
        <v>0.53403482281352999</v>
      </c>
      <c r="K38" s="4"/>
      <c r="L38" s="4">
        <f t="shared" ref="L38:L55" si="17">+D38-H38</f>
        <v>29134.780000000006</v>
      </c>
      <c r="M38" s="4"/>
      <c r="N38" s="12">
        <f t="shared" ref="N38:N55" si="18">IF(H38=0,0,L38/H38)</f>
        <v>3.0783806971869114</v>
      </c>
      <c r="O38" s="10"/>
      <c r="P38" s="4">
        <f>SUM(OSRRefP16x_0)</f>
        <v>1140871.6799999999</v>
      </c>
      <c r="Q38" s="4"/>
      <c r="R38" s="12">
        <f t="shared" ref="R38:R55" si="19">IF(P$12=0,0,P38/P$12)</f>
        <v>0.81513549200678315</v>
      </c>
      <c r="S38" s="4"/>
      <c r="T38" s="4">
        <f>SUM(OSRRefT16x_0)</f>
        <v>1122704.1499999999</v>
      </c>
      <c r="U38" s="4"/>
      <c r="V38" s="12">
        <f t="shared" ref="V38:V55" si="20">IF(T$12=0,0,T38/T$12)</f>
        <v>0.71420998498765043</v>
      </c>
      <c r="W38" s="4"/>
      <c r="X38" s="4">
        <f t="shared" ref="X38:X55" si="21">+P38-T38</f>
        <v>18167.530000000028</v>
      </c>
      <c r="Y38" s="4"/>
      <c r="Z38" s="12">
        <f t="shared" ref="Z38:Z55" si="22">IF(T38=0,0,X38/T38)</f>
        <v>1.6181938937341621E-2</v>
      </c>
    </row>
    <row r="39" spans="1:26" s="24" customFormat="1" hidden="1" outlineLevel="1" x14ac:dyDescent="0.3">
      <c r="A39" s="44"/>
      <c r="B39" s="11" t="str">
        <f>CONCATENATE("          ", "5000", " - ", "PURCHASES @ COST")</f>
        <v xml:space="preserve">          5000 - PURCHASES @ COST</v>
      </c>
      <c r="C39" s="11"/>
      <c r="D39" s="2">
        <v>62818.239999999998</v>
      </c>
      <c r="E39" s="2"/>
      <c r="F39" s="19">
        <f t="shared" si="15"/>
        <v>1.309457541702868</v>
      </c>
      <c r="G39" s="2"/>
      <c r="H39" s="2"/>
      <c r="I39" s="2"/>
      <c r="J39" s="19">
        <f t="shared" si="16"/>
        <v>0</v>
      </c>
      <c r="K39" s="2"/>
      <c r="L39" s="2">
        <f t="shared" si="17"/>
        <v>62818.239999999998</v>
      </c>
      <c r="M39" s="2"/>
      <c r="N39" s="19">
        <f t="shared" si="18"/>
        <v>0</v>
      </c>
      <c r="O39" s="11"/>
      <c r="P39" s="2">
        <v>1404441.04</v>
      </c>
      <c r="Q39" s="2"/>
      <c r="R39" s="19">
        <f t="shared" si="19"/>
        <v>1.0034517976070003</v>
      </c>
      <c r="S39" s="2"/>
      <c r="T39" s="2">
        <v>0</v>
      </c>
      <c r="U39" s="2"/>
      <c r="V39" s="19">
        <f t="shared" si="20"/>
        <v>0</v>
      </c>
      <c r="W39" s="2"/>
      <c r="X39" s="2">
        <f t="shared" si="21"/>
        <v>1404441.04</v>
      </c>
      <c r="Y39" s="2"/>
      <c r="Z39" s="19">
        <f t="shared" si="22"/>
        <v>0</v>
      </c>
    </row>
    <row r="40" spans="1:26" s="24" customFormat="1" hidden="1" outlineLevel="1" x14ac:dyDescent="0.3">
      <c r="A40" s="44"/>
      <c r="B40" s="11" t="str">
        <f>CONCATENATE("          ", "5001", " - ", "PURCHASES @ COST-NEW TEXT")</f>
        <v xml:space="preserve">          5001 - PURCHASES @ COST-NEW TEXT</v>
      </c>
      <c r="C40" s="11"/>
      <c r="D40" s="2"/>
      <c r="E40" s="2"/>
      <c r="F40" s="19">
        <f t="shared" si="15"/>
        <v>0</v>
      </c>
      <c r="G40" s="2"/>
      <c r="H40" s="2">
        <v>37317.56</v>
      </c>
      <c r="I40" s="2"/>
      <c r="J40" s="19">
        <f t="shared" si="16"/>
        <v>2.1056849876624297</v>
      </c>
      <c r="K40" s="2"/>
      <c r="L40" s="2">
        <f t="shared" si="17"/>
        <v>-37317.56</v>
      </c>
      <c r="M40" s="2"/>
      <c r="N40" s="19">
        <f t="shared" si="18"/>
        <v>-1</v>
      </c>
      <c r="O40" s="11"/>
      <c r="P40" s="2">
        <v>0</v>
      </c>
      <c r="Q40" s="2"/>
      <c r="R40" s="19">
        <f t="shared" si="19"/>
        <v>0</v>
      </c>
      <c r="S40" s="2"/>
      <c r="T40" s="2">
        <v>1277913.04</v>
      </c>
      <c r="U40" s="2"/>
      <c r="V40" s="19">
        <f t="shared" si="20"/>
        <v>0.81294636090364758</v>
      </c>
      <c r="W40" s="2"/>
      <c r="X40" s="2">
        <f t="shared" si="21"/>
        <v>-1277913.04</v>
      </c>
      <c r="Y40" s="2"/>
      <c r="Z40" s="19">
        <f t="shared" si="22"/>
        <v>-1</v>
      </c>
    </row>
    <row r="41" spans="1:26" s="24" customFormat="1" hidden="1" outlineLevel="1" x14ac:dyDescent="0.3">
      <c r="A41" s="44"/>
      <c r="B41" s="11" t="str">
        <f>CONCATENATE("          ", "5002", " - ", "PURCHASES @ COST-USED TEXT")</f>
        <v xml:space="preserve">          5002 - PURCHASES @ COST-USED TEXT</v>
      </c>
      <c r="C41" s="11"/>
      <c r="D41" s="2"/>
      <c r="E41" s="2"/>
      <c r="F41" s="19">
        <f t="shared" si="15"/>
        <v>0</v>
      </c>
      <c r="G41" s="2"/>
      <c r="H41" s="2">
        <v>70238.87</v>
      </c>
      <c r="I41" s="2"/>
      <c r="J41" s="19">
        <f t="shared" si="16"/>
        <v>3.9633066607080689</v>
      </c>
      <c r="K41" s="2"/>
      <c r="L41" s="2">
        <f t="shared" si="17"/>
        <v>-70238.87</v>
      </c>
      <c r="M41" s="2"/>
      <c r="N41" s="19">
        <f t="shared" si="18"/>
        <v>-1</v>
      </c>
      <c r="O41" s="11"/>
      <c r="P41" s="2">
        <v>0</v>
      </c>
      <c r="Q41" s="2"/>
      <c r="R41" s="19">
        <f t="shared" si="19"/>
        <v>0</v>
      </c>
      <c r="S41" s="2"/>
      <c r="T41" s="2">
        <v>164472.92000000001</v>
      </c>
      <c r="U41" s="2"/>
      <c r="V41" s="19">
        <f t="shared" si="20"/>
        <v>0.10462970295787635</v>
      </c>
      <c r="W41" s="2"/>
      <c r="X41" s="2">
        <f t="shared" si="21"/>
        <v>-164472.92000000001</v>
      </c>
      <c r="Y41" s="2"/>
      <c r="Z41" s="19">
        <f t="shared" si="22"/>
        <v>-1</v>
      </c>
    </row>
    <row r="42" spans="1:26" s="24" customFormat="1" hidden="1" outlineLevel="1" x14ac:dyDescent="0.3">
      <c r="A42" s="44"/>
      <c r="B42" s="11" t="str">
        <f>CONCATENATE("          ", "5003", " - ", "PURCHASES @ COST-RENTAL TEXT")</f>
        <v xml:space="preserve">          5003 - PURCHASES @ COST-RENTAL TEXT</v>
      </c>
      <c r="C42" s="11"/>
      <c r="D42" s="2"/>
      <c r="E42" s="2"/>
      <c r="F42" s="19">
        <f t="shared" si="15"/>
        <v>0</v>
      </c>
      <c r="G42" s="2"/>
      <c r="H42" s="2"/>
      <c r="I42" s="2"/>
      <c r="J42" s="19">
        <f t="shared" si="16"/>
        <v>0</v>
      </c>
      <c r="K42" s="2"/>
      <c r="L42" s="2">
        <f t="shared" si="17"/>
        <v>0</v>
      </c>
      <c r="M42" s="2"/>
      <c r="N42" s="19">
        <f t="shared" si="18"/>
        <v>0</v>
      </c>
      <c r="O42" s="11"/>
      <c r="P42" s="2"/>
      <c r="Q42" s="2"/>
      <c r="R42" s="19">
        <f t="shared" si="19"/>
        <v>0</v>
      </c>
      <c r="S42" s="2"/>
      <c r="T42" s="2">
        <v>32.520000000000003</v>
      </c>
      <c r="U42" s="2"/>
      <c r="V42" s="19">
        <f t="shared" si="20"/>
        <v>2.0687648399445569E-5</v>
      </c>
      <c r="W42" s="2"/>
      <c r="X42" s="2">
        <f t="shared" si="21"/>
        <v>-32.520000000000003</v>
      </c>
      <c r="Y42" s="2"/>
      <c r="Z42" s="19">
        <f t="shared" si="22"/>
        <v>-1</v>
      </c>
    </row>
    <row r="43" spans="1:26" s="24" customFormat="1" hidden="1" outlineLevel="1" x14ac:dyDescent="0.3">
      <c r="A43" s="44"/>
      <c r="B43" s="11" t="str">
        <f>CONCATENATE("          ", "5004", " - ", "PURCHASES @ COST-DIGITAL TEXT")</f>
        <v xml:space="preserve">          5004 - PURCHASES @ COST-DIGITAL TEXT</v>
      </c>
      <c r="C43" s="11"/>
      <c r="D43" s="2"/>
      <c r="E43" s="2"/>
      <c r="F43" s="19">
        <f t="shared" si="15"/>
        <v>0</v>
      </c>
      <c r="G43" s="2"/>
      <c r="H43" s="2">
        <v>900</v>
      </c>
      <c r="I43" s="2"/>
      <c r="J43" s="19">
        <f t="shared" si="16"/>
        <v>5.0783504840514408E-2</v>
      </c>
      <c r="K43" s="2"/>
      <c r="L43" s="2">
        <f t="shared" si="17"/>
        <v>-900</v>
      </c>
      <c r="M43" s="2"/>
      <c r="N43" s="19">
        <f t="shared" si="18"/>
        <v>-1</v>
      </c>
      <c r="O43" s="11"/>
      <c r="P43" s="2">
        <v>0</v>
      </c>
      <c r="Q43" s="2"/>
      <c r="R43" s="19">
        <f t="shared" si="19"/>
        <v>0</v>
      </c>
      <c r="S43" s="2"/>
      <c r="T43" s="2">
        <v>197838.11</v>
      </c>
      <c r="U43" s="2"/>
      <c r="V43" s="19">
        <f t="shared" si="20"/>
        <v>0.12585502028569606</v>
      </c>
      <c r="W43" s="2"/>
      <c r="X43" s="2">
        <f t="shared" si="21"/>
        <v>-197838.11</v>
      </c>
      <c r="Y43" s="2"/>
      <c r="Z43" s="19">
        <f t="shared" si="22"/>
        <v>-1</v>
      </c>
    </row>
    <row r="44" spans="1:26" s="24" customFormat="1" hidden="1" outlineLevel="1" x14ac:dyDescent="0.3">
      <c r="A44" s="44"/>
      <c r="B44" s="11" t="str">
        <f>CONCATENATE("          ", "5011", " - ", "PURCHASES @ COST-NO VALUE TEXT")</f>
        <v xml:space="preserve">          5011 - PURCHASES @ COST-NO VALUE TEXT</v>
      </c>
      <c r="C44" s="11"/>
      <c r="D44" s="2"/>
      <c r="E44" s="2"/>
      <c r="F44" s="19">
        <f t="shared" si="15"/>
        <v>0</v>
      </c>
      <c r="G44" s="2"/>
      <c r="H44" s="2"/>
      <c r="I44" s="2"/>
      <c r="J44" s="19">
        <f t="shared" si="16"/>
        <v>0</v>
      </c>
      <c r="K44" s="2"/>
      <c r="L44" s="2">
        <f t="shared" si="17"/>
        <v>0</v>
      </c>
      <c r="M44" s="2"/>
      <c r="N44" s="19">
        <f t="shared" si="18"/>
        <v>0</v>
      </c>
      <c r="O44" s="11"/>
      <c r="P44" s="2"/>
      <c r="Q44" s="2"/>
      <c r="R44" s="19">
        <f t="shared" si="19"/>
        <v>0</v>
      </c>
      <c r="S44" s="2"/>
      <c r="T44" s="2">
        <v>67.17</v>
      </c>
      <c r="U44" s="2"/>
      <c r="V44" s="19">
        <f t="shared" si="20"/>
        <v>4.2730299599961829E-5</v>
      </c>
      <c r="W44" s="2"/>
      <c r="X44" s="2">
        <f t="shared" si="21"/>
        <v>-67.17</v>
      </c>
      <c r="Y44" s="2"/>
      <c r="Z44" s="19">
        <f t="shared" si="22"/>
        <v>-1</v>
      </c>
    </row>
    <row r="45" spans="1:26" s="24" customFormat="1" hidden="1" outlineLevel="1" x14ac:dyDescent="0.3">
      <c r="A45" s="44"/>
      <c r="B45" s="11" t="str">
        <f>CONCATENATE("          ", "5013", " - ", "PURCHASES @ COST-TRADE BOOKS")</f>
        <v xml:space="preserve">          5013 - PURCHASES @ COST-TRADE BOOKS</v>
      </c>
      <c r="C45" s="11"/>
      <c r="D45" s="2"/>
      <c r="E45" s="2"/>
      <c r="F45" s="19">
        <f t="shared" si="15"/>
        <v>0</v>
      </c>
      <c r="G45" s="2"/>
      <c r="H45" s="2">
        <v>31.11</v>
      </c>
      <c r="I45" s="2"/>
      <c r="J45" s="19">
        <f t="shared" si="16"/>
        <v>1.7554164839871148E-3</v>
      </c>
      <c r="K45" s="2"/>
      <c r="L45" s="2">
        <f t="shared" si="17"/>
        <v>-31.11</v>
      </c>
      <c r="M45" s="2"/>
      <c r="N45" s="19">
        <f t="shared" si="18"/>
        <v>-1</v>
      </c>
      <c r="O45" s="11"/>
      <c r="P45" s="2"/>
      <c r="Q45" s="2"/>
      <c r="R45" s="19">
        <f t="shared" si="19"/>
        <v>0</v>
      </c>
      <c r="S45" s="2"/>
      <c r="T45" s="2">
        <v>2125.85</v>
      </c>
      <c r="U45" s="2"/>
      <c r="V45" s="19">
        <f t="shared" si="20"/>
        <v>1.352362772139033E-3</v>
      </c>
      <c r="W45" s="2"/>
      <c r="X45" s="2">
        <f t="shared" si="21"/>
        <v>-2125.85</v>
      </c>
      <c r="Y45" s="2"/>
      <c r="Z45" s="19">
        <f t="shared" si="22"/>
        <v>-1</v>
      </c>
    </row>
    <row r="46" spans="1:26" s="24" customFormat="1" hidden="1" outlineLevel="1" x14ac:dyDescent="0.3">
      <c r="A46" s="44"/>
      <c r="B46" s="11" t="str">
        <f>CONCATENATE("          ", "5014", " - ", "PURCHASES @ COST-REMAINDERS")</f>
        <v xml:space="preserve">          5014 - PURCHASES @ COST-REMAINDERS</v>
      </c>
      <c r="C46" s="11"/>
      <c r="D46" s="2"/>
      <c r="E46" s="2"/>
      <c r="F46" s="19">
        <f t="shared" si="15"/>
        <v>0</v>
      </c>
      <c r="G46" s="2"/>
      <c r="H46" s="2"/>
      <c r="I46" s="2"/>
      <c r="J46" s="19">
        <f t="shared" si="16"/>
        <v>0</v>
      </c>
      <c r="K46" s="2"/>
      <c r="L46" s="2">
        <f t="shared" si="17"/>
        <v>0</v>
      </c>
      <c r="M46" s="2"/>
      <c r="N46" s="19">
        <f t="shared" si="18"/>
        <v>0</v>
      </c>
      <c r="O46" s="11"/>
      <c r="P46" s="2"/>
      <c r="Q46" s="2"/>
      <c r="R46" s="19">
        <f t="shared" si="19"/>
        <v>0</v>
      </c>
      <c r="S46" s="2"/>
      <c r="T46" s="2">
        <v>90.41</v>
      </c>
      <c r="U46" s="2"/>
      <c r="V46" s="19">
        <f t="shared" si="20"/>
        <v>5.7514461617277787E-5</v>
      </c>
      <c r="W46" s="2"/>
      <c r="X46" s="2">
        <f t="shared" si="21"/>
        <v>-90.41</v>
      </c>
      <c r="Y46" s="2"/>
      <c r="Z46" s="19">
        <f t="shared" si="22"/>
        <v>-1</v>
      </c>
    </row>
    <row r="47" spans="1:26" s="24" customFormat="1" hidden="1" outlineLevel="1" x14ac:dyDescent="0.3">
      <c r="A47" s="44"/>
      <c r="B47" s="11" t="str">
        <f>CONCATENATE("          ", "5018", " - ", "PURCHASES @ COST-STUDY GUIDES")</f>
        <v xml:space="preserve">          5018 - PURCHASES @ COST-STUDY GUIDES</v>
      </c>
      <c r="C47" s="11"/>
      <c r="D47" s="2"/>
      <c r="E47" s="2"/>
      <c r="F47" s="19">
        <f t="shared" si="15"/>
        <v>0</v>
      </c>
      <c r="G47" s="2"/>
      <c r="H47" s="2"/>
      <c r="I47" s="2"/>
      <c r="J47" s="19">
        <f t="shared" si="16"/>
        <v>0</v>
      </c>
      <c r="K47" s="2"/>
      <c r="L47" s="2">
        <f t="shared" si="17"/>
        <v>0</v>
      </c>
      <c r="M47" s="2"/>
      <c r="N47" s="19">
        <f t="shared" si="18"/>
        <v>0</v>
      </c>
      <c r="O47" s="11"/>
      <c r="P47" s="2"/>
      <c r="Q47" s="2"/>
      <c r="R47" s="19">
        <f t="shared" si="19"/>
        <v>0</v>
      </c>
      <c r="S47" s="2"/>
      <c r="T47" s="2">
        <v>106.34</v>
      </c>
      <c r="U47" s="2"/>
      <c r="V47" s="19">
        <f t="shared" si="20"/>
        <v>6.7648355805567084E-5</v>
      </c>
      <c r="W47" s="2"/>
      <c r="X47" s="2">
        <f t="shared" si="21"/>
        <v>-106.34</v>
      </c>
      <c r="Y47" s="2"/>
      <c r="Z47" s="19">
        <f t="shared" si="22"/>
        <v>-1</v>
      </c>
    </row>
    <row r="48" spans="1:26" s="24" customFormat="1" hidden="1" outlineLevel="1" x14ac:dyDescent="0.3">
      <c r="A48" s="44"/>
      <c r="B48" s="11" t="str">
        <f>CONCATENATE("          ", "5200", " - ", "PURCHASES OFFSET")</f>
        <v xml:space="preserve">          5200 - PURCHASES OFFSET</v>
      </c>
      <c r="C48" s="11"/>
      <c r="D48" s="2">
        <v>-66175.399999999994</v>
      </c>
      <c r="E48" s="2"/>
      <c r="F48" s="19">
        <f t="shared" si="15"/>
        <v>-1.3794381473470756</v>
      </c>
      <c r="G48" s="2"/>
      <c r="H48" s="2">
        <v>-114446.47</v>
      </c>
      <c r="I48" s="2"/>
      <c r="J48" s="19">
        <f t="shared" si="16"/>
        <v>-6.4577698480275414</v>
      </c>
      <c r="K48" s="2"/>
      <c r="L48" s="2">
        <f t="shared" si="17"/>
        <v>48271.070000000007</v>
      </c>
      <c r="M48" s="2"/>
      <c r="N48" s="19">
        <f t="shared" si="18"/>
        <v>-0.42177858347225566</v>
      </c>
      <c r="O48" s="11"/>
      <c r="P48" s="2">
        <v>-1190579.81</v>
      </c>
      <c r="Q48" s="2"/>
      <c r="R48" s="19">
        <f t="shared" si="19"/>
        <v>-0.85065119610795537</v>
      </c>
      <c r="S48" s="2"/>
      <c r="T48" s="2">
        <v>-1350673.8</v>
      </c>
      <c r="U48" s="2"/>
      <c r="V48" s="19">
        <f t="shared" si="20"/>
        <v>-0.85923323114216055</v>
      </c>
      <c r="W48" s="2"/>
      <c r="X48" s="2">
        <f t="shared" si="21"/>
        <v>160093.99</v>
      </c>
      <c r="Y48" s="2"/>
      <c r="Z48" s="19">
        <f t="shared" si="22"/>
        <v>-0.11852898160903098</v>
      </c>
    </row>
    <row r="49" spans="1:26" s="24" customFormat="1" hidden="1" outlineLevel="1" x14ac:dyDescent="0.3">
      <c r="A49" s="44"/>
      <c r="B49" s="11" t="str">
        <f>CONCATENATE("          ", "5300", " - ", "COG$ OFFSET")</f>
        <v xml:space="preserve">          5300 - COG$ OFFSET</v>
      </c>
      <c r="C49" s="11"/>
      <c r="D49" s="2">
        <v>41134.559999999998</v>
      </c>
      <c r="E49" s="2"/>
      <c r="F49" s="19">
        <f t="shared" si="15"/>
        <v>0.85745732157776344</v>
      </c>
      <c r="G49" s="2"/>
      <c r="H49" s="2">
        <v>10619</v>
      </c>
      <c r="I49" s="2"/>
      <c r="J49" s="19">
        <f t="shared" si="16"/>
        <v>0.59918893100158055</v>
      </c>
      <c r="K49" s="2"/>
      <c r="L49" s="2">
        <f t="shared" si="17"/>
        <v>30515.559999999998</v>
      </c>
      <c r="M49" s="2"/>
      <c r="N49" s="19">
        <f t="shared" si="18"/>
        <v>2.8736754873340238</v>
      </c>
      <c r="O49" s="11"/>
      <c r="P49" s="2">
        <v>889668.77</v>
      </c>
      <c r="Q49" s="2"/>
      <c r="R49" s="19">
        <f t="shared" si="19"/>
        <v>0.63565482715551291</v>
      </c>
      <c r="S49" s="2"/>
      <c r="T49" s="2">
        <v>779697</v>
      </c>
      <c r="U49" s="2"/>
      <c r="V49" s="19">
        <f t="shared" si="20"/>
        <v>0.49600545492320142</v>
      </c>
      <c r="W49" s="2"/>
      <c r="X49" s="2">
        <f t="shared" si="21"/>
        <v>109971.77000000002</v>
      </c>
      <c r="Y49" s="2"/>
      <c r="Z49" s="19">
        <f t="shared" si="22"/>
        <v>0.14104423898001406</v>
      </c>
    </row>
    <row r="50" spans="1:26" s="24" customFormat="1" hidden="1" outlineLevel="1" x14ac:dyDescent="0.3">
      <c r="A50" s="44"/>
      <c r="B50" s="11" t="str">
        <f>CONCATENATE("          ", "5500", " - ", "FREIGHT-IN")</f>
        <v xml:space="preserve">          5500 - FREIGHT-IN</v>
      </c>
      <c r="C50" s="11"/>
      <c r="D50" s="2">
        <v>821.7</v>
      </c>
      <c r="E50" s="2"/>
      <c r="F50" s="19">
        <f t="shared" si="15"/>
        <v>1.7128484688798136E-2</v>
      </c>
      <c r="G50" s="2"/>
      <c r="H50" s="2">
        <v>0</v>
      </c>
      <c r="I50" s="2"/>
      <c r="J50" s="19">
        <f t="shared" si="16"/>
        <v>0</v>
      </c>
      <c r="K50" s="2"/>
      <c r="L50" s="2">
        <f t="shared" si="17"/>
        <v>821.7</v>
      </c>
      <c r="M50" s="2"/>
      <c r="N50" s="19">
        <f t="shared" si="18"/>
        <v>0</v>
      </c>
      <c r="O50" s="11"/>
      <c r="P50" s="2">
        <v>37341.68</v>
      </c>
      <c r="Q50" s="2"/>
      <c r="R50" s="19">
        <f t="shared" si="19"/>
        <v>2.668006335222543E-2</v>
      </c>
      <c r="S50" s="2"/>
      <c r="T50" s="2">
        <v>0</v>
      </c>
      <c r="U50" s="2"/>
      <c r="V50" s="19">
        <f t="shared" si="20"/>
        <v>0</v>
      </c>
      <c r="W50" s="2"/>
      <c r="X50" s="2">
        <f t="shared" si="21"/>
        <v>37341.68</v>
      </c>
      <c r="Y50" s="2"/>
      <c r="Z50" s="19">
        <f t="shared" si="22"/>
        <v>0</v>
      </c>
    </row>
    <row r="51" spans="1:26" s="24" customFormat="1" hidden="1" outlineLevel="1" x14ac:dyDescent="0.3">
      <c r="A51" s="44"/>
      <c r="B51" s="11" t="str">
        <f>CONCATENATE("          ", "5501", " - ", "FREIGHT-IN-NEW TEXT")</f>
        <v xml:space="preserve">          5501 - FREIGHT-IN-NEW TEXT</v>
      </c>
      <c r="C51" s="11"/>
      <c r="D51" s="2"/>
      <c r="E51" s="2"/>
      <c r="F51" s="19">
        <f t="shared" si="15"/>
        <v>0</v>
      </c>
      <c r="G51" s="2"/>
      <c r="H51" s="2">
        <v>2414.77</v>
      </c>
      <c r="I51" s="2"/>
      <c r="J51" s="19">
        <f t="shared" si="16"/>
        <v>0.13625609331525443</v>
      </c>
      <c r="K51" s="2"/>
      <c r="L51" s="2">
        <f t="shared" si="17"/>
        <v>-2414.77</v>
      </c>
      <c r="M51" s="2"/>
      <c r="N51" s="19">
        <f t="shared" si="18"/>
        <v>-1</v>
      </c>
      <c r="O51" s="11"/>
      <c r="P51" s="2">
        <v>0</v>
      </c>
      <c r="Q51" s="2"/>
      <c r="R51" s="19">
        <f t="shared" si="19"/>
        <v>0</v>
      </c>
      <c r="S51" s="2"/>
      <c r="T51" s="2">
        <v>37463.58</v>
      </c>
      <c r="U51" s="2"/>
      <c r="V51" s="19">
        <f t="shared" si="20"/>
        <v>2.3832514477998185E-2</v>
      </c>
      <c r="W51" s="2"/>
      <c r="X51" s="2">
        <f t="shared" si="21"/>
        <v>-37463.58</v>
      </c>
      <c r="Y51" s="2"/>
      <c r="Z51" s="19">
        <f t="shared" si="22"/>
        <v>-1</v>
      </c>
    </row>
    <row r="52" spans="1:26" s="24" customFormat="1" hidden="1" outlineLevel="1" x14ac:dyDescent="0.3">
      <c r="A52" s="44"/>
      <c r="B52" s="11" t="str">
        <f>CONCATENATE("          ", "5502", " - ", "FREIGHT-IN-USED TEXT")</f>
        <v xml:space="preserve">          5502 - FREIGHT-IN-USED TEXT</v>
      </c>
      <c r="C52" s="11"/>
      <c r="D52" s="2"/>
      <c r="E52" s="2"/>
      <c r="F52" s="19">
        <f t="shared" si="15"/>
        <v>0</v>
      </c>
      <c r="G52" s="2"/>
      <c r="H52" s="2">
        <v>2389.48</v>
      </c>
      <c r="I52" s="2"/>
      <c r="J52" s="19">
        <f t="shared" si="16"/>
        <v>0.13482907682923598</v>
      </c>
      <c r="K52" s="2"/>
      <c r="L52" s="2">
        <f t="shared" si="17"/>
        <v>-2389.48</v>
      </c>
      <c r="M52" s="2"/>
      <c r="N52" s="19">
        <f t="shared" si="18"/>
        <v>-1</v>
      </c>
      <c r="O52" s="11"/>
      <c r="P52" s="2">
        <v>0</v>
      </c>
      <c r="Q52" s="2"/>
      <c r="R52" s="19">
        <f t="shared" si="19"/>
        <v>0</v>
      </c>
      <c r="S52" s="2"/>
      <c r="T52" s="2">
        <v>13522.57</v>
      </c>
      <c r="U52" s="2"/>
      <c r="V52" s="19">
        <f t="shared" si="20"/>
        <v>8.6024038627580141E-3</v>
      </c>
      <c r="W52" s="2"/>
      <c r="X52" s="2">
        <f t="shared" si="21"/>
        <v>-13522.57</v>
      </c>
      <c r="Y52" s="2"/>
      <c r="Z52" s="19">
        <f t="shared" si="22"/>
        <v>-1</v>
      </c>
    </row>
    <row r="53" spans="1:26" s="24" customFormat="1" hidden="1" outlineLevel="1" x14ac:dyDescent="0.3">
      <c r="A53" s="44"/>
      <c r="B53" s="11" t="str">
        <f>CONCATENATE("          ", "5504", " - ", "FREIGHT-IN-DIGITAL TEXT")</f>
        <v xml:space="preserve">          5504 - FREIGHT-IN-DIGITAL TEXT</v>
      </c>
      <c r="C53" s="11"/>
      <c r="D53" s="2"/>
      <c r="E53" s="2"/>
      <c r="F53" s="19">
        <f t="shared" si="15"/>
        <v>0</v>
      </c>
      <c r="G53" s="2"/>
      <c r="H53" s="2"/>
      <c r="I53" s="2"/>
      <c r="J53" s="19">
        <f t="shared" si="16"/>
        <v>0</v>
      </c>
      <c r="K53" s="2"/>
      <c r="L53" s="2">
        <f t="shared" si="17"/>
        <v>0</v>
      </c>
      <c r="M53" s="2"/>
      <c r="N53" s="19">
        <f t="shared" si="18"/>
        <v>0</v>
      </c>
      <c r="O53" s="11"/>
      <c r="P53" s="2"/>
      <c r="Q53" s="2"/>
      <c r="R53" s="19">
        <f t="shared" si="19"/>
        <v>0</v>
      </c>
      <c r="S53" s="2"/>
      <c r="T53" s="2">
        <v>21.98</v>
      </c>
      <c r="U53" s="2"/>
      <c r="V53" s="19">
        <f t="shared" si="20"/>
        <v>1.3982611064569913E-5</v>
      </c>
      <c r="W53" s="2"/>
      <c r="X53" s="2">
        <f t="shared" si="21"/>
        <v>-21.98</v>
      </c>
      <c r="Y53" s="2"/>
      <c r="Z53" s="19">
        <f t="shared" si="22"/>
        <v>-1</v>
      </c>
    </row>
    <row r="54" spans="1:26" s="24" customFormat="1" hidden="1" outlineLevel="1" x14ac:dyDescent="0.3">
      <c r="A54" s="44"/>
      <c r="B54" s="11" t="str">
        <f>CONCATENATE("          ", "5513", " - ", "FREIGHT-IN-TRADE BOOKS")</f>
        <v xml:space="preserve">          5513 - FREIGHT-IN-TRADE BOOKS</v>
      </c>
      <c r="C54" s="11"/>
      <c r="D54" s="2"/>
      <c r="E54" s="2"/>
      <c r="F54" s="19">
        <f t="shared" si="15"/>
        <v>0</v>
      </c>
      <c r="G54" s="2"/>
      <c r="H54" s="2"/>
      <c r="I54" s="2"/>
      <c r="J54" s="19">
        <f t="shared" si="16"/>
        <v>0</v>
      </c>
      <c r="K54" s="2"/>
      <c r="L54" s="2">
        <f t="shared" si="17"/>
        <v>0</v>
      </c>
      <c r="M54" s="2"/>
      <c r="N54" s="19">
        <f t="shared" si="18"/>
        <v>0</v>
      </c>
      <c r="O54" s="11"/>
      <c r="P54" s="2"/>
      <c r="Q54" s="2"/>
      <c r="R54" s="19">
        <f t="shared" si="19"/>
        <v>0</v>
      </c>
      <c r="S54" s="2"/>
      <c r="T54" s="2">
        <v>26.46</v>
      </c>
      <c r="U54" s="2"/>
      <c r="V54" s="19">
        <f t="shared" si="20"/>
        <v>1.6832570007666966E-5</v>
      </c>
      <c r="W54" s="2"/>
      <c r="X54" s="2">
        <f t="shared" si="21"/>
        <v>-26.46</v>
      </c>
      <c r="Y54" s="2"/>
      <c r="Z54" s="19">
        <f t="shared" si="22"/>
        <v>-1</v>
      </c>
    </row>
    <row r="55" spans="1:26" s="24" customFormat="1" hidden="1" outlineLevel="1" x14ac:dyDescent="0.3">
      <c r="A55" s="44"/>
      <c r="B55" s="11" t="str">
        <f>CONCATENATE("          ", "5518", " - ", "FREIGHT-IN-STUDY GUIDES")</f>
        <v xml:space="preserve">          5518 - FREIGHT-IN-STUDY GUIDES</v>
      </c>
      <c r="C55" s="11"/>
      <c r="D55" s="2"/>
      <c r="E55" s="2"/>
      <c r="F55" s="19">
        <f t="shared" si="15"/>
        <v>0</v>
      </c>
      <c r="G55" s="2"/>
      <c r="H55" s="2"/>
      <c r="I55" s="2"/>
      <c r="J55" s="19">
        <f t="shared" si="16"/>
        <v>0</v>
      </c>
      <c r="K55" s="2"/>
      <c r="L55" s="2">
        <f t="shared" si="17"/>
        <v>0</v>
      </c>
      <c r="M55" s="2"/>
      <c r="N55" s="19">
        <f t="shared" si="18"/>
        <v>0</v>
      </c>
      <c r="O55" s="11"/>
      <c r="P55" s="2">
        <v>0</v>
      </c>
      <c r="Q55" s="2"/>
      <c r="R55" s="19">
        <f t="shared" si="19"/>
        <v>0</v>
      </c>
      <c r="S55" s="2"/>
      <c r="T55" s="2"/>
      <c r="U55" s="2"/>
      <c r="V55" s="19">
        <f t="shared" si="20"/>
        <v>0</v>
      </c>
      <c r="W55" s="2"/>
      <c r="X55" s="2">
        <f t="shared" si="21"/>
        <v>0</v>
      </c>
      <c r="Y55" s="2"/>
      <c r="Z55" s="19">
        <f t="shared" si="22"/>
        <v>0</v>
      </c>
    </row>
    <row r="56" spans="1:26" x14ac:dyDescent="0.3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3">
      <c r="A57" s="10"/>
      <c r="B57" s="26" t="s">
        <v>107</v>
      </c>
      <c r="C57" s="26"/>
      <c r="D57" s="20">
        <f>D12-D38</f>
        <v>9373.6199999999953</v>
      </c>
      <c r="E57" s="13"/>
      <c r="F57" s="21">
        <f>IF(D$12=0,0,D57/D$12)</f>
        <v>0.19539479937764623</v>
      </c>
      <c r="G57" s="13"/>
      <c r="H57" s="20">
        <f>H12-H38</f>
        <v>8257.9700000000048</v>
      </c>
      <c r="I57" s="13"/>
      <c r="J57" s="21">
        <f>IF(H$12=0,0,H57/H$12)</f>
        <v>0.46596517718647001</v>
      </c>
      <c r="K57" s="15"/>
      <c r="L57" s="20">
        <f>+D57-H57</f>
        <v>1115.6499999999905</v>
      </c>
      <c r="M57" s="15"/>
      <c r="N57" s="21">
        <f>IF(H57=0,0,L57/H57)</f>
        <v>0.13509978844679624</v>
      </c>
      <c r="O57" s="25"/>
      <c r="P57" s="20">
        <f>P12-P38</f>
        <v>258738.19000000018</v>
      </c>
      <c r="Q57" s="13"/>
      <c r="R57" s="21">
        <f>IF(P$12=0,0,P57/P$12)</f>
        <v>0.18486450799321683</v>
      </c>
      <c r="S57" s="13"/>
      <c r="T57" s="20">
        <f>T12-T38</f>
        <v>449248.31999999983</v>
      </c>
      <c r="U57" s="13"/>
      <c r="V57" s="21">
        <f>IF(T$12=0,0,T57/T$12)</f>
        <v>0.28579001501234952</v>
      </c>
      <c r="W57" s="15"/>
      <c r="X57" s="20">
        <f>+P57-T57</f>
        <v>-190510.12999999966</v>
      </c>
      <c r="Y57" s="15"/>
      <c r="Z57" s="21">
        <f>IF(T57=0,0,X57/T57)</f>
        <v>-0.42406420128627242</v>
      </c>
    </row>
    <row r="58" spans="1:26" x14ac:dyDescent="0.3">
      <c r="A58" s="9"/>
      <c r="B58" s="10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3">
      <c r="A59" s="10"/>
      <c r="B59" s="25" t="s">
        <v>294</v>
      </c>
      <c r="C59" s="10"/>
      <c r="D59" s="22">
        <f>SUM(OSRRefD22x_0)</f>
        <v>46608.87000000001</v>
      </c>
      <c r="E59" s="22"/>
      <c r="F59" s="34">
        <f t="shared" ref="F59:F69" si="23">IF(D$12=0,0,D59/D$12)</f>
        <v>0.97157030078761464</v>
      </c>
      <c r="G59" s="22"/>
      <c r="H59" s="22">
        <f>SUM(OSRRefH22x_0)</f>
        <v>51172.139999999992</v>
      </c>
      <c r="I59" s="22"/>
      <c r="J59" s="34">
        <f t="shared" ref="J59:J69" si="24">IF(H$12=0,0,H59/H$12)</f>
        <v>2.8874451326549786</v>
      </c>
      <c r="K59" s="4"/>
      <c r="L59" s="22">
        <f t="shared" ref="L59:L69" si="25">+D59-H59</f>
        <v>-4563.2699999999822</v>
      </c>
      <c r="M59" s="4"/>
      <c r="N59" s="34">
        <f t="shared" ref="N59:N69" si="26">IF(H59=0,0,L59/H59)</f>
        <v>-8.9174890868351078E-2</v>
      </c>
      <c r="O59" s="10"/>
      <c r="P59" s="22">
        <f>SUM(OSRRefP22x_0)</f>
        <v>279517.98</v>
      </c>
      <c r="Q59" s="22"/>
      <c r="R59" s="34">
        <f t="shared" ref="R59:R69" si="27">IF(P$12=0,0,P59/P$12)</f>
        <v>0.1997113524213715</v>
      </c>
      <c r="S59" s="22"/>
      <c r="T59" s="22">
        <f>SUM(OSRRefT22x_0)</f>
        <v>264104.50999999995</v>
      </c>
      <c r="U59" s="22"/>
      <c r="V59" s="34">
        <f t="shared" ref="V59:V69" si="28">IF(T$12=0,0,T59/T$12)</f>
        <v>0.16801049334526</v>
      </c>
      <c r="W59" s="4"/>
      <c r="X59" s="22">
        <f t="shared" ref="X59:X69" si="29">+P59-T59</f>
        <v>15413.47000000003</v>
      </c>
      <c r="Y59" s="4"/>
      <c r="Z59" s="34">
        <f t="shared" ref="Z59:Z69" si="30">IF(T59=0,0,X59/T59)</f>
        <v>5.8361252520829854E-2</v>
      </c>
    </row>
    <row r="60" spans="1:26" s="29" customFormat="1" outlineLevel="1" collapsed="1" x14ac:dyDescent="0.3">
      <c r="A60" s="27"/>
      <c r="B60" s="14" t="str">
        <f>CONCATENATE("     ","*Benefits                                         ")</f>
        <v xml:space="preserve">     *Benefits                                         </v>
      </c>
      <c r="C60" s="14"/>
      <c r="D60" s="1">
        <f>SUM(OSRRefD22_0x_0)</f>
        <v>12486.67</v>
      </c>
      <c r="E60" s="1"/>
      <c r="F60" s="5">
        <f t="shared" si="23"/>
        <v>0.26028688804804068</v>
      </c>
      <c r="G60" s="1"/>
      <c r="H60" s="1">
        <f>SUM(OSRRefH22_0x_0)</f>
        <v>11725.109999999999</v>
      </c>
      <c r="I60" s="1"/>
      <c r="J60" s="5">
        <f t="shared" si="24"/>
        <v>0.66160242271173764</v>
      </c>
      <c r="K60" s="1"/>
      <c r="L60" s="1">
        <f t="shared" si="25"/>
        <v>761.56000000000131</v>
      </c>
      <c r="M60" s="1"/>
      <c r="N60" s="5">
        <f t="shared" si="26"/>
        <v>6.4951203016432368E-2</v>
      </c>
      <c r="O60" s="14"/>
      <c r="P60" s="1">
        <f>SUM(OSRRefP22_0x_0)</f>
        <v>76965.06</v>
      </c>
      <c r="Q60" s="1"/>
      <c r="R60" s="5">
        <f t="shared" si="27"/>
        <v>5.4990366708402814E-2</v>
      </c>
      <c r="S60" s="1"/>
      <c r="T60" s="1">
        <f>SUM(OSRRefT22_0x_0)</f>
        <v>68762.950000000012</v>
      </c>
      <c r="U60" s="1"/>
      <c r="V60" s="5">
        <f t="shared" si="28"/>
        <v>4.3743657211213274E-2</v>
      </c>
      <c r="W60" s="1"/>
      <c r="X60" s="1">
        <f t="shared" si="29"/>
        <v>8202.109999999986</v>
      </c>
      <c r="Y60" s="1"/>
      <c r="Z60" s="5">
        <f t="shared" si="30"/>
        <v>0.11928094998832925</v>
      </c>
    </row>
    <row r="61" spans="1:26" s="24" customFormat="1" hidden="1" outlineLevel="2" x14ac:dyDescent="0.3">
      <c r="A61" s="28"/>
      <c r="B61" s="11" t="str">
        <f>CONCATENATE("          ", "6111", " - ", "F.I.C.A.")</f>
        <v xml:space="preserve">          6111 - F.I.C.A.</v>
      </c>
      <c r="C61" s="11"/>
      <c r="D61" s="6">
        <v>1933.15</v>
      </c>
      <c r="E61" s="2"/>
      <c r="F61" s="7">
        <f t="shared" si="23"/>
        <v>4.0296860382317293E-2</v>
      </c>
      <c r="G61" s="2"/>
      <c r="H61" s="6">
        <v>1995.53</v>
      </c>
      <c r="I61" s="2"/>
      <c r="J61" s="7">
        <f t="shared" si="24"/>
        <v>0.11260000823821302</v>
      </c>
      <c r="K61" s="2"/>
      <c r="L61" s="6">
        <f t="shared" si="25"/>
        <v>-62.379999999999882</v>
      </c>
      <c r="M61" s="2"/>
      <c r="N61" s="7">
        <f t="shared" si="26"/>
        <v>-3.1259865800063083E-2</v>
      </c>
      <c r="O61" s="11"/>
      <c r="P61" s="6">
        <v>12880.29</v>
      </c>
      <c r="Q61" s="2"/>
      <c r="R61" s="7">
        <f t="shared" si="27"/>
        <v>9.2027716266390724E-3</v>
      </c>
      <c r="S61" s="2"/>
      <c r="T61" s="6">
        <v>12943</v>
      </c>
      <c r="U61" s="2"/>
      <c r="V61" s="7">
        <f t="shared" si="28"/>
        <v>8.233709509041327E-3</v>
      </c>
      <c r="W61" s="2"/>
      <c r="X61" s="6">
        <f t="shared" si="29"/>
        <v>-62.709999999999127</v>
      </c>
      <c r="Y61" s="2"/>
      <c r="Z61" s="7">
        <f t="shared" si="30"/>
        <v>-4.8450900100439715E-3</v>
      </c>
    </row>
    <row r="62" spans="1:26" s="24" customFormat="1" hidden="1" outlineLevel="2" x14ac:dyDescent="0.3">
      <c r="A62" s="28"/>
      <c r="B62" s="11" t="str">
        <f>CONCATENATE("          ", "6112", " - ", "COMPENSATION INSURANCE")</f>
        <v xml:space="preserve">          6112 - COMPENSATION INSURANCE</v>
      </c>
      <c r="C62" s="11"/>
      <c r="D62" s="6">
        <v>354.74</v>
      </c>
      <c r="E62" s="2"/>
      <c r="F62" s="7">
        <f t="shared" si="23"/>
        <v>7.3946192752881229E-3</v>
      </c>
      <c r="G62" s="2"/>
      <c r="H62" s="6">
        <v>314.69</v>
      </c>
      <c r="I62" s="2"/>
      <c r="J62" s="7">
        <f t="shared" si="24"/>
        <v>1.775673459806831E-2</v>
      </c>
      <c r="K62" s="2"/>
      <c r="L62" s="6">
        <f t="shared" si="25"/>
        <v>40.050000000000011</v>
      </c>
      <c r="M62" s="2"/>
      <c r="N62" s="7">
        <f t="shared" si="26"/>
        <v>0.12726810511932382</v>
      </c>
      <c r="O62" s="11"/>
      <c r="P62" s="6">
        <v>2548.7199999999998</v>
      </c>
      <c r="Q62" s="2"/>
      <c r="R62" s="7">
        <f t="shared" si="27"/>
        <v>1.8210217394365757E-3</v>
      </c>
      <c r="S62" s="2"/>
      <c r="T62" s="6">
        <v>982.04</v>
      </c>
      <c r="U62" s="2"/>
      <c r="V62" s="7">
        <f t="shared" si="28"/>
        <v>6.2472626796406905E-4</v>
      </c>
      <c r="W62" s="2"/>
      <c r="X62" s="6">
        <f t="shared" si="29"/>
        <v>1566.6799999999998</v>
      </c>
      <c r="Y62" s="2"/>
      <c r="Z62" s="7">
        <f t="shared" si="30"/>
        <v>1.5953321656958983</v>
      </c>
    </row>
    <row r="63" spans="1:26" s="24" customFormat="1" hidden="1" outlineLevel="2" x14ac:dyDescent="0.3">
      <c r="A63" s="28"/>
      <c r="B63" s="11" t="str">
        <f>CONCATENATE("          ", "6113", " - ", "GROUP INSURANCE")</f>
        <v xml:space="preserve">          6113 - GROUP INSURANCE</v>
      </c>
      <c r="C63" s="11"/>
      <c r="D63" s="6">
        <v>4593.8599999999997</v>
      </c>
      <c r="E63" s="2"/>
      <c r="F63" s="7">
        <f t="shared" si="23"/>
        <v>9.5759840175833277E-2</v>
      </c>
      <c r="G63" s="2"/>
      <c r="H63" s="6">
        <v>4281.38</v>
      </c>
      <c r="I63" s="2"/>
      <c r="J63" s="7">
        <f t="shared" si="24"/>
        <v>0.24158164661564621</v>
      </c>
      <c r="K63" s="2"/>
      <c r="L63" s="6">
        <f t="shared" si="25"/>
        <v>312.47999999999956</v>
      </c>
      <c r="M63" s="2"/>
      <c r="N63" s="7">
        <f t="shared" si="26"/>
        <v>7.2985812985532597E-2</v>
      </c>
      <c r="O63" s="11"/>
      <c r="P63" s="6">
        <v>27619.41</v>
      </c>
      <c r="Q63" s="2"/>
      <c r="R63" s="7">
        <f t="shared" si="27"/>
        <v>1.9733649063220737E-2</v>
      </c>
      <c r="S63" s="2"/>
      <c r="T63" s="6">
        <v>25388.22</v>
      </c>
      <c r="U63" s="2"/>
      <c r="V63" s="7">
        <f t="shared" si="28"/>
        <v>1.6150755499623984E-2</v>
      </c>
      <c r="W63" s="2"/>
      <c r="X63" s="6">
        <f t="shared" si="29"/>
        <v>2231.1899999999987</v>
      </c>
      <c r="Y63" s="2"/>
      <c r="Z63" s="7">
        <f t="shared" si="30"/>
        <v>8.7882884266797689E-2</v>
      </c>
    </row>
    <row r="64" spans="1:26" s="24" customFormat="1" hidden="1" outlineLevel="2" x14ac:dyDescent="0.3">
      <c r="A64" s="28"/>
      <c r="B64" s="11" t="str">
        <f>CONCATENATE("          ", "6114", " - ", "STATE UNEMPLOYMENT INSURANCE")</f>
        <v xml:space="preserve">          6114 - STATE UNEMPLOYMENT INSURANCE</v>
      </c>
      <c r="C64" s="11"/>
      <c r="D64" s="6">
        <v>70.459999999999994</v>
      </c>
      <c r="E64" s="2"/>
      <c r="F64" s="7">
        <f t="shared" si="23"/>
        <v>1.4687514070496734E-3</v>
      </c>
      <c r="G64" s="2"/>
      <c r="H64" s="6"/>
      <c r="I64" s="2"/>
      <c r="J64" s="7">
        <f t="shared" si="24"/>
        <v>0</v>
      </c>
      <c r="K64" s="2"/>
      <c r="L64" s="6">
        <f t="shared" si="25"/>
        <v>70.459999999999994</v>
      </c>
      <c r="M64" s="2"/>
      <c r="N64" s="7">
        <f t="shared" si="26"/>
        <v>0</v>
      </c>
      <c r="O64" s="11"/>
      <c r="P64" s="6">
        <v>505.55</v>
      </c>
      <c r="Q64" s="2"/>
      <c r="R64" s="7">
        <f t="shared" si="27"/>
        <v>3.6120779857032586E-4</v>
      </c>
      <c r="S64" s="2"/>
      <c r="T64" s="6">
        <v>382.75</v>
      </c>
      <c r="U64" s="2"/>
      <c r="V64" s="7">
        <f t="shared" si="28"/>
        <v>2.4348700568535642E-4</v>
      </c>
      <c r="W64" s="2"/>
      <c r="X64" s="6">
        <f t="shared" si="29"/>
        <v>122.80000000000001</v>
      </c>
      <c r="Y64" s="2"/>
      <c r="Z64" s="7">
        <f t="shared" si="30"/>
        <v>0.32083605486610062</v>
      </c>
    </row>
    <row r="65" spans="1:26" s="24" customFormat="1" hidden="1" outlineLevel="2" x14ac:dyDescent="0.3">
      <c r="A65" s="28"/>
      <c r="B65" s="11" t="str">
        <f>CONCATENATE("          ", "6115", " - ", "P.E.R.S.")</f>
        <v xml:space="preserve">          6115 - P.E.R.S.</v>
      </c>
      <c r="C65" s="11"/>
      <c r="D65" s="6">
        <v>1671.39</v>
      </c>
      <c r="E65" s="2"/>
      <c r="F65" s="7">
        <f t="shared" si="23"/>
        <v>3.4840425975429377E-2</v>
      </c>
      <c r="G65" s="2"/>
      <c r="H65" s="6">
        <v>1783.22</v>
      </c>
      <c r="I65" s="2"/>
      <c r="J65" s="7">
        <f t="shared" si="24"/>
        <v>0.10062017944633568</v>
      </c>
      <c r="K65" s="2"/>
      <c r="L65" s="6">
        <f t="shared" si="25"/>
        <v>-111.82999999999993</v>
      </c>
      <c r="M65" s="2"/>
      <c r="N65" s="7">
        <f t="shared" si="26"/>
        <v>-6.2712396675676546E-2</v>
      </c>
      <c r="O65" s="11"/>
      <c r="P65" s="6">
        <v>10574.73</v>
      </c>
      <c r="Q65" s="2"/>
      <c r="R65" s="7">
        <f t="shared" si="27"/>
        <v>7.5554840149848323E-3</v>
      </c>
      <c r="S65" s="2"/>
      <c r="T65" s="6">
        <v>10486.24</v>
      </c>
      <c r="U65" s="2"/>
      <c r="V65" s="7">
        <f t="shared" si="28"/>
        <v>6.6708378275584894E-3</v>
      </c>
      <c r="W65" s="2"/>
      <c r="X65" s="6">
        <f t="shared" si="29"/>
        <v>88.489999999999782</v>
      </c>
      <c r="Y65" s="2"/>
      <c r="Z65" s="7">
        <f t="shared" si="30"/>
        <v>8.4386777338683622E-3</v>
      </c>
    </row>
    <row r="66" spans="1:26" s="24" customFormat="1" hidden="1" outlineLevel="2" x14ac:dyDescent="0.3">
      <c r="A66" s="28"/>
      <c r="B66" s="11" t="str">
        <f>CONCATENATE("          ", "6117", " - ", "RETIREMENT STAFF HOURLY")</f>
        <v xml:space="preserve">          6117 - RETIREMENT STAFF HOURLY</v>
      </c>
      <c r="C66" s="11"/>
      <c r="D66" s="6">
        <v>285.08999999999997</v>
      </c>
      <c r="E66" s="2"/>
      <c r="F66" s="7">
        <f t="shared" si="23"/>
        <v>5.9427524643172209E-3</v>
      </c>
      <c r="G66" s="2"/>
      <c r="H66" s="6">
        <v>250.51</v>
      </c>
      <c r="I66" s="2"/>
      <c r="J66" s="7">
        <f t="shared" si="24"/>
        <v>1.4135306441774739E-2</v>
      </c>
      <c r="K66" s="2"/>
      <c r="L66" s="6">
        <f t="shared" si="25"/>
        <v>34.579999999999984</v>
      </c>
      <c r="M66" s="2"/>
      <c r="N66" s="7">
        <f t="shared" si="26"/>
        <v>0.13803840166061229</v>
      </c>
      <c r="O66" s="11"/>
      <c r="P66" s="6">
        <v>1807.95</v>
      </c>
      <c r="Q66" s="2"/>
      <c r="R66" s="7">
        <f t="shared" si="27"/>
        <v>1.2917528225204642E-3</v>
      </c>
      <c r="S66" s="2"/>
      <c r="T66" s="6">
        <v>1544.16</v>
      </c>
      <c r="U66" s="2"/>
      <c r="V66" s="7">
        <f t="shared" si="28"/>
        <v>9.8231977713677328E-4</v>
      </c>
      <c r="W66" s="2"/>
      <c r="X66" s="6">
        <f t="shared" si="29"/>
        <v>263.78999999999996</v>
      </c>
      <c r="Y66" s="2"/>
      <c r="Z66" s="7">
        <f t="shared" si="30"/>
        <v>0.17083074292819395</v>
      </c>
    </row>
    <row r="67" spans="1:26" s="24" customFormat="1" hidden="1" outlineLevel="2" x14ac:dyDescent="0.3">
      <c r="A67" s="28"/>
      <c r="B67" s="11" t="str">
        <f>CONCATENATE("          ", "6118", " - ", "VACATION")</f>
        <v xml:space="preserve">          6118 - VACATION</v>
      </c>
      <c r="C67" s="11"/>
      <c r="D67" s="6">
        <v>1532.44</v>
      </c>
      <c r="E67" s="2"/>
      <c r="F67" s="7">
        <f t="shared" si="23"/>
        <v>3.1943988166608026E-2</v>
      </c>
      <c r="G67" s="2"/>
      <c r="H67" s="6">
        <v>1613.8</v>
      </c>
      <c r="I67" s="2"/>
      <c r="J67" s="7">
        <f t="shared" si="24"/>
        <v>9.1060466790691283E-2</v>
      </c>
      <c r="K67" s="2"/>
      <c r="L67" s="6">
        <f t="shared" si="25"/>
        <v>-81.3599999999999</v>
      </c>
      <c r="M67" s="2"/>
      <c r="N67" s="7">
        <f t="shared" si="26"/>
        <v>-5.0415169165943671E-2</v>
      </c>
      <c r="O67" s="11"/>
      <c r="P67" s="6">
        <v>9233.68</v>
      </c>
      <c r="Q67" s="2"/>
      <c r="R67" s="7">
        <f t="shared" si="27"/>
        <v>6.5973241529084098E-3</v>
      </c>
      <c r="S67" s="2"/>
      <c r="T67" s="6">
        <v>7776.65</v>
      </c>
      <c r="U67" s="2"/>
      <c r="V67" s="7">
        <f t="shared" si="28"/>
        <v>4.9471279497401094E-3</v>
      </c>
      <c r="W67" s="2"/>
      <c r="X67" s="6">
        <f t="shared" si="29"/>
        <v>1457.0300000000007</v>
      </c>
      <c r="Y67" s="2"/>
      <c r="Z67" s="7">
        <f t="shared" si="30"/>
        <v>0.18735959571280703</v>
      </c>
    </row>
    <row r="68" spans="1:26" s="24" customFormat="1" hidden="1" outlineLevel="2" x14ac:dyDescent="0.3">
      <c r="A68" s="28"/>
      <c r="B68" s="11" t="str">
        <f>CONCATENATE("          ", "6119", " - ", "SICK LEAVE")</f>
        <v xml:space="preserve">          6119 - SICK LEAVE</v>
      </c>
      <c r="C68" s="11"/>
      <c r="D68" s="6">
        <v>1114.74</v>
      </c>
      <c r="E68" s="2"/>
      <c r="F68" s="7">
        <f t="shared" si="23"/>
        <v>2.3236956336851446E-2</v>
      </c>
      <c r="G68" s="2"/>
      <c r="H68" s="6">
        <v>1147.56</v>
      </c>
      <c r="I68" s="2"/>
      <c r="J68" s="7">
        <f t="shared" si="24"/>
        <v>6.4752354238645241E-2</v>
      </c>
      <c r="K68" s="2"/>
      <c r="L68" s="6">
        <f t="shared" si="25"/>
        <v>-32.819999999999936</v>
      </c>
      <c r="M68" s="2"/>
      <c r="N68" s="7">
        <f t="shared" si="26"/>
        <v>-2.8599811774547682E-2</v>
      </c>
      <c r="O68" s="11"/>
      <c r="P68" s="6">
        <v>7053.02</v>
      </c>
      <c r="Q68" s="2"/>
      <c r="R68" s="7">
        <f t="shared" si="27"/>
        <v>5.0392756947334185E-3</v>
      </c>
      <c r="S68" s="2"/>
      <c r="T68" s="6">
        <v>6444.34</v>
      </c>
      <c r="U68" s="2"/>
      <c r="V68" s="7">
        <f t="shared" si="28"/>
        <v>4.0995768784281381E-3</v>
      </c>
      <c r="W68" s="2"/>
      <c r="X68" s="6">
        <f t="shared" si="29"/>
        <v>608.68000000000029</v>
      </c>
      <c r="Y68" s="2"/>
      <c r="Z68" s="7">
        <f t="shared" si="30"/>
        <v>9.4451875599363203E-2</v>
      </c>
    </row>
    <row r="69" spans="1:26" s="24" customFormat="1" hidden="1" outlineLevel="2" x14ac:dyDescent="0.3">
      <c r="A69" s="28"/>
      <c r="B69" s="11" t="str">
        <f>CONCATENATE("          ", "6156", " - ", "EMPLOYEE MEALS")</f>
        <v xml:space="preserve">          6156 - EMPLOYEE MEALS</v>
      </c>
      <c r="C69" s="11"/>
      <c r="D69" s="6">
        <v>930.8</v>
      </c>
      <c r="E69" s="2"/>
      <c r="F69" s="7">
        <f t="shared" si="23"/>
        <v>1.9402693864346239E-2</v>
      </c>
      <c r="G69" s="2"/>
      <c r="H69" s="6">
        <v>338.42</v>
      </c>
      <c r="I69" s="2"/>
      <c r="J69" s="7">
        <f t="shared" si="24"/>
        <v>1.9095726342363208E-2</v>
      </c>
      <c r="K69" s="2"/>
      <c r="L69" s="6">
        <f t="shared" si="25"/>
        <v>592.37999999999988</v>
      </c>
      <c r="M69" s="2"/>
      <c r="N69" s="7">
        <f t="shared" si="26"/>
        <v>1.7504284616748416</v>
      </c>
      <c r="O69" s="11"/>
      <c r="P69" s="6">
        <v>4741.71</v>
      </c>
      <c r="Q69" s="2"/>
      <c r="R69" s="7">
        <f t="shared" si="27"/>
        <v>3.387879795388982E-3</v>
      </c>
      <c r="S69" s="2"/>
      <c r="T69" s="6">
        <v>2815.55</v>
      </c>
      <c r="U69" s="2"/>
      <c r="V69" s="7">
        <f t="shared" si="28"/>
        <v>1.7911164960350238E-3</v>
      </c>
      <c r="W69" s="2"/>
      <c r="X69" s="6">
        <f t="shared" si="29"/>
        <v>1926.1599999999999</v>
      </c>
      <c r="Y69" s="2"/>
      <c r="Z69" s="7">
        <f t="shared" si="30"/>
        <v>0.68411500417325199</v>
      </c>
    </row>
    <row r="70" spans="1:26" s="29" customFormat="1" outlineLevel="1" collapsed="1" x14ac:dyDescent="0.3">
      <c r="A70" s="27"/>
      <c r="B70" s="14" t="str">
        <f>CONCATENATE("     ","*Payroll                                          ")</f>
        <v xml:space="preserve">     *Payroll                                          </v>
      </c>
      <c r="C70" s="14"/>
      <c r="D70" s="1">
        <f>SUM(OSRRefD22_1x_0)</f>
        <v>25995.670000000002</v>
      </c>
      <c r="E70" s="1"/>
      <c r="F70" s="5">
        <f t="shared" ref="F70:F77" si="31">IF(D$12=0,0,D70/D$12)</f>
        <v>0.54188442931732883</v>
      </c>
      <c r="G70" s="1"/>
      <c r="H70" s="1">
        <f>SUM(OSRRefH22_1x_0)</f>
        <v>28068.31</v>
      </c>
      <c r="I70" s="1"/>
      <c r="J70" s="5">
        <f t="shared" ref="J70:J77" si="32">IF(H$12=0,0,H70/H$12)</f>
        <v>1.5837857297222879</v>
      </c>
      <c r="K70" s="1"/>
      <c r="L70" s="1">
        <f t="shared" ref="L70:L77" si="33">+D70-H70</f>
        <v>-2072.6399999999994</v>
      </c>
      <c r="M70" s="1"/>
      <c r="N70" s="5">
        <f t="shared" ref="N70:N77" si="34">IF(H70=0,0,L70/H70)</f>
        <v>-7.384270730941761E-2</v>
      </c>
      <c r="O70" s="14"/>
      <c r="P70" s="1">
        <f>SUM(OSRRefP22_1x_0)</f>
        <v>175181.91</v>
      </c>
      <c r="Q70" s="1"/>
      <c r="R70" s="5">
        <f t="shared" ref="R70:R77" si="35">IF(P$12=0,0,P70/P$12)</f>
        <v>0.1251648146779645</v>
      </c>
      <c r="S70" s="1"/>
      <c r="T70" s="1">
        <f>SUM(OSRRefT22_1x_0)</f>
        <v>165407.07</v>
      </c>
      <c r="U70" s="1"/>
      <c r="V70" s="5">
        <f t="shared" ref="V70:V77" si="36">IF(T$12=0,0,T70/T$12)</f>
        <v>0.10522396392812057</v>
      </c>
      <c r="W70" s="1"/>
      <c r="X70" s="1">
        <f t="shared" ref="X70:X77" si="37">+P70-T70</f>
        <v>9774.8399999999965</v>
      </c>
      <c r="Y70" s="1"/>
      <c r="Z70" s="5">
        <f t="shared" ref="Z70:Z77" si="38">IF(T70=0,0,X70/T70)</f>
        <v>5.9095660179459053E-2</v>
      </c>
    </row>
    <row r="71" spans="1:26" s="24" customFormat="1" hidden="1" outlineLevel="2" x14ac:dyDescent="0.3">
      <c r="A71" s="28"/>
      <c r="B71" s="11" t="str">
        <f>CONCATENATE("          ", "6001", " - ", "ADMINISTRATIVE SALARIES")</f>
        <v xml:space="preserve">          6001 - ADMINISTRATIVE SALARIES</v>
      </c>
      <c r="C71" s="11"/>
      <c r="D71" s="6"/>
      <c r="E71" s="2"/>
      <c r="F71" s="7">
        <f t="shared" si="31"/>
        <v>0</v>
      </c>
      <c r="G71" s="2"/>
      <c r="H71" s="6"/>
      <c r="I71" s="2"/>
      <c r="J71" s="7">
        <f t="shared" si="32"/>
        <v>0</v>
      </c>
      <c r="K71" s="2"/>
      <c r="L71" s="6">
        <f t="shared" si="33"/>
        <v>0</v>
      </c>
      <c r="M71" s="2"/>
      <c r="N71" s="7">
        <f t="shared" si="34"/>
        <v>0</v>
      </c>
      <c r="O71" s="11"/>
      <c r="P71" s="6"/>
      <c r="Q71" s="2"/>
      <c r="R71" s="7">
        <f t="shared" si="35"/>
        <v>0</v>
      </c>
      <c r="S71" s="2"/>
      <c r="T71" s="6">
        <v>-311.32</v>
      </c>
      <c r="U71" s="2"/>
      <c r="V71" s="7">
        <f t="shared" si="36"/>
        <v>-1.980467004832532E-4</v>
      </c>
      <c r="W71" s="2"/>
      <c r="X71" s="6">
        <f t="shared" si="37"/>
        <v>311.32</v>
      </c>
      <c r="Y71" s="2"/>
      <c r="Z71" s="7">
        <f t="shared" si="38"/>
        <v>-1</v>
      </c>
    </row>
    <row r="72" spans="1:26" s="24" customFormat="1" hidden="1" outlineLevel="2" x14ac:dyDescent="0.3">
      <c r="A72" s="28"/>
      <c r="B72" s="11" t="str">
        <f>CONCATENATE("          ", "6002", " - ", "STAFF SALARIES")</f>
        <v xml:space="preserve">          6002 - STAFF SALARIES</v>
      </c>
      <c r="C72" s="11"/>
      <c r="D72" s="6">
        <v>16929.34</v>
      </c>
      <c r="E72" s="2"/>
      <c r="F72" s="7">
        <f t="shared" si="31"/>
        <v>0.35289514540764005</v>
      </c>
      <c r="G72" s="2"/>
      <c r="H72" s="6">
        <v>18082.7</v>
      </c>
      <c r="I72" s="2"/>
      <c r="J72" s="7">
        <f t="shared" si="32"/>
        <v>1.0203365366439667</v>
      </c>
      <c r="K72" s="2"/>
      <c r="L72" s="6">
        <f t="shared" si="33"/>
        <v>-1153.3600000000006</v>
      </c>
      <c r="M72" s="2"/>
      <c r="N72" s="7">
        <f t="shared" si="34"/>
        <v>-6.3782510355201411E-2</v>
      </c>
      <c r="O72" s="11"/>
      <c r="P72" s="6">
        <v>102208.5</v>
      </c>
      <c r="Q72" s="2"/>
      <c r="R72" s="7">
        <f t="shared" si="35"/>
        <v>7.3026421284096824E-2</v>
      </c>
      <c r="S72" s="2"/>
      <c r="T72" s="6">
        <v>96498.2</v>
      </c>
      <c r="U72" s="2"/>
      <c r="V72" s="7">
        <f t="shared" si="36"/>
        <v>6.1387479482760708E-2</v>
      </c>
      <c r="W72" s="2"/>
      <c r="X72" s="6">
        <f t="shared" si="37"/>
        <v>5710.3000000000029</v>
      </c>
      <c r="Y72" s="2"/>
      <c r="Z72" s="7">
        <f t="shared" si="38"/>
        <v>5.9175197050307708E-2</v>
      </c>
    </row>
    <row r="73" spans="1:26" s="24" customFormat="1" hidden="1" outlineLevel="2" x14ac:dyDescent="0.3">
      <c r="A73" s="28"/>
      <c r="B73" s="11" t="str">
        <f>CONCATENATE("          ", "6004", " - ", "STAFF HOURLY")</f>
        <v xml:space="preserve">          6004 - STAFF HOURLY</v>
      </c>
      <c r="C73" s="11"/>
      <c r="D73" s="6">
        <v>5854.93</v>
      </c>
      <c r="E73" s="2"/>
      <c r="F73" s="7">
        <f t="shared" si="31"/>
        <v>0.122047071752446</v>
      </c>
      <c r="G73" s="2"/>
      <c r="H73" s="6">
        <v>7156.04</v>
      </c>
      <c r="I73" s="2"/>
      <c r="J73" s="7">
        <f t="shared" si="32"/>
        <v>0.40378754664323863</v>
      </c>
      <c r="K73" s="2"/>
      <c r="L73" s="6">
        <f t="shared" si="33"/>
        <v>-1301.1099999999997</v>
      </c>
      <c r="M73" s="2"/>
      <c r="N73" s="7">
        <f t="shared" si="34"/>
        <v>-0.18181983331563262</v>
      </c>
      <c r="O73" s="11"/>
      <c r="P73" s="6">
        <v>35563.129999999997</v>
      </c>
      <c r="Q73" s="2"/>
      <c r="R73" s="7">
        <f t="shared" si="35"/>
        <v>2.5409316383286147E-2</v>
      </c>
      <c r="S73" s="2"/>
      <c r="T73" s="6">
        <v>39838.050000000003</v>
      </c>
      <c r="U73" s="2"/>
      <c r="V73" s="7">
        <f t="shared" si="36"/>
        <v>2.5343037248448108E-2</v>
      </c>
      <c r="W73" s="2"/>
      <c r="X73" s="6">
        <f t="shared" si="37"/>
        <v>-4274.9200000000055</v>
      </c>
      <c r="Y73" s="2"/>
      <c r="Z73" s="7">
        <f t="shared" si="38"/>
        <v>-0.10730746108306018</v>
      </c>
    </row>
    <row r="74" spans="1:26" s="24" customFormat="1" hidden="1" outlineLevel="2" x14ac:dyDescent="0.3">
      <c r="A74" s="28"/>
      <c r="B74" s="11" t="str">
        <f>CONCATENATE("          ", "6005", " - ", "TEMPORARY WAGES-HOURLY")</f>
        <v xml:space="preserve">          6005 - TEMPORARY WAGES-HOURLY</v>
      </c>
      <c r="C74" s="11"/>
      <c r="D74" s="6">
        <v>2090.66</v>
      </c>
      <c r="E74" s="2"/>
      <c r="F74" s="7">
        <f t="shared" si="31"/>
        <v>4.3580184738326283E-2</v>
      </c>
      <c r="G74" s="2"/>
      <c r="H74" s="6"/>
      <c r="I74" s="2"/>
      <c r="J74" s="7">
        <f t="shared" si="32"/>
        <v>0</v>
      </c>
      <c r="K74" s="2"/>
      <c r="L74" s="6">
        <f t="shared" si="33"/>
        <v>2090.66</v>
      </c>
      <c r="M74" s="2"/>
      <c r="N74" s="7">
        <f t="shared" si="34"/>
        <v>0</v>
      </c>
      <c r="O74" s="11"/>
      <c r="P74" s="6">
        <v>14698.31</v>
      </c>
      <c r="Q74" s="2"/>
      <c r="R74" s="7">
        <f t="shared" si="35"/>
        <v>1.0501719311253498E-2</v>
      </c>
      <c r="S74" s="2"/>
      <c r="T74" s="6">
        <v>12838</v>
      </c>
      <c r="U74" s="2"/>
      <c r="V74" s="7">
        <f t="shared" si="36"/>
        <v>8.1669135963124903E-3</v>
      </c>
      <c r="W74" s="2"/>
      <c r="X74" s="6">
        <f t="shared" si="37"/>
        <v>1860.3099999999995</v>
      </c>
      <c r="Y74" s="2"/>
      <c r="Z74" s="7">
        <f t="shared" si="38"/>
        <v>0.14490652749649474</v>
      </c>
    </row>
    <row r="75" spans="1:26" s="24" customFormat="1" hidden="1" outlineLevel="2" x14ac:dyDescent="0.3">
      <c r="A75" s="28"/>
      <c r="B75" s="11" t="str">
        <f>CONCATENATE("          ", "6006", " - ", "TEMPORARY PART TIME")</f>
        <v xml:space="preserve">          6006 - TEMPORARY PART TIME</v>
      </c>
      <c r="C75" s="11"/>
      <c r="D75" s="6"/>
      <c r="E75" s="2"/>
      <c r="F75" s="7">
        <f t="shared" si="31"/>
        <v>0</v>
      </c>
      <c r="G75" s="2"/>
      <c r="H75" s="6"/>
      <c r="I75" s="2"/>
      <c r="J75" s="7">
        <f t="shared" si="32"/>
        <v>0</v>
      </c>
      <c r="K75" s="2"/>
      <c r="L75" s="6">
        <f t="shared" si="33"/>
        <v>0</v>
      </c>
      <c r="M75" s="2"/>
      <c r="N75" s="7">
        <f t="shared" si="34"/>
        <v>0</v>
      </c>
      <c r="O75" s="11"/>
      <c r="P75" s="6"/>
      <c r="Q75" s="2"/>
      <c r="R75" s="7">
        <f t="shared" si="35"/>
        <v>0</v>
      </c>
      <c r="S75" s="2"/>
      <c r="T75" s="6">
        <v>502.29</v>
      </c>
      <c r="U75" s="2"/>
      <c r="V75" s="7">
        <f t="shared" si="36"/>
        <v>3.1953256194826302E-4</v>
      </c>
      <c r="W75" s="2"/>
      <c r="X75" s="6">
        <f t="shared" si="37"/>
        <v>-502.29</v>
      </c>
      <c r="Y75" s="2"/>
      <c r="Z75" s="7">
        <f t="shared" si="38"/>
        <v>-1</v>
      </c>
    </row>
    <row r="76" spans="1:26" s="24" customFormat="1" hidden="1" outlineLevel="2" x14ac:dyDescent="0.3">
      <c r="A76" s="28"/>
      <c r="B76" s="11" t="str">
        <f>CONCATENATE("          ", "6007", " - ", "STUDENT HOURLY")</f>
        <v xml:space="preserve">          6007 - STUDENT HOURLY</v>
      </c>
      <c r="C76" s="11"/>
      <c r="D76" s="6">
        <v>1120.74</v>
      </c>
      <c r="E76" s="2"/>
      <c r="F76" s="7">
        <f t="shared" si="31"/>
        <v>2.3362027418916419E-2</v>
      </c>
      <c r="G76" s="2"/>
      <c r="H76" s="6">
        <v>2829.57</v>
      </c>
      <c r="I76" s="2"/>
      <c r="J76" s="7">
        <f t="shared" si="32"/>
        <v>0.15966164643508263</v>
      </c>
      <c r="K76" s="2"/>
      <c r="L76" s="6">
        <f t="shared" si="33"/>
        <v>-1708.8300000000002</v>
      </c>
      <c r="M76" s="2"/>
      <c r="N76" s="7">
        <f t="shared" si="34"/>
        <v>-0.6039186166095909</v>
      </c>
      <c r="O76" s="11"/>
      <c r="P76" s="6">
        <v>18745.490000000002</v>
      </c>
      <c r="Q76" s="2"/>
      <c r="R76" s="7">
        <f t="shared" si="35"/>
        <v>1.3393367967603716E-2</v>
      </c>
      <c r="S76" s="2"/>
      <c r="T76" s="6">
        <v>16041.85</v>
      </c>
      <c r="U76" s="2"/>
      <c r="V76" s="7">
        <f t="shared" si="36"/>
        <v>1.0205047739134252E-2</v>
      </c>
      <c r="W76" s="2"/>
      <c r="X76" s="6">
        <f t="shared" si="37"/>
        <v>2703.6400000000012</v>
      </c>
      <c r="Y76" s="2"/>
      <c r="Z76" s="7">
        <f t="shared" si="38"/>
        <v>0.16853667126921154</v>
      </c>
    </row>
    <row r="77" spans="1:26" s="24" customFormat="1" hidden="1" outlineLevel="2" x14ac:dyDescent="0.3">
      <c r="A77" s="28"/>
      <c r="B77" s="11" t="str">
        <f>CONCATENATE("          ", "6008", " - ", "STUDENT HOURLY-FICA EXEMPT")</f>
        <v xml:space="preserve">          6008 - STUDENT HOURLY-FICA EXEMPT</v>
      </c>
      <c r="C77" s="11"/>
      <c r="D77" s="6"/>
      <c r="E77" s="2"/>
      <c r="F77" s="7">
        <f t="shared" si="31"/>
        <v>0</v>
      </c>
      <c r="G77" s="2"/>
      <c r="H77" s="6"/>
      <c r="I77" s="2"/>
      <c r="J77" s="7">
        <f t="shared" si="32"/>
        <v>0</v>
      </c>
      <c r="K77" s="2"/>
      <c r="L77" s="6">
        <f t="shared" si="33"/>
        <v>0</v>
      </c>
      <c r="M77" s="2"/>
      <c r="N77" s="7">
        <f t="shared" si="34"/>
        <v>0</v>
      </c>
      <c r="O77" s="11"/>
      <c r="P77" s="6">
        <v>3966.48</v>
      </c>
      <c r="Q77" s="2"/>
      <c r="R77" s="7">
        <f t="shared" si="35"/>
        <v>2.8339897317243125E-3</v>
      </c>
      <c r="S77" s="2"/>
      <c r="T77" s="6"/>
      <c r="U77" s="2"/>
      <c r="V77" s="7">
        <f t="shared" si="36"/>
        <v>0</v>
      </c>
      <c r="W77" s="2"/>
      <c r="X77" s="6">
        <f t="shared" si="37"/>
        <v>3966.48</v>
      </c>
      <c r="Y77" s="2"/>
      <c r="Z77" s="7">
        <f t="shared" si="38"/>
        <v>0</v>
      </c>
    </row>
    <row r="78" spans="1:26" s="29" customFormat="1" outlineLevel="1" collapsed="1" x14ac:dyDescent="0.3">
      <c r="A78" s="27"/>
      <c r="B78" s="14" t="str">
        <f>CONCATENATE("     ","Advertising/Promo                                 ")</f>
        <v xml:space="preserve">     Advertising/Promo                                 </v>
      </c>
      <c r="C78" s="14"/>
      <c r="D78" s="1">
        <f>SUM(OSRRefD22_2x_0)</f>
        <v>563.54</v>
      </c>
      <c r="E78" s="1"/>
      <c r="F78" s="5">
        <f t="shared" ref="F78:F88" si="39">IF(D$12=0,0,D78/D$12)</f>
        <v>1.1747092931149204E-2</v>
      </c>
      <c r="G78" s="1"/>
      <c r="H78" s="1">
        <f>SUM(OSRRefH22_2x_0)</f>
        <v>70.56</v>
      </c>
      <c r="I78" s="1"/>
      <c r="J78" s="5">
        <f t="shared" ref="J78:J88" si="40">IF(H$12=0,0,H78/H$12)</f>
        <v>3.98142677949633E-3</v>
      </c>
      <c r="K78" s="1"/>
      <c r="L78" s="1">
        <f t="shared" ref="L78:L88" si="41">+D78-H78</f>
        <v>492.97999999999996</v>
      </c>
      <c r="M78" s="1"/>
      <c r="N78" s="5">
        <f t="shared" ref="N78:N88" si="42">IF(H78=0,0,L78/H78)</f>
        <v>6.9866780045351469</v>
      </c>
      <c r="O78" s="14"/>
      <c r="P78" s="1">
        <f>SUM(OSRRefP22_2x_0)</f>
        <v>797.25</v>
      </c>
      <c r="Q78" s="1"/>
      <c r="R78" s="5">
        <f t="shared" ref="R78:R88" si="43">IF(P$12=0,0,P78/P$12)</f>
        <v>5.6962301930608701E-4</v>
      </c>
      <c r="S78" s="1"/>
      <c r="T78" s="1">
        <f>SUM(OSRRefT22_2x_0)</f>
        <v>1430.44</v>
      </c>
      <c r="U78" s="1"/>
      <c r="V78" s="5">
        <f t="shared" ref="V78:V88" si="44">IF(T$12=0,0,T78/T$12)</f>
        <v>9.099766228936936E-4</v>
      </c>
      <c r="W78" s="1"/>
      <c r="X78" s="1">
        <f t="shared" ref="X78:X88" si="45">+P78-T78</f>
        <v>-633.19000000000005</v>
      </c>
      <c r="Y78" s="1"/>
      <c r="Z78" s="5">
        <f t="shared" ref="Z78:Z88" si="46">IF(T78=0,0,X78/T78)</f>
        <v>-0.4426540085568077</v>
      </c>
    </row>
    <row r="79" spans="1:26" s="24" customFormat="1" hidden="1" outlineLevel="2" x14ac:dyDescent="0.3">
      <c r="A79" s="28"/>
      <c r="B79" s="11" t="str">
        <f>CONCATENATE("          ", "6362", " - ", "ADVERTISING EXPENSE")</f>
        <v xml:space="preserve">          6362 - ADVERTISING EXPENSE</v>
      </c>
      <c r="C79" s="11"/>
      <c r="D79" s="6">
        <v>563.54</v>
      </c>
      <c r="E79" s="2"/>
      <c r="F79" s="7">
        <f t="shared" si="39"/>
        <v>1.1747092931149204E-2</v>
      </c>
      <c r="G79" s="2"/>
      <c r="H79" s="6">
        <v>70.56</v>
      </c>
      <c r="I79" s="2"/>
      <c r="J79" s="7">
        <f t="shared" si="40"/>
        <v>3.98142677949633E-3</v>
      </c>
      <c r="K79" s="2"/>
      <c r="L79" s="6">
        <f t="shared" si="41"/>
        <v>492.97999999999996</v>
      </c>
      <c r="M79" s="2"/>
      <c r="N79" s="7">
        <f t="shared" si="42"/>
        <v>6.9866780045351469</v>
      </c>
      <c r="O79" s="11"/>
      <c r="P79" s="6">
        <v>797.25</v>
      </c>
      <c r="Q79" s="2"/>
      <c r="R79" s="7">
        <f t="shared" si="43"/>
        <v>5.6962301930608701E-4</v>
      </c>
      <c r="S79" s="2"/>
      <c r="T79" s="6">
        <v>1430.44</v>
      </c>
      <c r="U79" s="2"/>
      <c r="V79" s="7">
        <f t="shared" si="44"/>
        <v>9.099766228936936E-4</v>
      </c>
      <c r="W79" s="2"/>
      <c r="X79" s="6">
        <f t="shared" si="45"/>
        <v>-633.19000000000005</v>
      </c>
      <c r="Y79" s="2"/>
      <c r="Z79" s="7">
        <f t="shared" si="46"/>
        <v>-0.4426540085568077</v>
      </c>
    </row>
    <row r="80" spans="1:26" s="29" customFormat="1" outlineLevel="1" collapsed="1" x14ac:dyDescent="0.3">
      <c r="A80" s="27"/>
      <c r="B80" s="14" t="str">
        <f>CONCATENATE("     ","Discounts and Markdowns                           ")</f>
        <v xml:space="preserve">     Discounts and Markdowns                           </v>
      </c>
      <c r="C80" s="14"/>
      <c r="D80" s="1">
        <f>SUM(OSRRefD22_3x_0)</f>
        <v>0</v>
      </c>
      <c r="E80" s="1"/>
      <c r="F80" s="5">
        <f t="shared" si="39"/>
        <v>0</v>
      </c>
      <c r="G80" s="1"/>
      <c r="H80" s="1">
        <f>SUM(OSRRefH22_3x_0)</f>
        <v>0</v>
      </c>
      <c r="I80" s="1"/>
      <c r="J80" s="5">
        <f t="shared" si="40"/>
        <v>0</v>
      </c>
      <c r="K80" s="1"/>
      <c r="L80" s="1">
        <f t="shared" si="41"/>
        <v>0</v>
      </c>
      <c r="M80" s="1"/>
      <c r="N80" s="5">
        <f t="shared" si="42"/>
        <v>0</v>
      </c>
      <c r="O80" s="14"/>
      <c r="P80" s="1">
        <f>SUM(OSRRefP22_3x_0)</f>
        <v>0</v>
      </c>
      <c r="Q80" s="1"/>
      <c r="R80" s="5">
        <f t="shared" si="43"/>
        <v>0</v>
      </c>
      <c r="S80" s="1"/>
      <c r="T80" s="1">
        <f>SUM(OSRRefT22_3x_0)</f>
        <v>0</v>
      </c>
      <c r="U80" s="1"/>
      <c r="V80" s="5">
        <f t="shared" si="44"/>
        <v>0</v>
      </c>
      <c r="W80" s="1"/>
      <c r="X80" s="1">
        <f t="shared" si="45"/>
        <v>0</v>
      </c>
      <c r="Y80" s="1"/>
      <c r="Z80" s="5">
        <f t="shared" si="46"/>
        <v>0</v>
      </c>
    </row>
    <row r="81" spans="1:26" s="24" customFormat="1" hidden="1" outlineLevel="2" x14ac:dyDescent="0.3">
      <c r="A81" s="28"/>
      <c r="B81" s="11" t="str">
        <f>CONCATENATE("          ", "6382", " - ", "DISCOUNTS/MARK DOWNS")</f>
        <v xml:space="preserve">          6382 - DISCOUNTS/MARK DOWNS</v>
      </c>
      <c r="C81" s="11"/>
      <c r="D81" s="6"/>
      <c r="E81" s="2"/>
      <c r="F81" s="7">
        <f t="shared" si="39"/>
        <v>0</v>
      </c>
      <c r="G81" s="2"/>
      <c r="H81" s="6">
        <v>0</v>
      </c>
      <c r="I81" s="2"/>
      <c r="J81" s="7">
        <f t="shared" si="40"/>
        <v>0</v>
      </c>
      <c r="K81" s="2"/>
      <c r="L81" s="6">
        <f t="shared" si="41"/>
        <v>0</v>
      </c>
      <c r="M81" s="2"/>
      <c r="N81" s="7">
        <f t="shared" si="42"/>
        <v>0</v>
      </c>
      <c r="O81" s="11"/>
      <c r="P81" s="6"/>
      <c r="Q81" s="2"/>
      <c r="R81" s="7">
        <f t="shared" si="43"/>
        <v>0</v>
      </c>
      <c r="S81" s="2"/>
      <c r="T81" s="6">
        <v>0</v>
      </c>
      <c r="U81" s="2"/>
      <c r="V81" s="7">
        <f t="shared" si="44"/>
        <v>0</v>
      </c>
      <c r="W81" s="2"/>
      <c r="X81" s="6">
        <f t="shared" si="45"/>
        <v>0</v>
      </c>
      <c r="Y81" s="2"/>
      <c r="Z81" s="7">
        <f t="shared" si="46"/>
        <v>0</v>
      </c>
    </row>
    <row r="82" spans="1:26" s="29" customFormat="1" outlineLevel="1" collapsed="1" x14ac:dyDescent="0.3">
      <c r="A82" s="27"/>
      <c r="B82" s="14" t="str">
        <f>CONCATENATE("     ","Employees' Appreciation                           ")</f>
        <v xml:space="preserve">     Employees' Appreciation                           </v>
      </c>
      <c r="C82" s="14"/>
      <c r="D82" s="1">
        <f>SUM(OSRRefD22_4x_0)</f>
        <v>0</v>
      </c>
      <c r="E82" s="1"/>
      <c r="F82" s="5">
        <f t="shared" si="39"/>
        <v>0</v>
      </c>
      <c r="G82" s="1"/>
      <c r="H82" s="1">
        <f>SUM(OSRRefH22_4x_0)</f>
        <v>0</v>
      </c>
      <c r="I82" s="1"/>
      <c r="J82" s="5">
        <f t="shared" si="40"/>
        <v>0</v>
      </c>
      <c r="K82" s="1"/>
      <c r="L82" s="1">
        <f t="shared" si="41"/>
        <v>0</v>
      </c>
      <c r="M82" s="1"/>
      <c r="N82" s="5">
        <f t="shared" si="42"/>
        <v>0</v>
      </c>
      <c r="O82" s="14"/>
      <c r="P82" s="1">
        <f>SUM(OSRRefP22_4x_0)</f>
        <v>0</v>
      </c>
      <c r="Q82" s="1"/>
      <c r="R82" s="5">
        <f t="shared" si="43"/>
        <v>0</v>
      </c>
      <c r="S82" s="1"/>
      <c r="T82" s="1">
        <f>SUM(OSRRefT22_4x_0)</f>
        <v>107.7</v>
      </c>
      <c r="U82" s="1"/>
      <c r="V82" s="5">
        <f t="shared" si="44"/>
        <v>6.8513521913292978E-5</v>
      </c>
      <c r="W82" s="1"/>
      <c r="X82" s="1">
        <f t="shared" si="45"/>
        <v>-107.7</v>
      </c>
      <c r="Y82" s="1"/>
      <c r="Z82" s="5">
        <f t="shared" si="46"/>
        <v>-1</v>
      </c>
    </row>
    <row r="83" spans="1:26" s="24" customFormat="1" hidden="1" outlineLevel="2" x14ac:dyDescent="0.3">
      <c r="A83" s="28"/>
      <c r="B83" s="11" t="str">
        <f>CONCATENATE("          ", "6277", " - ", "EMPLOYEE APPRECIATION")</f>
        <v xml:space="preserve">          6277 - EMPLOYEE APPRECIATION</v>
      </c>
      <c r="C83" s="11"/>
      <c r="D83" s="6"/>
      <c r="E83" s="2"/>
      <c r="F83" s="7">
        <f t="shared" si="39"/>
        <v>0</v>
      </c>
      <c r="G83" s="2"/>
      <c r="H83" s="6"/>
      <c r="I83" s="2"/>
      <c r="J83" s="7">
        <f t="shared" si="40"/>
        <v>0</v>
      </c>
      <c r="K83" s="2"/>
      <c r="L83" s="6">
        <f t="shared" si="41"/>
        <v>0</v>
      </c>
      <c r="M83" s="2"/>
      <c r="N83" s="7">
        <f t="shared" si="42"/>
        <v>0</v>
      </c>
      <c r="O83" s="11"/>
      <c r="P83" s="6"/>
      <c r="Q83" s="2"/>
      <c r="R83" s="7">
        <f t="shared" si="43"/>
        <v>0</v>
      </c>
      <c r="S83" s="2"/>
      <c r="T83" s="6">
        <v>107.7</v>
      </c>
      <c r="U83" s="2"/>
      <c r="V83" s="7">
        <f t="shared" si="44"/>
        <v>6.8513521913292978E-5</v>
      </c>
      <c r="W83" s="2"/>
      <c r="X83" s="6">
        <f t="shared" si="45"/>
        <v>-107.7</v>
      </c>
      <c r="Y83" s="2"/>
      <c r="Z83" s="7">
        <f t="shared" si="46"/>
        <v>-1</v>
      </c>
    </row>
    <row r="84" spans="1:26" s="29" customFormat="1" outlineLevel="1" collapsed="1" x14ac:dyDescent="0.3">
      <c r="A84" s="27"/>
      <c r="B84" s="14" t="str">
        <f>CONCATENATE("     ","Equipment Rental                                  ")</f>
        <v xml:space="preserve">     Equipment Rental                                  </v>
      </c>
      <c r="C84" s="14"/>
      <c r="D84" s="1">
        <f>SUM(OSRRefD22_5x_0)</f>
        <v>91.26</v>
      </c>
      <c r="E84" s="1"/>
      <c r="F84" s="5">
        <f t="shared" si="39"/>
        <v>1.9023311582082487E-3</v>
      </c>
      <c r="G84" s="1"/>
      <c r="H84" s="1">
        <f>SUM(OSRRefH22_5x_0)</f>
        <v>0</v>
      </c>
      <c r="I84" s="1"/>
      <c r="J84" s="5">
        <f t="shared" si="40"/>
        <v>0</v>
      </c>
      <c r="K84" s="1"/>
      <c r="L84" s="1">
        <f t="shared" si="41"/>
        <v>91.26</v>
      </c>
      <c r="M84" s="1"/>
      <c r="N84" s="5">
        <f t="shared" si="42"/>
        <v>0</v>
      </c>
      <c r="O84" s="14"/>
      <c r="P84" s="1">
        <f>SUM(OSRRefP22_5x_0)</f>
        <v>547.55999999999995</v>
      </c>
      <c r="Q84" s="1"/>
      <c r="R84" s="5">
        <f t="shared" si="43"/>
        <v>3.9122330567731701E-4</v>
      </c>
      <c r="S84" s="1"/>
      <c r="T84" s="1">
        <f>SUM(OSRRefT22_5x_0)</f>
        <v>547.55999999999995</v>
      </c>
      <c r="U84" s="1"/>
      <c r="V84" s="5">
        <f t="shared" si="44"/>
        <v>3.4833114260763881E-4</v>
      </c>
      <c r="W84" s="1"/>
      <c r="X84" s="1">
        <f t="shared" si="45"/>
        <v>0</v>
      </c>
      <c r="Y84" s="1"/>
      <c r="Z84" s="5">
        <f t="shared" si="46"/>
        <v>0</v>
      </c>
    </row>
    <row r="85" spans="1:26" s="24" customFormat="1" hidden="1" outlineLevel="2" x14ac:dyDescent="0.3">
      <c r="A85" s="28"/>
      <c r="B85" s="11" t="str">
        <f>CONCATENATE("          ", "6351", " - ", "EQUIPMENT RENTAL")</f>
        <v xml:space="preserve">          6351 - EQUIPMENT RENTAL</v>
      </c>
      <c r="C85" s="11"/>
      <c r="D85" s="6">
        <v>91.26</v>
      </c>
      <c r="E85" s="2"/>
      <c r="F85" s="7">
        <f t="shared" si="39"/>
        <v>1.9023311582082487E-3</v>
      </c>
      <c r="G85" s="2"/>
      <c r="H85" s="6">
        <v>0</v>
      </c>
      <c r="I85" s="2"/>
      <c r="J85" s="7">
        <f t="shared" si="40"/>
        <v>0</v>
      </c>
      <c r="K85" s="2"/>
      <c r="L85" s="6">
        <f t="shared" si="41"/>
        <v>91.26</v>
      </c>
      <c r="M85" s="2"/>
      <c r="N85" s="7">
        <f t="shared" si="42"/>
        <v>0</v>
      </c>
      <c r="O85" s="11"/>
      <c r="P85" s="6">
        <v>547.55999999999995</v>
      </c>
      <c r="Q85" s="2"/>
      <c r="R85" s="7">
        <f t="shared" si="43"/>
        <v>3.9122330567731701E-4</v>
      </c>
      <c r="S85" s="2"/>
      <c r="T85" s="6">
        <v>547.55999999999995</v>
      </c>
      <c r="U85" s="2"/>
      <c r="V85" s="7">
        <f t="shared" si="44"/>
        <v>3.4833114260763881E-4</v>
      </c>
      <c r="W85" s="2"/>
      <c r="X85" s="6">
        <f t="shared" si="45"/>
        <v>0</v>
      </c>
      <c r="Y85" s="2"/>
      <c r="Z85" s="7">
        <f t="shared" si="46"/>
        <v>0</v>
      </c>
    </row>
    <row r="86" spans="1:26" s="29" customFormat="1" outlineLevel="1" collapsed="1" x14ac:dyDescent="0.3">
      <c r="A86" s="27"/>
      <c r="B86" s="14" t="str">
        <f>CONCATENATE("     ","Freight out/Postage                               ")</f>
        <v xml:space="preserve">     Freight out/Postage                               </v>
      </c>
      <c r="C86" s="14"/>
      <c r="D86" s="1">
        <f>SUM(OSRRefD22_6x_0)</f>
        <v>1977.93</v>
      </c>
      <c r="E86" s="1"/>
      <c r="F86" s="5">
        <f t="shared" si="39"/>
        <v>4.1230307558128877E-2</v>
      </c>
      <c r="G86" s="1"/>
      <c r="H86" s="1">
        <f>SUM(OSRRefH22_6x_0)</f>
        <v>4167.2</v>
      </c>
      <c r="I86" s="1"/>
      <c r="J86" s="5">
        <f t="shared" si="40"/>
        <v>0.2351389126348796</v>
      </c>
      <c r="K86" s="1"/>
      <c r="L86" s="1">
        <f t="shared" si="41"/>
        <v>-2189.2699999999995</v>
      </c>
      <c r="M86" s="1"/>
      <c r="N86" s="5">
        <f t="shared" si="42"/>
        <v>-0.52535755423305808</v>
      </c>
      <c r="O86" s="14"/>
      <c r="P86" s="1">
        <f>SUM(OSRRefP22_6x_0)</f>
        <v>4490.78</v>
      </c>
      <c r="Q86" s="1"/>
      <c r="R86" s="5">
        <f t="shared" si="43"/>
        <v>3.2085941205887603E-3</v>
      </c>
      <c r="S86" s="1"/>
      <c r="T86" s="1">
        <f>SUM(OSRRefT22_6x_0)</f>
        <v>8898.0300000000007</v>
      </c>
      <c r="U86" s="1"/>
      <c r="V86" s="5">
        <f t="shared" si="44"/>
        <v>5.6604955746530948E-3</v>
      </c>
      <c r="W86" s="1"/>
      <c r="X86" s="1">
        <f t="shared" si="45"/>
        <v>-4407.2500000000009</v>
      </c>
      <c r="Y86" s="1"/>
      <c r="Z86" s="5">
        <f t="shared" si="46"/>
        <v>-0.49530626442032682</v>
      </c>
    </row>
    <row r="87" spans="1:26" s="24" customFormat="1" hidden="1" outlineLevel="2" x14ac:dyDescent="0.3">
      <c r="A87" s="28"/>
      <c r="B87" s="11" t="str">
        <f>CONCATENATE("          ", "6305", " - ", "FREIGHT OUT")</f>
        <v xml:space="preserve">          6305 - FREIGHT OUT</v>
      </c>
      <c r="C87" s="11"/>
      <c r="D87" s="6">
        <v>1977.93</v>
      </c>
      <c r="E87" s="2"/>
      <c r="F87" s="7">
        <f t="shared" si="39"/>
        <v>4.1230307558128877E-2</v>
      </c>
      <c r="G87" s="2"/>
      <c r="H87" s="6">
        <v>3867.2</v>
      </c>
      <c r="I87" s="2"/>
      <c r="J87" s="7">
        <f t="shared" si="40"/>
        <v>0.21821107768804146</v>
      </c>
      <c r="K87" s="2"/>
      <c r="L87" s="6">
        <f t="shared" si="41"/>
        <v>-1889.2699999999998</v>
      </c>
      <c r="M87" s="2"/>
      <c r="N87" s="7">
        <f t="shared" si="42"/>
        <v>-0.48853692594124942</v>
      </c>
      <c r="O87" s="11"/>
      <c r="P87" s="6">
        <v>4490.78</v>
      </c>
      <c r="Q87" s="2"/>
      <c r="R87" s="7">
        <f t="shared" si="43"/>
        <v>3.2085941205887603E-3</v>
      </c>
      <c r="S87" s="2"/>
      <c r="T87" s="6">
        <v>8598.0300000000007</v>
      </c>
      <c r="U87" s="2"/>
      <c r="V87" s="7">
        <f t="shared" si="44"/>
        <v>5.4696501097135607E-3</v>
      </c>
      <c r="W87" s="2"/>
      <c r="X87" s="6">
        <f t="shared" si="45"/>
        <v>-4107.2500000000009</v>
      </c>
      <c r="Y87" s="2"/>
      <c r="Z87" s="7">
        <f t="shared" si="46"/>
        <v>-0.47769663515944938</v>
      </c>
    </row>
    <row r="88" spans="1:26" s="24" customFormat="1" hidden="1" outlineLevel="2" x14ac:dyDescent="0.3">
      <c r="A88" s="28"/>
      <c r="B88" s="11" t="str">
        <f>CONCATENATE("          ", "6307", " - ", "POSTAGE")</f>
        <v xml:space="preserve">          6307 - POSTAGE</v>
      </c>
      <c r="C88" s="11"/>
      <c r="D88" s="6"/>
      <c r="E88" s="2"/>
      <c r="F88" s="7">
        <f t="shared" si="39"/>
        <v>0</v>
      </c>
      <c r="G88" s="2"/>
      <c r="H88" s="6">
        <v>300</v>
      </c>
      <c r="I88" s="2"/>
      <c r="J88" s="7">
        <f t="shared" si="40"/>
        <v>1.6927834946838138E-2</v>
      </c>
      <c r="K88" s="2"/>
      <c r="L88" s="6">
        <f t="shared" si="41"/>
        <v>-300</v>
      </c>
      <c r="M88" s="2"/>
      <c r="N88" s="7">
        <f t="shared" si="42"/>
        <v>-1</v>
      </c>
      <c r="O88" s="11"/>
      <c r="P88" s="6"/>
      <c r="Q88" s="2"/>
      <c r="R88" s="7">
        <f t="shared" si="43"/>
        <v>0</v>
      </c>
      <c r="S88" s="2"/>
      <c r="T88" s="6">
        <v>300</v>
      </c>
      <c r="U88" s="2"/>
      <c r="V88" s="7">
        <f t="shared" si="44"/>
        <v>1.9084546493953474E-4</v>
      </c>
      <c r="W88" s="2"/>
      <c r="X88" s="6">
        <f t="shared" si="45"/>
        <v>-300</v>
      </c>
      <c r="Y88" s="2"/>
      <c r="Z88" s="7">
        <f t="shared" si="46"/>
        <v>-1</v>
      </c>
    </row>
    <row r="89" spans="1:26" s="29" customFormat="1" outlineLevel="1" collapsed="1" x14ac:dyDescent="0.3">
      <c r="A89" s="27"/>
      <c r="B89" s="14" t="str">
        <f>CONCATENATE("     ","General                                           ")</f>
        <v xml:space="preserve">     General                                           </v>
      </c>
      <c r="C89" s="14"/>
      <c r="D89" s="1">
        <f>SUM(OSRRefD22_7x_0)</f>
        <v>0</v>
      </c>
      <c r="E89" s="1"/>
      <c r="F89" s="5">
        <f t="shared" ref="F89:F96" si="47">IF(D$12=0,0,D89/D$12)</f>
        <v>0</v>
      </c>
      <c r="G89" s="1"/>
      <c r="H89" s="1">
        <f>SUM(OSRRefH22_7x_0)</f>
        <v>-0.99</v>
      </c>
      <c r="I89" s="1"/>
      <c r="J89" s="5">
        <f t="shared" ref="J89:J96" si="48">IF(H$12=0,0,H89/H$12)</f>
        <v>-5.5861855324565852E-5</v>
      </c>
      <c r="K89" s="1"/>
      <c r="L89" s="1">
        <f t="shared" ref="L89:L96" si="49">+D89-H89</f>
        <v>0.99</v>
      </c>
      <c r="M89" s="1"/>
      <c r="N89" s="5">
        <f t="shared" ref="N89:N96" si="50">IF(H89=0,0,L89/H89)</f>
        <v>-1</v>
      </c>
      <c r="O89" s="14"/>
      <c r="P89" s="1">
        <f>SUM(OSRRefP22_7x_0)</f>
        <v>0</v>
      </c>
      <c r="Q89" s="1"/>
      <c r="R89" s="5">
        <f t="shared" ref="R89:R96" si="51">IF(P$12=0,0,P89/P$12)</f>
        <v>0</v>
      </c>
      <c r="S89" s="1"/>
      <c r="T89" s="1">
        <f>SUM(OSRRefT22_7x_0)</f>
        <v>-1042.45</v>
      </c>
      <c r="U89" s="1"/>
      <c r="V89" s="5">
        <f t="shared" ref="V89:V96" si="52">IF(T$12=0,0,T89/T$12)</f>
        <v>-6.6315618308739337E-4</v>
      </c>
      <c r="W89" s="1"/>
      <c r="X89" s="1">
        <f t="shared" ref="X89:X96" si="53">+P89-T89</f>
        <v>1042.45</v>
      </c>
      <c r="Y89" s="1"/>
      <c r="Z89" s="5">
        <f t="shared" ref="Z89:Z96" si="54">IF(T89=0,0,X89/T89)</f>
        <v>-1</v>
      </c>
    </row>
    <row r="90" spans="1:26" s="24" customFormat="1" hidden="1" outlineLevel="2" x14ac:dyDescent="0.3">
      <c r="A90" s="28"/>
      <c r="B90" s="11" t="str">
        <f>CONCATENATE("          ", "6279", " - ", "GENERAL EXPENSE")</f>
        <v xml:space="preserve">          6279 - GENERAL EXPENSE</v>
      </c>
      <c r="C90" s="11"/>
      <c r="D90" s="6"/>
      <c r="E90" s="2"/>
      <c r="F90" s="7">
        <f t="shared" si="47"/>
        <v>0</v>
      </c>
      <c r="G90" s="2"/>
      <c r="H90" s="6">
        <v>-0.99</v>
      </c>
      <c r="I90" s="2"/>
      <c r="J90" s="7">
        <f t="shared" si="48"/>
        <v>-5.5861855324565852E-5</v>
      </c>
      <c r="K90" s="2"/>
      <c r="L90" s="6">
        <f t="shared" si="49"/>
        <v>0.99</v>
      </c>
      <c r="M90" s="2"/>
      <c r="N90" s="7">
        <f t="shared" si="50"/>
        <v>-1</v>
      </c>
      <c r="O90" s="11"/>
      <c r="P90" s="6"/>
      <c r="Q90" s="2"/>
      <c r="R90" s="7">
        <f t="shared" si="51"/>
        <v>0</v>
      </c>
      <c r="S90" s="2"/>
      <c r="T90" s="6">
        <v>-1042.45</v>
      </c>
      <c r="U90" s="2"/>
      <c r="V90" s="7">
        <f t="shared" si="52"/>
        <v>-6.6315618308739337E-4</v>
      </c>
      <c r="W90" s="2"/>
      <c r="X90" s="6">
        <f t="shared" si="53"/>
        <v>1042.45</v>
      </c>
      <c r="Y90" s="2"/>
      <c r="Z90" s="7">
        <f t="shared" si="54"/>
        <v>-1</v>
      </c>
    </row>
    <row r="91" spans="1:26" s="29" customFormat="1" outlineLevel="1" collapsed="1" x14ac:dyDescent="0.3">
      <c r="A91" s="27"/>
      <c r="B91" s="14" t="str">
        <f>CONCATENATE("     ","Inventory Adjustment                              ")</f>
        <v xml:space="preserve">     Inventory Adjustment                              </v>
      </c>
      <c r="C91" s="14"/>
      <c r="D91" s="1">
        <f>SUM(OSRRefD22_8x_0)</f>
        <v>5000</v>
      </c>
      <c r="E91" s="1"/>
      <c r="F91" s="5">
        <f t="shared" si="47"/>
        <v>0.10422590172081134</v>
      </c>
      <c r="G91" s="1"/>
      <c r="H91" s="1">
        <f>SUM(OSRRefH22_8x_0)</f>
        <v>6000</v>
      </c>
      <c r="I91" s="1"/>
      <c r="J91" s="5">
        <f t="shared" si="48"/>
        <v>0.33855669893676271</v>
      </c>
      <c r="K91" s="1"/>
      <c r="L91" s="1">
        <f t="shared" si="49"/>
        <v>-1000</v>
      </c>
      <c r="M91" s="1"/>
      <c r="N91" s="5">
        <f t="shared" si="50"/>
        <v>-0.16666666666666666</v>
      </c>
      <c r="O91" s="14"/>
      <c r="P91" s="1">
        <f>SUM(OSRRefP22_8x_0)</f>
        <v>10000</v>
      </c>
      <c r="Q91" s="1"/>
      <c r="R91" s="5">
        <f t="shared" si="51"/>
        <v>7.1448481568653121E-3</v>
      </c>
      <c r="S91" s="1"/>
      <c r="T91" s="1">
        <f>SUM(OSRRefT22_8x_0)</f>
        <v>11000</v>
      </c>
      <c r="U91" s="1"/>
      <c r="V91" s="5">
        <f t="shared" si="52"/>
        <v>6.9976670477829407E-3</v>
      </c>
      <c r="W91" s="1"/>
      <c r="X91" s="1">
        <f t="shared" si="53"/>
        <v>-1000</v>
      </c>
      <c r="Y91" s="1"/>
      <c r="Z91" s="5">
        <f t="shared" si="54"/>
        <v>-9.0909090909090912E-2</v>
      </c>
    </row>
    <row r="92" spans="1:26" s="24" customFormat="1" hidden="1" outlineLevel="2" x14ac:dyDescent="0.3">
      <c r="A92" s="28"/>
      <c r="B92" s="11" t="str">
        <f>CONCATENATE("          ", "6408", " - ", "INVENTORY ADJUSTMENT")</f>
        <v xml:space="preserve">          6408 - INVENTORY ADJUSTMENT</v>
      </c>
      <c r="C92" s="11"/>
      <c r="D92" s="6">
        <v>5000</v>
      </c>
      <c r="E92" s="2"/>
      <c r="F92" s="7">
        <f t="shared" si="47"/>
        <v>0.10422590172081134</v>
      </c>
      <c r="G92" s="2"/>
      <c r="H92" s="6">
        <v>6000</v>
      </c>
      <c r="I92" s="2"/>
      <c r="J92" s="7">
        <f t="shared" si="48"/>
        <v>0.33855669893676271</v>
      </c>
      <c r="K92" s="2"/>
      <c r="L92" s="6">
        <f t="shared" si="49"/>
        <v>-1000</v>
      </c>
      <c r="M92" s="2"/>
      <c r="N92" s="7">
        <f t="shared" si="50"/>
        <v>-0.16666666666666666</v>
      </c>
      <c r="O92" s="11"/>
      <c r="P92" s="6">
        <v>10000</v>
      </c>
      <c r="Q92" s="2"/>
      <c r="R92" s="7">
        <f t="shared" si="51"/>
        <v>7.1448481568653121E-3</v>
      </c>
      <c r="S92" s="2"/>
      <c r="T92" s="6">
        <v>11000</v>
      </c>
      <c r="U92" s="2"/>
      <c r="V92" s="7">
        <f t="shared" si="52"/>
        <v>6.9976670477829407E-3</v>
      </c>
      <c r="W92" s="2"/>
      <c r="X92" s="6">
        <f t="shared" si="53"/>
        <v>-1000</v>
      </c>
      <c r="Y92" s="2"/>
      <c r="Z92" s="7">
        <f t="shared" si="54"/>
        <v>-9.0909090909090912E-2</v>
      </c>
    </row>
    <row r="93" spans="1:26" s="29" customFormat="1" outlineLevel="1" collapsed="1" x14ac:dyDescent="0.3">
      <c r="A93" s="27"/>
      <c r="B93" s="14" t="str">
        <f>CONCATENATE("     ","Repair and Maintenance                            ")</f>
        <v xml:space="preserve">     Repair and Maintenance                            </v>
      </c>
      <c r="C93" s="14"/>
      <c r="D93" s="1">
        <f>SUM(OSRRefD22_9x_0)</f>
        <v>14.62</v>
      </c>
      <c r="E93" s="1"/>
      <c r="F93" s="5">
        <f t="shared" si="47"/>
        <v>3.0475653663165236E-4</v>
      </c>
      <c r="G93" s="1"/>
      <c r="H93" s="1">
        <f>SUM(OSRRefH22_9x_0)</f>
        <v>15.84</v>
      </c>
      <c r="I93" s="1"/>
      <c r="J93" s="5">
        <f t="shared" si="48"/>
        <v>8.9378968519305364E-4</v>
      </c>
      <c r="K93" s="1"/>
      <c r="L93" s="1">
        <f t="shared" si="49"/>
        <v>-1.2200000000000006</v>
      </c>
      <c r="M93" s="1"/>
      <c r="N93" s="5">
        <f t="shared" si="50"/>
        <v>-7.7020202020202058E-2</v>
      </c>
      <c r="O93" s="14"/>
      <c r="P93" s="1">
        <f>SUM(OSRRefP22_9x_0)</f>
        <v>5869.06</v>
      </c>
      <c r="Q93" s="1"/>
      <c r="R93" s="5">
        <f t="shared" si="51"/>
        <v>4.1933542523531929E-3</v>
      </c>
      <c r="S93" s="1"/>
      <c r="T93" s="1">
        <f>SUM(OSRRefT22_9x_0)</f>
        <v>149.47</v>
      </c>
      <c r="U93" s="1"/>
      <c r="V93" s="5">
        <f t="shared" si="52"/>
        <v>9.5085572148374199E-5</v>
      </c>
      <c r="W93" s="1"/>
      <c r="X93" s="1">
        <f t="shared" si="53"/>
        <v>5719.59</v>
      </c>
      <c r="Y93" s="1"/>
      <c r="Z93" s="5">
        <f t="shared" si="54"/>
        <v>38.265805847327222</v>
      </c>
    </row>
    <row r="94" spans="1:26" s="24" customFormat="1" hidden="1" outlineLevel="2" x14ac:dyDescent="0.3">
      <c r="A94" s="28"/>
      <c r="B94" s="11" t="str">
        <f>CONCATENATE("          ", "6371", " - ", "COMPUTER SOFTWARE MAINTENANCE")</f>
        <v xml:space="preserve">          6371 - COMPUTER SOFTWARE MAINTENANCE</v>
      </c>
      <c r="C94" s="11"/>
      <c r="D94" s="6"/>
      <c r="E94" s="2"/>
      <c r="F94" s="7">
        <f t="shared" si="47"/>
        <v>0</v>
      </c>
      <c r="G94" s="2"/>
      <c r="H94" s="6"/>
      <c r="I94" s="2"/>
      <c r="J94" s="7">
        <f t="shared" si="48"/>
        <v>0</v>
      </c>
      <c r="K94" s="2"/>
      <c r="L94" s="6">
        <f t="shared" si="49"/>
        <v>0</v>
      </c>
      <c r="M94" s="2"/>
      <c r="N94" s="7">
        <f t="shared" si="50"/>
        <v>0</v>
      </c>
      <c r="O94" s="11"/>
      <c r="P94" s="6">
        <v>5775</v>
      </c>
      <c r="Q94" s="2"/>
      <c r="R94" s="7">
        <f t="shared" si="51"/>
        <v>4.1261498105897177E-3</v>
      </c>
      <c r="S94" s="2"/>
      <c r="T94" s="6"/>
      <c r="U94" s="2"/>
      <c r="V94" s="7">
        <f t="shared" si="52"/>
        <v>0</v>
      </c>
      <c r="W94" s="2"/>
      <c r="X94" s="6">
        <f t="shared" si="53"/>
        <v>5775</v>
      </c>
      <c r="Y94" s="2"/>
      <c r="Z94" s="7">
        <f t="shared" si="54"/>
        <v>0</v>
      </c>
    </row>
    <row r="95" spans="1:26" s="24" customFormat="1" hidden="1" outlineLevel="2" x14ac:dyDescent="0.3">
      <c r="A95" s="28"/>
      <c r="B95" s="11" t="str">
        <f>CONCATENATE("          ", "6373", " - ", "MAINTENANCE CONTRACTS")</f>
        <v xml:space="preserve">          6373 - MAINTENANCE CONTRACTS</v>
      </c>
      <c r="C95" s="11"/>
      <c r="D95" s="6">
        <v>14.62</v>
      </c>
      <c r="E95" s="2"/>
      <c r="F95" s="7">
        <f t="shared" si="47"/>
        <v>3.0475653663165236E-4</v>
      </c>
      <c r="G95" s="2"/>
      <c r="H95" s="6">
        <v>15.84</v>
      </c>
      <c r="I95" s="2"/>
      <c r="J95" s="7">
        <f t="shared" si="48"/>
        <v>8.9378968519305364E-4</v>
      </c>
      <c r="K95" s="2"/>
      <c r="L95" s="6">
        <f t="shared" si="49"/>
        <v>-1.2200000000000006</v>
      </c>
      <c r="M95" s="2"/>
      <c r="N95" s="7">
        <f t="shared" si="50"/>
        <v>-7.7020202020202058E-2</v>
      </c>
      <c r="O95" s="11"/>
      <c r="P95" s="6">
        <v>94.06</v>
      </c>
      <c r="Q95" s="2"/>
      <c r="R95" s="7">
        <f t="shared" si="51"/>
        <v>6.7204441763475128E-5</v>
      </c>
      <c r="S95" s="2"/>
      <c r="T95" s="6">
        <v>124.36</v>
      </c>
      <c r="U95" s="2"/>
      <c r="V95" s="7">
        <f t="shared" si="52"/>
        <v>7.9111806732935143E-5</v>
      </c>
      <c r="W95" s="2"/>
      <c r="X95" s="6">
        <f t="shared" si="53"/>
        <v>-30.299999999999997</v>
      </c>
      <c r="Y95" s="2"/>
      <c r="Z95" s="7">
        <f t="shared" si="54"/>
        <v>-0.24364747507237053</v>
      </c>
    </row>
    <row r="96" spans="1:26" s="24" customFormat="1" hidden="1" outlineLevel="2" x14ac:dyDescent="0.3">
      <c r="A96" s="28"/>
      <c r="B96" s="11" t="str">
        <f>CONCATENATE("          ", "6375", " - ", "OUTSIDE REPAIRS &amp; MAINTENANCE")</f>
        <v xml:space="preserve">          6375 - OUTSIDE REPAIRS &amp; MAINTENANCE</v>
      </c>
      <c r="C96" s="11"/>
      <c r="D96" s="6"/>
      <c r="E96" s="2"/>
      <c r="F96" s="7">
        <f t="shared" si="47"/>
        <v>0</v>
      </c>
      <c r="G96" s="2"/>
      <c r="H96" s="6"/>
      <c r="I96" s="2"/>
      <c r="J96" s="7">
        <f t="shared" si="48"/>
        <v>0</v>
      </c>
      <c r="K96" s="2"/>
      <c r="L96" s="6">
        <f t="shared" si="49"/>
        <v>0</v>
      </c>
      <c r="M96" s="2"/>
      <c r="N96" s="7">
        <f t="shared" si="50"/>
        <v>0</v>
      </c>
      <c r="O96" s="11"/>
      <c r="P96" s="6"/>
      <c r="Q96" s="2"/>
      <c r="R96" s="7">
        <f t="shared" si="51"/>
        <v>0</v>
      </c>
      <c r="S96" s="2"/>
      <c r="T96" s="6">
        <v>25.11</v>
      </c>
      <c r="U96" s="2"/>
      <c r="V96" s="7">
        <f t="shared" si="52"/>
        <v>1.5973765415439059E-5</v>
      </c>
      <c r="W96" s="2"/>
      <c r="X96" s="6">
        <f t="shared" si="53"/>
        <v>-25.11</v>
      </c>
      <c r="Y96" s="2"/>
      <c r="Z96" s="7">
        <f t="shared" si="54"/>
        <v>-1</v>
      </c>
    </row>
    <row r="97" spans="1:26" s="29" customFormat="1" outlineLevel="1" collapsed="1" x14ac:dyDescent="0.3">
      <c r="A97" s="27"/>
      <c r="B97" s="14" t="str">
        <f>CONCATENATE("     ","Subscriptions &amp; Dues                              ")</f>
        <v xml:space="preserve">     Subscriptions &amp; Dues                              </v>
      </c>
      <c r="C97" s="14"/>
      <c r="D97" s="1">
        <f>SUM(OSRRefD22_10x_0)</f>
        <v>286.24</v>
      </c>
      <c r="E97" s="1"/>
      <c r="F97" s="5">
        <f t="shared" ref="F97:F101" si="55">IF(D$12=0,0,D97/D$12)</f>
        <v>5.9667244217130079E-3</v>
      </c>
      <c r="G97" s="1"/>
      <c r="H97" s="1">
        <f>SUM(OSRRefH22_10x_0)</f>
        <v>141.16</v>
      </c>
      <c r="I97" s="1"/>
      <c r="J97" s="5">
        <f t="shared" ref="J97:J101" si="56">IF(H$12=0,0,H97/H$12)</f>
        <v>7.9651106036522385E-3</v>
      </c>
      <c r="K97" s="1"/>
      <c r="L97" s="1">
        <f t="shared" ref="L97:L101" si="57">+D97-H97</f>
        <v>145.08000000000001</v>
      </c>
      <c r="M97" s="1"/>
      <c r="N97" s="5">
        <f t="shared" ref="N97:N101" si="58">IF(H97=0,0,L97/H97)</f>
        <v>1.0277699064890906</v>
      </c>
      <c r="O97" s="14"/>
      <c r="P97" s="1">
        <f>SUM(OSRRefP22_10x_0)</f>
        <v>1511.74</v>
      </c>
      <c r="Q97" s="1"/>
      <c r="R97" s="5">
        <f t="shared" ref="R97:R101" si="59">IF(P$12=0,0,P97/P$12)</f>
        <v>1.0801152752659567E-3</v>
      </c>
      <c r="S97" s="1"/>
      <c r="T97" s="1">
        <f>SUM(OSRRefT22_10x_0)</f>
        <v>1731.44</v>
      </c>
      <c r="U97" s="1"/>
      <c r="V97" s="5">
        <f t="shared" ref="V97:V101" si="60">IF(T$12=0,0,T97/T$12)</f>
        <v>1.1014582393830269E-3</v>
      </c>
      <c r="W97" s="1"/>
      <c r="X97" s="1">
        <f t="shared" ref="X97:X101" si="61">+P97-T97</f>
        <v>-219.70000000000005</v>
      </c>
      <c r="Y97" s="1"/>
      <c r="Z97" s="5">
        <f t="shared" ref="Z97:Z101" si="62">IF(T97=0,0,X97/T97)</f>
        <v>-0.12688860139537034</v>
      </c>
    </row>
    <row r="98" spans="1:26" s="24" customFormat="1" hidden="1" outlineLevel="2" x14ac:dyDescent="0.3">
      <c r="A98" s="28"/>
      <c r="B98" s="11" t="str">
        <f>CONCATENATE("          ", "6258", " - ", "MEMBERSHIP DUES")</f>
        <v xml:space="preserve">          6258 - MEMBERSHIP DUES</v>
      </c>
      <c r="C98" s="11"/>
      <c r="D98" s="6">
        <v>286.24</v>
      </c>
      <c r="E98" s="2"/>
      <c r="F98" s="7">
        <f t="shared" si="55"/>
        <v>5.9667244217130079E-3</v>
      </c>
      <c r="G98" s="2"/>
      <c r="H98" s="6">
        <v>141.16</v>
      </c>
      <c r="I98" s="2"/>
      <c r="J98" s="7">
        <f t="shared" si="56"/>
        <v>7.9651106036522385E-3</v>
      </c>
      <c r="K98" s="2"/>
      <c r="L98" s="6">
        <f t="shared" si="57"/>
        <v>145.08000000000001</v>
      </c>
      <c r="M98" s="2"/>
      <c r="N98" s="7">
        <f t="shared" si="58"/>
        <v>1.0277699064890906</v>
      </c>
      <c r="O98" s="11"/>
      <c r="P98" s="6">
        <v>1511.74</v>
      </c>
      <c r="Q98" s="2"/>
      <c r="R98" s="7">
        <f t="shared" si="59"/>
        <v>1.0801152752659567E-3</v>
      </c>
      <c r="S98" s="2"/>
      <c r="T98" s="6">
        <v>1731.44</v>
      </c>
      <c r="U98" s="2"/>
      <c r="V98" s="7">
        <f t="shared" si="60"/>
        <v>1.1014582393830269E-3</v>
      </c>
      <c r="W98" s="2"/>
      <c r="X98" s="6">
        <f t="shared" si="61"/>
        <v>-219.70000000000005</v>
      </c>
      <c r="Y98" s="2"/>
      <c r="Z98" s="7">
        <f t="shared" si="62"/>
        <v>-0.12688860139537034</v>
      </c>
    </row>
    <row r="99" spans="1:26" s="29" customFormat="1" outlineLevel="1" collapsed="1" x14ac:dyDescent="0.3">
      <c r="A99" s="27"/>
      <c r="B99" s="14" t="str">
        <f>CONCATENATE("     ","Supplies                                          ")</f>
        <v xml:space="preserve">     Supplies                                          </v>
      </c>
      <c r="C99" s="14"/>
      <c r="D99" s="1">
        <f>SUM(OSRRefD22_11x_0)</f>
        <v>131.44</v>
      </c>
      <c r="E99" s="1"/>
      <c r="F99" s="5">
        <f t="shared" si="55"/>
        <v>2.7398905044366886E-3</v>
      </c>
      <c r="G99" s="1"/>
      <c r="H99" s="1">
        <f>SUM(OSRRefH22_11x_0)</f>
        <v>522.95000000000005</v>
      </c>
      <c r="I99" s="1"/>
      <c r="J99" s="5">
        <f t="shared" si="56"/>
        <v>2.9508037618163348E-2</v>
      </c>
      <c r="K99" s="1"/>
      <c r="L99" s="1">
        <f t="shared" si="57"/>
        <v>-391.51000000000005</v>
      </c>
      <c r="M99" s="1"/>
      <c r="N99" s="5">
        <f t="shared" si="58"/>
        <v>-0.74865665933645664</v>
      </c>
      <c r="O99" s="14"/>
      <c r="P99" s="1">
        <f>SUM(OSRRefP22_11x_0)</f>
        <v>1075.77</v>
      </c>
      <c r="Q99" s="1"/>
      <c r="R99" s="5">
        <f t="shared" si="59"/>
        <v>7.686213301710997E-4</v>
      </c>
      <c r="S99" s="1"/>
      <c r="T99" s="1">
        <f>SUM(OSRRefT22_11x_0)</f>
        <v>2069.64</v>
      </c>
      <c r="U99" s="1"/>
      <c r="V99" s="5">
        <f t="shared" si="60"/>
        <v>1.3166046935248622E-3</v>
      </c>
      <c r="W99" s="1"/>
      <c r="X99" s="1">
        <f t="shared" si="61"/>
        <v>-993.86999999999989</v>
      </c>
      <c r="Y99" s="1"/>
      <c r="Z99" s="5">
        <f t="shared" si="62"/>
        <v>-0.48021395025221775</v>
      </c>
    </row>
    <row r="100" spans="1:26" s="24" customFormat="1" hidden="1" outlineLevel="2" x14ac:dyDescent="0.3">
      <c r="A100" s="28"/>
      <c r="B100" s="11" t="str">
        <f>CONCATENATE("          ", "6241", " - ", "OFFICE EXPENSE")</f>
        <v xml:space="preserve">          6241 - OFFICE EXPENSE</v>
      </c>
      <c r="C100" s="11"/>
      <c r="D100" s="6">
        <v>131.44</v>
      </c>
      <c r="E100" s="2"/>
      <c r="F100" s="7">
        <f t="shared" si="55"/>
        <v>2.7398905044366886E-3</v>
      </c>
      <c r="G100" s="2"/>
      <c r="H100" s="6">
        <v>210.77</v>
      </c>
      <c r="I100" s="2"/>
      <c r="J100" s="7">
        <f t="shared" si="56"/>
        <v>1.1892932572483582E-2</v>
      </c>
      <c r="K100" s="2"/>
      <c r="L100" s="6">
        <f t="shared" si="57"/>
        <v>-79.330000000000013</v>
      </c>
      <c r="M100" s="2"/>
      <c r="N100" s="7">
        <f t="shared" si="58"/>
        <v>-0.37638183802248903</v>
      </c>
      <c r="O100" s="11"/>
      <c r="P100" s="6">
        <v>1075.77</v>
      </c>
      <c r="Q100" s="2"/>
      <c r="R100" s="7">
        <f t="shared" si="59"/>
        <v>7.686213301710997E-4</v>
      </c>
      <c r="S100" s="2"/>
      <c r="T100" s="6">
        <v>1124.3599999999999</v>
      </c>
      <c r="U100" s="2"/>
      <c r="V100" s="7">
        <f t="shared" si="60"/>
        <v>7.1526335653138422E-4</v>
      </c>
      <c r="W100" s="2"/>
      <c r="X100" s="6">
        <f t="shared" si="61"/>
        <v>-48.589999999999918</v>
      </c>
      <c r="Y100" s="2"/>
      <c r="Z100" s="7">
        <f t="shared" si="62"/>
        <v>-4.3215696040414031E-2</v>
      </c>
    </row>
    <row r="101" spans="1:26" s="24" customFormat="1" hidden="1" outlineLevel="2" x14ac:dyDescent="0.3">
      <c r="A101" s="28"/>
      <c r="B101" s="11" t="str">
        <f>CONCATENATE("          ", "6247", " - ", "STORE SUPPLIES")</f>
        <v xml:space="preserve">          6247 - STORE SUPPLIES</v>
      </c>
      <c r="C101" s="11"/>
      <c r="D101" s="6"/>
      <c r="E101" s="2"/>
      <c r="F101" s="7">
        <f t="shared" si="55"/>
        <v>0</v>
      </c>
      <c r="G101" s="2"/>
      <c r="H101" s="6">
        <v>312.18</v>
      </c>
      <c r="I101" s="2"/>
      <c r="J101" s="7">
        <f t="shared" si="56"/>
        <v>1.7615105045679764E-2</v>
      </c>
      <c r="K101" s="2"/>
      <c r="L101" s="6">
        <f t="shared" si="57"/>
        <v>-312.18</v>
      </c>
      <c r="M101" s="2"/>
      <c r="N101" s="7">
        <f t="shared" si="58"/>
        <v>-1</v>
      </c>
      <c r="O101" s="11"/>
      <c r="P101" s="6"/>
      <c r="Q101" s="2"/>
      <c r="R101" s="7">
        <f t="shared" si="59"/>
        <v>0</v>
      </c>
      <c r="S101" s="2"/>
      <c r="T101" s="6">
        <v>945.28</v>
      </c>
      <c r="U101" s="2"/>
      <c r="V101" s="7">
        <f t="shared" si="60"/>
        <v>6.0134133699347796E-4</v>
      </c>
      <c r="W101" s="2"/>
      <c r="X101" s="6">
        <f t="shared" si="61"/>
        <v>-945.28</v>
      </c>
      <c r="Y101" s="2"/>
      <c r="Z101" s="7">
        <f t="shared" si="62"/>
        <v>-1</v>
      </c>
    </row>
    <row r="102" spans="1:26" s="29" customFormat="1" outlineLevel="1" collapsed="1" x14ac:dyDescent="0.3">
      <c r="A102" s="27"/>
      <c r="B102" s="14" t="str">
        <f>CONCATENATE("     ","Telephone/Data Lines                              ")</f>
        <v xml:space="preserve">     Telephone/Data Lines                              </v>
      </c>
      <c r="C102" s="14"/>
      <c r="D102" s="1">
        <f>SUM(OSRRefD22_12x_0)</f>
        <v>61.5</v>
      </c>
      <c r="E102" s="1"/>
      <c r="F102" s="5">
        <f t="shared" ref="F102:F104" si="63">IF(D$12=0,0,D102/D$12)</f>
        <v>1.2819785911659795E-3</v>
      </c>
      <c r="G102" s="1"/>
      <c r="H102" s="1">
        <f>SUM(OSRRefH22_12x_0)</f>
        <v>462</v>
      </c>
      <c r="I102" s="1"/>
      <c r="J102" s="5">
        <f t="shared" ref="J102:J104" si="64">IF(H$12=0,0,H102/H$12)</f>
        <v>2.606886581813073E-2</v>
      </c>
      <c r="K102" s="1"/>
      <c r="L102" s="1">
        <f t="shared" ref="L102:L104" si="65">+D102-H102</f>
        <v>-400.5</v>
      </c>
      <c r="M102" s="1"/>
      <c r="N102" s="5">
        <f t="shared" ref="N102:N104" si="66">IF(H102=0,0,L102/H102)</f>
        <v>-0.86688311688311692</v>
      </c>
      <c r="O102" s="14"/>
      <c r="P102" s="1">
        <f>SUM(OSRRefP22_12x_0)</f>
        <v>3078.85</v>
      </c>
      <c r="Q102" s="1"/>
      <c r="R102" s="5">
        <f t="shared" ref="R102:R104" si="67">IF(P$12=0,0,P102/P$12)</f>
        <v>2.1997915747764764E-3</v>
      </c>
      <c r="S102" s="1"/>
      <c r="T102" s="1">
        <f>SUM(OSRRefT22_12x_0)</f>
        <v>5042.5</v>
      </c>
      <c r="U102" s="1"/>
      <c r="V102" s="5">
        <f t="shared" ref="V102:V104" si="68">IF(T$12=0,0,T102/T$12)</f>
        <v>3.2077941898586799E-3</v>
      </c>
      <c r="W102" s="1"/>
      <c r="X102" s="1">
        <f t="shared" ref="X102:X104" si="69">+P102-T102</f>
        <v>-1963.65</v>
      </c>
      <c r="Y102" s="1"/>
      <c r="Z102" s="5">
        <f t="shared" ref="Z102:Z104" si="70">IF(T102=0,0,X102/T102)</f>
        <v>-0.38941993058998514</v>
      </c>
    </row>
    <row r="103" spans="1:26" s="24" customFormat="1" hidden="1" outlineLevel="2" x14ac:dyDescent="0.3">
      <c r="A103" s="28"/>
      <c r="B103" s="11" t="str">
        <f>CONCATENATE("          ", "6303", " - ", "DATA PHONE LINES")</f>
        <v xml:space="preserve">          6303 - DATA PHONE LINES</v>
      </c>
      <c r="C103" s="11"/>
      <c r="D103" s="6"/>
      <c r="E103" s="2"/>
      <c r="F103" s="7">
        <f t="shared" si="63"/>
        <v>0</v>
      </c>
      <c r="G103" s="2"/>
      <c r="H103" s="6"/>
      <c r="I103" s="2"/>
      <c r="J103" s="7">
        <f t="shared" si="64"/>
        <v>0</v>
      </c>
      <c r="K103" s="2"/>
      <c r="L103" s="6">
        <f t="shared" si="65"/>
        <v>0</v>
      </c>
      <c r="M103" s="2"/>
      <c r="N103" s="7">
        <f t="shared" si="66"/>
        <v>0</v>
      </c>
      <c r="O103" s="11"/>
      <c r="P103" s="6">
        <v>295</v>
      </c>
      <c r="Q103" s="2"/>
      <c r="R103" s="7">
        <f t="shared" si="67"/>
        <v>2.1077302062752671E-4</v>
      </c>
      <c r="S103" s="2"/>
      <c r="T103" s="6">
        <v>2065</v>
      </c>
      <c r="U103" s="2"/>
      <c r="V103" s="7">
        <f t="shared" si="68"/>
        <v>1.3136529503337976E-3</v>
      </c>
      <c r="W103" s="2"/>
      <c r="X103" s="6">
        <f t="shared" si="69"/>
        <v>-1770</v>
      </c>
      <c r="Y103" s="2"/>
      <c r="Z103" s="7">
        <f t="shared" si="70"/>
        <v>-0.8571428571428571</v>
      </c>
    </row>
    <row r="104" spans="1:26" s="24" customFormat="1" hidden="1" outlineLevel="2" x14ac:dyDescent="0.3">
      <c r="A104" s="28"/>
      <c r="B104" s="11" t="str">
        <f>CONCATENATE("          ", "6309", " - ", "TELEPHONE")</f>
        <v xml:space="preserve">          6309 - TELEPHONE</v>
      </c>
      <c r="C104" s="11"/>
      <c r="D104" s="6">
        <v>61.5</v>
      </c>
      <c r="E104" s="2"/>
      <c r="F104" s="7">
        <f t="shared" si="63"/>
        <v>1.2819785911659795E-3</v>
      </c>
      <c r="G104" s="2"/>
      <c r="H104" s="6">
        <v>462</v>
      </c>
      <c r="I104" s="2"/>
      <c r="J104" s="7">
        <f t="shared" si="64"/>
        <v>2.606886581813073E-2</v>
      </c>
      <c r="K104" s="2"/>
      <c r="L104" s="6">
        <f t="shared" si="65"/>
        <v>-400.5</v>
      </c>
      <c r="M104" s="2"/>
      <c r="N104" s="7">
        <f t="shared" si="66"/>
        <v>-0.86688311688311692</v>
      </c>
      <c r="O104" s="11"/>
      <c r="P104" s="6">
        <v>2783.85</v>
      </c>
      <c r="Q104" s="2"/>
      <c r="R104" s="7">
        <f t="shared" si="67"/>
        <v>1.9890185541489498E-3</v>
      </c>
      <c r="S104" s="2"/>
      <c r="T104" s="6">
        <v>2977.5</v>
      </c>
      <c r="U104" s="2"/>
      <c r="V104" s="7">
        <f t="shared" si="68"/>
        <v>1.8941412395248824E-3</v>
      </c>
      <c r="W104" s="2"/>
      <c r="X104" s="6">
        <f t="shared" si="69"/>
        <v>-193.65000000000009</v>
      </c>
      <c r="Y104" s="2"/>
      <c r="Z104" s="7">
        <f t="shared" si="70"/>
        <v>-6.5037783375314892E-2</v>
      </c>
    </row>
    <row r="105" spans="1:26" s="29" customFormat="1" outlineLevel="1" collapsed="1" x14ac:dyDescent="0.3">
      <c r="A105" s="27"/>
      <c r="B105" s="14" t="str">
        <f>CONCATENATE("     ","Travel                                            ")</f>
        <v xml:space="preserve">     Travel                                            </v>
      </c>
      <c r="C105" s="14"/>
      <c r="D105" s="1">
        <f>SUM(OSRRefD22_13x_0)</f>
        <v>0</v>
      </c>
      <c r="E105" s="1"/>
      <c r="F105" s="5">
        <f t="shared" ref="F105:F106" si="71">IF(D$12=0,0,D105/D$12)</f>
        <v>0</v>
      </c>
      <c r="G105" s="1"/>
      <c r="H105" s="1">
        <f>SUM(OSRRefH22_13x_0)</f>
        <v>0</v>
      </c>
      <c r="I105" s="1"/>
      <c r="J105" s="5">
        <f t="shared" ref="J105:J106" si="72">IF(H$12=0,0,H105/H$12)</f>
        <v>0</v>
      </c>
      <c r="K105" s="1"/>
      <c r="L105" s="1">
        <f t="shared" ref="L105:L106" si="73">+D105-H105</f>
        <v>0</v>
      </c>
      <c r="M105" s="1"/>
      <c r="N105" s="5">
        <f t="shared" ref="N105:N106" si="74">IF(H105=0,0,L105/H105)</f>
        <v>0</v>
      </c>
      <c r="O105" s="14"/>
      <c r="P105" s="1">
        <f>SUM(OSRRefP22_13x_0)</f>
        <v>0</v>
      </c>
      <c r="Q105" s="1"/>
      <c r="R105" s="5">
        <f t="shared" ref="R105:R106" si="75">IF(P$12=0,0,P105/P$12)</f>
        <v>0</v>
      </c>
      <c r="S105" s="1"/>
      <c r="T105" s="1">
        <f>SUM(OSRRefT22_13x_0)</f>
        <v>0.16</v>
      </c>
      <c r="U105" s="1"/>
      <c r="V105" s="5">
        <f t="shared" ref="V105:V106" si="76">IF(T$12=0,0,T105/T$12)</f>
        <v>1.0178424796775187E-7</v>
      </c>
      <c r="W105" s="1"/>
      <c r="X105" s="1">
        <f t="shared" ref="X105:X106" si="77">+P105-T105</f>
        <v>-0.16</v>
      </c>
      <c r="Y105" s="1"/>
      <c r="Z105" s="5">
        <f t="shared" ref="Z105:Z106" si="78">IF(T105=0,0,X105/T105)</f>
        <v>-1</v>
      </c>
    </row>
    <row r="106" spans="1:26" s="24" customFormat="1" hidden="1" outlineLevel="2" x14ac:dyDescent="0.3">
      <c r="A106" s="28"/>
      <c r="B106" s="11" t="str">
        <f>CONCATENATE("          ", "6292", " - ", "TRAVEL/CONFERENCE")</f>
        <v xml:space="preserve">          6292 - TRAVEL/CONFERENCE</v>
      </c>
      <c r="C106" s="11"/>
      <c r="D106" s="6"/>
      <c r="E106" s="2"/>
      <c r="F106" s="7">
        <f t="shared" si="71"/>
        <v>0</v>
      </c>
      <c r="G106" s="2"/>
      <c r="H106" s="6"/>
      <c r="I106" s="2"/>
      <c r="J106" s="7">
        <f t="shared" si="72"/>
        <v>0</v>
      </c>
      <c r="K106" s="2"/>
      <c r="L106" s="6">
        <f t="shared" si="73"/>
        <v>0</v>
      </c>
      <c r="M106" s="2"/>
      <c r="N106" s="7">
        <f t="shared" si="74"/>
        <v>0</v>
      </c>
      <c r="O106" s="11"/>
      <c r="P106" s="6"/>
      <c r="Q106" s="2"/>
      <c r="R106" s="7">
        <f t="shared" si="75"/>
        <v>0</v>
      </c>
      <c r="S106" s="2"/>
      <c r="T106" s="6">
        <v>0.16</v>
      </c>
      <c r="U106" s="2"/>
      <c r="V106" s="7">
        <f t="shared" si="76"/>
        <v>1.0178424796775187E-7</v>
      </c>
      <c r="W106" s="2"/>
      <c r="X106" s="6">
        <f t="shared" si="77"/>
        <v>-0.16</v>
      </c>
      <c r="Y106" s="2"/>
      <c r="Z106" s="7">
        <f t="shared" si="78"/>
        <v>-1</v>
      </c>
    </row>
    <row r="107" spans="1:26" s="53" customFormat="1" x14ac:dyDescent="0.3">
      <c r="A107" s="37"/>
      <c r="B107" s="37"/>
      <c r="C107" s="37"/>
      <c r="D107" s="1"/>
      <c r="E107" s="1"/>
      <c r="F107" s="5"/>
      <c r="G107" s="1"/>
      <c r="H107" s="1"/>
      <c r="I107" s="1"/>
      <c r="J107" s="5"/>
      <c r="K107" s="1"/>
      <c r="L107" s="1"/>
      <c r="M107" s="1"/>
      <c r="N107" s="5"/>
      <c r="O107" s="37"/>
      <c r="P107" s="1"/>
      <c r="Q107" s="1"/>
      <c r="R107" s="5"/>
      <c r="S107" s="1"/>
      <c r="T107" s="1"/>
      <c r="U107" s="1"/>
      <c r="V107" s="5"/>
      <c r="W107" s="1"/>
      <c r="X107" s="1"/>
      <c r="Y107" s="1"/>
      <c r="Z107" s="5"/>
    </row>
    <row r="108" spans="1:26" s="23" customFormat="1" collapsed="1" x14ac:dyDescent="0.3">
      <c r="A108" s="10"/>
      <c r="B108" s="25" t="s">
        <v>292</v>
      </c>
      <c r="C108" s="10"/>
      <c r="D108" s="4">
        <f>SUM(OSRRefD25x_0)</f>
        <v>931.69</v>
      </c>
      <c r="E108" s="4"/>
      <c r="F108" s="12">
        <f t="shared" ref="F108:F111" si="79">IF(D$12=0,0,D108/D$12)</f>
        <v>1.9421246074852544E-2</v>
      </c>
      <c r="G108" s="4"/>
      <c r="H108" s="4">
        <f>SUM(OSRRefH25x_0)</f>
        <v>11680.240000000002</v>
      </c>
      <c r="I108" s="4"/>
      <c r="J108" s="12">
        <f t="shared" ref="J108:J111" si="80">IF(H$12=0,0,H108/H$12)</f>
        <v>0.65907058286485565</v>
      </c>
      <c r="K108" s="4"/>
      <c r="L108" s="4">
        <f t="shared" ref="L108:L111" si="81">+D108-H108</f>
        <v>-10748.550000000001</v>
      </c>
      <c r="M108" s="4"/>
      <c r="N108" s="12">
        <f t="shared" ref="N108:N111" si="82">IF(H108=0,0,L108/H108)</f>
        <v>-0.92023365958233727</v>
      </c>
      <c r="O108" s="10"/>
      <c r="P108" s="4">
        <f>SUM(OSRRefP25x_0)</f>
        <v>190903.72</v>
      </c>
      <c r="Q108" s="4"/>
      <c r="R108" s="12">
        <f t="shared" ref="R108:R111" si="83">IF(P$12=0,0,P108/P$12)</f>
        <v>0.13639780919807318</v>
      </c>
      <c r="S108" s="4"/>
      <c r="T108" s="4">
        <f>SUM(OSRRefT25x_0)</f>
        <v>173765.81</v>
      </c>
      <c r="U108" s="4"/>
      <c r="V108" s="12">
        <f t="shared" ref="V108:V111" si="84">IF(T$12=0,0,T108/T$12)</f>
        <v>0.11054138933348286</v>
      </c>
      <c r="W108" s="4"/>
      <c r="X108" s="4">
        <f t="shared" ref="X108:X111" si="85">+P108-T108</f>
        <v>17137.910000000003</v>
      </c>
      <c r="Y108" s="4"/>
      <c r="Z108" s="12">
        <f t="shared" ref="Z108:Z111" si="86">IF(T108=0,0,X108/T108)</f>
        <v>9.862647893736981E-2</v>
      </c>
    </row>
    <row r="109" spans="1:26" s="24" customFormat="1" hidden="1" outlineLevel="1" x14ac:dyDescent="0.3">
      <c r="A109" s="44"/>
      <c r="B109" s="11" t="str">
        <f>CONCATENATE("          ", "9150", " - ", "MISC. INCOME")</f>
        <v xml:space="preserve">          9150 - MISC. INCOME</v>
      </c>
      <c r="C109" s="11"/>
      <c r="D109" s="2">
        <f t="shared" ref="D109:D110" si="87">0</f>
        <v>0</v>
      </c>
      <c r="E109" s="2"/>
      <c r="F109" s="19">
        <f t="shared" si="79"/>
        <v>0</v>
      </c>
      <c r="G109" s="2"/>
      <c r="H109" s="2">
        <f>--11200.54</f>
        <v>11200.54</v>
      </c>
      <c r="I109" s="2"/>
      <c r="J109" s="19">
        <f t="shared" si="80"/>
        <v>0.63200297478486145</v>
      </c>
      <c r="K109" s="2"/>
      <c r="L109" s="2">
        <f t="shared" si="81"/>
        <v>-11200.54</v>
      </c>
      <c r="M109" s="2"/>
      <c r="N109" s="19">
        <f t="shared" si="82"/>
        <v>-1</v>
      </c>
      <c r="O109" s="11"/>
      <c r="P109" s="2">
        <f>--19313.26</f>
        <v>19313.259999999998</v>
      </c>
      <c r="Q109" s="2"/>
      <c r="R109" s="19">
        <f t="shared" si="83"/>
        <v>1.3799031011406055E-2</v>
      </c>
      <c r="S109" s="2"/>
      <c r="T109" s="2">
        <f>--23394.49</f>
        <v>23394.49</v>
      </c>
      <c r="U109" s="2"/>
      <c r="V109" s="19">
        <f t="shared" si="84"/>
        <v>1.4882441070244322E-2</v>
      </c>
      <c r="W109" s="2"/>
      <c r="X109" s="2">
        <f t="shared" si="85"/>
        <v>-4081.2300000000032</v>
      </c>
      <c r="Y109" s="2"/>
      <c r="Z109" s="19">
        <f t="shared" si="86"/>
        <v>-0.17445261683413499</v>
      </c>
    </row>
    <row r="110" spans="1:26" s="24" customFormat="1" hidden="1" outlineLevel="1" x14ac:dyDescent="0.3">
      <c r="A110" s="44"/>
      <c r="B110" s="11" t="str">
        <f>CONCATENATE("          ", "9151", " - ", "MISC. INCOME")</f>
        <v xml:space="preserve">          9151 - MISC. INCOME</v>
      </c>
      <c r="C110" s="11"/>
      <c r="D110" s="2">
        <f t="shared" si="87"/>
        <v>0</v>
      </c>
      <c r="E110" s="2"/>
      <c r="F110" s="19">
        <f t="shared" si="79"/>
        <v>0</v>
      </c>
      <c r="G110" s="2"/>
      <c r="H110" s="2">
        <f>0</f>
        <v>0</v>
      </c>
      <c r="I110" s="2"/>
      <c r="J110" s="19">
        <f t="shared" si="80"/>
        <v>0</v>
      </c>
      <c r="K110" s="2"/>
      <c r="L110" s="2">
        <f t="shared" si="81"/>
        <v>0</v>
      </c>
      <c r="M110" s="2"/>
      <c r="N110" s="19">
        <f t="shared" si="82"/>
        <v>0</v>
      </c>
      <c r="O110" s="11"/>
      <c r="P110" s="2">
        <f>--168463.36</f>
        <v>168463.35999999999</v>
      </c>
      <c r="Q110" s="2"/>
      <c r="R110" s="19">
        <f t="shared" si="83"/>
        <v>0.12036451271953374</v>
      </c>
      <c r="S110" s="2"/>
      <c r="T110" s="2">
        <f>--147285.39</f>
        <v>147285.39000000001</v>
      </c>
      <c r="U110" s="2"/>
      <c r="V110" s="19">
        <f t="shared" si="84"/>
        <v>9.3695829111169013E-2</v>
      </c>
      <c r="W110" s="2"/>
      <c r="X110" s="2">
        <f t="shared" si="85"/>
        <v>21177.969999999972</v>
      </c>
      <c r="Y110" s="2"/>
      <c r="Z110" s="19">
        <f t="shared" si="86"/>
        <v>0.14378866770152809</v>
      </c>
    </row>
    <row r="111" spans="1:26" s="24" customFormat="1" hidden="1" outlineLevel="1" x14ac:dyDescent="0.3">
      <c r="A111" s="44"/>
      <c r="B111" s="11" t="str">
        <f>CONCATENATE("          ", "9152", " - ", "MISC. INCOME")</f>
        <v xml:space="preserve">          9152 - MISC. INCOME</v>
      </c>
      <c r="C111" s="11"/>
      <c r="D111" s="2">
        <f>--931.69</f>
        <v>931.69</v>
      </c>
      <c r="E111" s="2"/>
      <c r="F111" s="19">
        <f t="shared" si="79"/>
        <v>1.9421246074852544E-2</v>
      </c>
      <c r="G111" s="2"/>
      <c r="H111" s="2">
        <f>--479.7</f>
        <v>479.7</v>
      </c>
      <c r="I111" s="2"/>
      <c r="J111" s="19">
        <f t="shared" si="80"/>
        <v>2.7067608079994181E-2</v>
      </c>
      <c r="K111" s="2"/>
      <c r="L111" s="2">
        <f t="shared" si="81"/>
        <v>451.99000000000007</v>
      </c>
      <c r="M111" s="2"/>
      <c r="N111" s="19">
        <f t="shared" si="82"/>
        <v>0.94223473003960823</v>
      </c>
      <c r="O111" s="11"/>
      <c r="P111" s="2">
        <f>--3127.1</f>
        <v>3127.1</v>
      </c>
      <c r="Q111" s="2"/>
      <c r="R111" s="19">
        <f t="shared" si="83"/>
        <v>2.2342654671333516E-3</v>
      </c>
      <c r="S111" s="2"/>
      <c r="T111" s="2">
        <f>--3085.93</f>
        <v>3085.93</v>
      </c>
      <c r="U111" s="2"/>
      <c r="V111" s="19">
        <f t="shared" si="84"/>
        <v>1.9631191520695281E-3</v>
      </c>
      <c r="W111" s="2"/>
      <c r="X111" s="2">
        <f t="shared" si="85"/>
        <v>41.170000000000073</v>
      </c>
      <c r="Y111" s="2"/>
      <c r="Z111" s="19">
        <f t="shared" si="86"/>
        <v>1.3341196981136991E-2</v>
      </c>
    </row>
    <row r="112" spans="1:26" x14ac:dyDescent="0.3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x14ac:dyDescent="0.3">
      <c r="A113" s="10"/>
      <c r="B113" s="26" t="s">
        <v>276</v>
      </c>
      <c r="C113" s="26"/>
      <c r="D113" s="20">
        <f>+D57-D59+D108</f>
        <v>-36303.560000000012</v>
      </c>
      <c r="E113" s="13"/>
      <c r="F113" s="21">
        <f>IF(D$12=0,0,D113/D$12)</f>
        <v>-0.75675425533511576</v>
      </c>
      <c r="G113" s="13"/>
      <c r="H113" s="20">
        <f>+H57-H59+H108</f>
        <v>-31233.929999999982</v>
      </c>
      <c r="I113" s="13"/>
      <c r="J113" s="21">
        <f>IF(H$12=0,0,H113/H$12)</f>
        <v>-1.7624093726036527</v>
      </c>
      <c r="K113" s="15"/>
      <c r="L113" s="20">
        <f>+D113-H113</f>
        <v>-5069.6300000000301</v>
      </c>
      <c r="M113" s="15"/>
      <c r="N113" s="21">
        <f>IF(H113=0,0,L113/H113)</f>
        <v>0.16231162713113698</v>
      </c>
      <c r="O113" s="25"/>
      <c r="P113" s="20">
        <f>+P57-P59+P108</f>
        <v>170123.9300000002</v>
      </c>
      <c r="Q113" s="13"/>
      <c r="R113" s="21">
        <f>IF(P$12=0,0,P113/P$12)</f>
        <v>0.12155096476991847</v>
      </c>
      <c r="S113" s="13"/>
      <c r="T113" s="20">
        <f>+T57-T59+T108</f>
        <v>358909.61999999988</v>
      </c>
      <c r="U113" s="13"/>
      <c r="V113" s="21">
        <f>IF(T$12=0,0,T113/T$12)</f>
        <v>0.22832091100057239</v>
      </c>
      <c r="W113" s="15"/>
      <c r="X113" s="20">
        <f>+P113-T113</f>
        <v>-188785.68999999968</v>
      </c>
      <c r="Y113" s="15"/>
      <c r="Z113" s="21">
        <f>IF(T113=0,0,X113/T113)</f>
        <v>-0.52599785427874501</v>
      </c>
    </row>
    <row r="114" spans="1:26" x14ac:dyDescent="0.3">
      <c r="A114" s="9"/>
      <c r="B114" s="10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3">
      <c r="A115" s="51"/>
      <c r="B115" s="10" t="s">
        <v>127</v>
      </c>
      <c r="C115" s="10"/>
      <c r="D115" s="4">
        <v>7476.31</v>
      </c>
      <c r="E115" s="4"/>
      <c r="F115" s="12">
        <f>IF(D$12=0,0,D115/D$12)</f>
        <v>0.15584503025886381</v>
      </c>
      <c r="G115" s="4"/>
      <c r="H115" s="4">
        <v>38147.01</v>
      </c>
      <c r="I115" s="4"/>
      <c r="J115" s="12">
        <f>IF(H$12=0,0,H115/H$12)</f>
        <v>2.1524876299846132</v>
      </c>
      <c r="K115" s="4"/>
      <c r="L115" s="4">
        <f>+D115-H115</f>
        <v>-30670.7</v>
      </c>
      <c r="M115" s="4"/>
      <c r="N115" s="12">
        <f>IF(H115=0,0,L115/H115)</f>
        <v>-0.80401321099609113</v>
      </c>
      <c r="O115" s="10"/>
      <c r="P115" s="4">
        <v>168472.16</v>
      </c>
      <c r="Q115" s="4"/>
      <c r="R115" s="12">
        <f>IF(P$12=0,0,P115/P$12)</f>
        <v>0.1203708001859118</v>
      </c>
      <c r="S115" s="4"/>
      <c r="T115" s="4">
        <v>285107.87</v>
      </c>
      <c r="U115" s="4"/>
      <c r="V115" s="12">
        <f>IF(T$12=0,0,T115/T$12)</f>
        <v>0.18137181336023478</v>
      </c>
      <c r="W115" s="4"/>
      <c r="X115" s="4">
        <f>+P115-T115</f>
        <v>-116635.70999999999</v>
      </c>
      <c r="Y115" s="4"/>
      <c r="Z115" s="12">
        <f>IF(T115=0,0,X115/T115)</f>
        <v>-0.40909326705011684</v>
      </c>
    </row>
    <row r="116" spans="1:26" x14ac:dyDescent="0.3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" thickBot="1" x14ac:dyDescent="0.35">
      <c r="A117" s="10"/>
      <c r="B117" s="26" t="s">
        <v>125</v>
      </c>
      <c r="C117" s="26"/>
      <c r="D117" s="32">
        <f>+D113-D115</f>
        <v>-43779.87000000001</v>
      </c>
      <c r="E117" s="13"/>
      <c r="F117" s="35">
        <f>IF(D$12=0,0,D117/D$12)</f>
        <v>-0.91259928559397951</v>
      </c>
      <c r="G117" s="13"/>
      <c r="H117" s="32">
        <f>+H113-H115</f>
        <v>-69380.939999999988</v>
      </c>
      <c r="I117" s="13"/>
      <c r="J117" s="35">
        <f>IF(H$12=0,0,H117/H$12)</f>
        <v>-3.9148970025882659</v>
      </c>
      <c r="K117" s="15"/>
      <c r="L117" s="32">
        <f>D117-H117</f>
        <v>25601.069999999978</v>
      </c>
      <c r="M117" s="15"/>
      <c r="N117" s="35">
        <f>IF(H117=0,0,L117/H117)</f>
        <v>-0.36899283866721871</v>
      </c>
      <c r="O117" s="25"/>
      <c r="P117" s="32">
        <f>+P113-P115</f>
        <v>1651.7700000001932</v>
      </c>
      <c r="Q117" s="13"/>
      <c r="R117" s="35">
        <f>IF(P$12=0,0,P117/P$12)</f>
        <v>1.1801645840066796E-3</v>
      </c>
      <c r="S117" s="13"/>
      <c r="T117" s="32">
        <f>+T113-T115</f>
        <v>73801.749999999884</v>
      </c>
      <c r="U117" s="13"/>
      <c r="V117" s="35">
        <f>IF(T$12=0,0,T117/T$12)</f>
        <v>4.6949097640337618E-2</v>
      </c>
      <c r="W117" s="15"/>
      <c r="X117" s="32">
        <f>P117-T117</f>
        <v>-72149.97999999969</v>
      </c>
      <c r="Y117" s="15"/>
      <c r="Z117" s="35">
        <f>IF(T117=0,0,X117/T117)</f>
        <v>-0.97761882340188144</v>
      </c>
    </row>
    <row r="118" spans="1:26" ht="15" thickTop="1" x14ac:dyDescent="0.3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x14ac:dyDescent="0.3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ht="15" thickBot="1" x14ac:dyDescent="0.35">
      <c r="A120" s="10"/>
      <c r="B120" s="26" t="s">
        <v>293</v>
      </c>
      <c r="C120" s="26"/>
      <c r="D120" s="31">
        <f>SUM(D117:D119)</f>
        <v>-43779.87000000001</v>
      </c>
      <c r="E120" s="13"/>
      <c r="F120" s="33">
        <f>IF(D$12=0,0,D120/D$12)</f>
        <v>-0.91259928559397951</v>
      </c>
      <c r="G120" s="13"/>
      <c r="H120" s="31">
        <f>SUM(H117:H119)</f>
        <v>-69380.939999999988</v>
      </c>
      <c r="I120" s="13"/>
      <c r="J120" s="33">
        <f>IF(H$12=0,0,H120/H$12)</f>
        <v>-3.9148970025882659</v>
      </c>
      <c r="K120" s="15"/>
      <c r="L120" s="31">
        <f>+D120-H120</f>
        <v>25601.069999999978</v>
      </c>
      <c r="M120" s="15"/>
      <c r="N120" s="33">
        <f>IF(H120=0,0,L120/H120)</f>
        <v>-0.36899283866721871</v>
      </c>
      <c r="O120" s="25"/>
      <c r="P120" s="31">
        <f>SUM(P117:P119)</f>
        <v>1651.7700000001932</v>
      </c>
      <c r="Q120" s="13"/>
      <c r="R120" s="33">
        <f>IF(P$12=0,0,P120/P$12)</f>
        <v>1.1801645840066796E-3</v>
      </c>
      <c r="S120" s="13"/>
      <c r="T120" s="31">
        <f>SUM(T117:T119)</f>
        <v>73801.749999999884</v>
      </c>
      <c r="U120" s="13"/>
      <c r="V120" s="33">
        <f>IF(T$12=0,0,T120/T$12)</f>
        <v>4.6949097640337618E-2</v>
      </c>
      <c r="W120" s="15"/>
      <c r="X120" s="31">
        <f>+P120-T120</f>
        <v>-72149.97999999969</v>
      </c>
      <c r="Y120" s="15"/>
      <c r="Z120" s="33">
        <f>IF(T120=0,0,X120/T120)</f>
        <v>-0.97761882340188144</v>
      </c>
    </row>
    <row r="121" spans="1:26" ht="15" thickTop="1" x14ac:dyDescent="0.3">
      <c r="A121" s="9"/>
      <c r="C121" s="9"/>
      <c r="D121" s="17"/>
      <c r="E121" s="17"/>
      <c r="G121" s="17"/>
      <c r="H121" s="17"/>
      <c r="I121" s="17"/>
      <c r="J121" s="43"/>
      <c r="K121" s="17"/>
      <c r="L121" s="17"/>
      <c r="M121" s="17"/>
      <c r="P121" s="17"/>
      <c r="Q121" s="17"/>
      <c r="R121" s="43"/>
      <c r="S121" s="17"/>
      <c r="T121" s="17"/>
      <c r="U121" s="17"/>
      <c r="V121" s="43"/>
      <c r="W121" s="17"/>
      <c r="X121" s="17"/>
    </row>
    <row r="122" spans="1:26" x14ac:dyDescent="0.3">
      <c r="A122" s="9"/>
      <c r="B122" s="60">
        <v>44575.854556099534</v>
      </c>
      <c r="D122" s="17"/>
      <c r="E122" s="17"/>
      <c r="G122" s="17"/>
      <c r="H122" s="17"/>
      <c r="I122" s="17"/>
      <c r="J122" s="43"/>
      <c r="K122" s="17"/>
      <c r="L122" s="17"/>
      <c r="M122" s="17"/>
      <c r="P122" s="17"/>
      <c r="Q122" s="17"/>
      <c r="R122" s="43"/>
      <c r="S122" s="17"/>
      <c r="T122" s="17"/>
      <c r="U122" s="17"/>
      <c r="V122" s="43"/>
      <c r="W122" s="17"/>
      <c r="X122" s="17"/>
    </row>
    <row r="123" spans="1:26" x14ac:dyDescent="0.3">
      <c r="A123" s="9"/>
      <c r="B123" s="57" t="s">
        <v>56</v>
      </c>
      <c r="D123" s="17"/>
      <c r="E123" s="17"/>
      <c r="G123" s="17"/>
      <c r="H123" s="17"/>
      <c r="I123" s="17"/>
      <c r="J123" s="43"/>
      <c r="K123" s="17"/>
      <c r="L123" s="17"/>
      <c r="M123" s="17"/>
      <c r="P123" s="17"/>
      <c r="Q123" s="17"/>
      <c r="R123" s="43"/>
      <c r="S123" s="17"/>
      <c r="T123" s="17"/>
      <c r="U123" s="17"/>
      <c r="V123" s="43"/>
      <c r="W123" s="17"/>
      <c r="X123" s="17"/>
    </row>
    <row r="124" spans="1:26" x14ac:dyDescent="0.3">
      <c r="A124" s="9"/>
      <c r="B124" s="59"/>
      <c r="D124" s="17"/>
      <c r="E124" s="17"/>
      <c r="G124" s="17"/>
      <c r="H124" s="17"/>
      <c r="I124" s="17"/>
      <c r="J124" s="43"/>
      <c r="K124" s="17"/>
      <c r="L124" s="17"/>
      <c r="M124" s="17"/>
      <c r="P124" s="17"/>
      <c r="Q124" s="17"/>
      <c r="R124" s="43"/>
      <c r="S124" s="17"/>
      <c r="T124" s="17"/>
      <c r="U124" s="17"/>
      <c r="V124" s="43"/>
      <c r="W124" s="17"/>
      <c r="X124" s="17"/>
    </row>
    <row r="125" spans="1:26" x14ac:dyDescent="0.3">
      <c r="D125" s="17"/>
      <c r="E125" s="17"/>
      <c r="G125" s="17"/>
      <c r="H125" s="17"/>
      <c r="I125" s="17"/>
      <c r="J125" s="43"/>
      <c r="K125" s="17"/>
      <c r="L125" s="17"/>
      <c r="M125" s="17"/>
      <c r="P125" s="17"/>
      <c r="Q125" s="17"/>
      <c r="R125" s="43"/>
      <c r="S125" s="17"/>
      <c r="T125" s="17"/>
      <c r="U125" s="17"/>
      <c r="V125" s="43"/>
      <c r="W125" s="17"/>
      <c r="X125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outlinePr summaryBelow="0" summaryRight="0"/>
  </sheetPr>
  <dimension ref="A2:Z12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","311", " - ", "Textbooks")</f>
        <v>Department 311 - Textbooks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50312.259999999995</v>
      </c>
      <c r="E12" s="4"/>
      <c r="F12" s="12"/>
      <c r="G12" s="4"/>
      <c r="H12" s="4">
        <f>SUM(OSRRefH13x_0)</f>
        <v>13645.83</v>
      </c>
      <c r="I12" s="4"/>
      <c r="J12" s="12"/>
      <c r="K12" s="4"/>
      <c r="L12" s="4">
        <f t="shared" ref="L12:L36" si="0">+D12-H12</f>
        <v>36666.429999999993</v>
      </c>
      <c r="M12" s="4"/>
      <c r="N12" s="12">
        <f t="shared" ref="N12:N36" si="1">IF(H12=0,0,L12/H12)</f>
        <v>2.687006213619838</v>
      </c>
      <c r="O12" s="10"/>
      <c r="P12" s="4">
        <f>SUM(OSRRefP13x_0)</f>
        <v>1065712.03</v>
      </c>
      <c r="Q12" s="4"/>
      <c r="R12" s="12"/>
      <c r="S12" s="4"/>
      <c r="T12" s="4">
        <f>SUM(OSRRefT13x_0)</f>
        <v>1095754.0699999998</v>
      </c>
      <c r="U12" s="4"/>
      <c r="V12" s="12"/>
      <c r="W12" s="4"/>
      <c r="X12" s="4">
        <f t="shared" ref="X12:X36" si="2">+P12-T12</f>
        <v>-30042.039999999804</v>
      </c>
      <c r="Y12" s="4"/>
      <c r="Z12" s="12">
        <f t="shared" ref="Z12:Z36" si="3">IF(T12=0,0,X12/T12)</f>
        <v>-2.7416772451504385E-2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--18673.17</f>
        <v>18673.169999999998</v>
      </c>
      <c r="E13" s="2"/>
      <c r="F13" s="19"/>
      <c r="G13" s="2"/>
      <c r="H13" s="2">
        <f>-325.86</f>
        <v>-325.86</v>
      </c>
      <c r="I13" s="2"/>
      <c r="J13" s="19"/>
      <c r="K13" s="2"/>
      <c r="L13" s="2">
        <f t="shared" si="0"/>
        <v>18999.03</v>
      </c>
      <c r="M13" s="2"/>
      <c r="N13" s="19">
        <f t="shared" si="1"/>
        <v>-58.304271773154106</v>
      </c>
      <c r="O13" s="11"/>
      <c r="P13" s="2">
        <f>--794703.49</f>
        <v>794703.49</v>
      </c>
      <c r="Q13" s="2"/>
      <c r="R13" s="19"/>
      <c r="S13" s="2"/>
      <c r="T13" s="2">
        <f>-6925.73</f>
        <v>-6925.73</v>
      </c>
      <c r="U13" s="2"/>
      <c r="V13" s="19"/>
      <c r="W13" s="2"/>
      <c r="X13" s="2">
        <f t="shared" si="2"/>
        <v>801629.22</v>
      </c>
      <c r="Y13" s="2"/>
      <c r="Z13" s="19">
        <f t="shared" si="3"/>
        <v>-115.74653069062757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20" si="4">0</f>
        <v>0</v>
      </c>
      <c r="E14" s="2"/>
      <c r="F14" s="19"/>
      <c r="G14" s="2"/>
      <c r="H14" s="2">
        <f>--8412.79</f>
        <v>8412.7900000000009</v>
      </c>
      <c r="I14" s="2"/>
      <c r="J14" s="19"/>
      <c r="K14" s="2"/>
      <c r="L14" s="2">
        <f t="shared" si="0"/>
        <v>-8412.7900000000009</v>
      </c>
      <c r="M14" s="2"/>
      <c r="N14" s="19">
        <f t="shared" si="1"/>
        <v>-1</v>
      </c>
      <c r="O14" s="11"/>
      <c r="P14" s="2">
        <f t="shared" ref="P14:P20" si="5">0</f>
        <v>0</v>
      </c>
      <c r="Q14" s="2"/>
      <c r="R14" s="19"/>
      <c r="S14" s="2"/>
      <c r="T14" s="2">
        <f>--554846.8</f>
        <v>554846.80000000005</v>
      </c>
      <c r="U14" s="2"/>
      <c r="V14" s="19"/>
      <c r="W14" s="2"/>
      <c r="X14" s="2">
        <f t="shared" si="2"/>
        <v>-554846.80000000005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--1629.44</f>
        <v>1629.44</v>
      </c>
      <c r="I15" s="2"/>
      <c r="J15" s="19"/>
      <c r="K15" s="2"/>
      <c r="L15" s="2">
        <f t="shared" si="0"/>
        <v>-1629.44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--188662.55</f>
        <v>188662.55</v>
      </c>
      <c r="U15" s="2"/>
      <c r="V15" s="19"/>
      <c r="W15" s="2"/>
      <c r="X15" s="2">
        <f t="shared" si="2"/>
        <v>-188662.55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--10665.63</f>
        <v>10665.63</v>
      </c>
      <c r="U16" s="2"/>
      <c r="V16" s="19"/>
      <c r="W16" s="2"/>
      <c r="X16" s="2">
        <f t="shared" si="2"/>
        <v>-10665.63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5"/>
        <v>0</v>
      </c>
      <c r="Q17" s="2"/>
      <c r="R17" s="19"/>
      <c r="S17" s="2"/>
      <c r="T17" s="2">
        <f>--2459.56</f>
        <v>2459.56</v>
      </c>
      <c r="U17" s="2"/>
      <c r="V17" s="19"/>
      <c r="W17" s="2"/>
      <c r="X17" s="2">
        <f t="shared" si="2"/>
        <v>-2459.56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--78.85</f>
        <v>78.849999999999994</v>
      </c>
      <c r="I18" s="2"/>
      <c r="J18" s="19"/>
      <c r="K18" s="2"/>
      <c r="L18" s="2">
        <f t="shared" si="0"/>
        <v>-78.849999999999994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--583.97</f>
        <v>583.97</v>
      </c>
      <c r="U18" s="2"/>
      <c r="V18" s="19"/>
      <c r="W18" s="2"/>
      <c r="X18" s="2">
        <f t="shared" si="2"/>
        <v>-583.97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--35.82</f>
        <v>35.82</v>
      </c>
      <c r="I19" s="2"/>
      <c r="J19" s="19"/>
      <c r="K19" s="2"/>
      <c r="L19" s="2">
        <f t="shared" si="0"/>
        <v>-35.82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--376.06</f>
        <v>376.06</v>
      </c>
      <c r="U19" s="2"/>
      <c r="V19" s="19"/>
      <c r="W19" s="2"/>
      <c r="X19" s="2">
        <f t="shared" si="2"/>
        <v>-376.06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--6.95</f>
        <v>6.95</v>
      </c>
      <c r="I20" s="2"/>
      <c r="J20" s="19"/>
      <c r="K20" s="2"/>
      <c r="L20" s="2">
        <f t="shared" si="0"/>
        <v>-6.95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--190.84</f>
        <v>190.84</v>
      </c>
      <c r="U20" s="2"/>
      <c r="V20" s="19"/>
      <c r="W20" s="2"/>
      <c r="X20" s="2">
        <f t="shared" si="2"/>
        <v>-190.84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--33168.32</f>
        <v>33168.32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33168.32</v>
      </c>
      <c r="M21" s="2"/>
      <c r="N21" s="19">
        <f t="shared" si="1"/>
        <v>0</v>
      </c>
      <c r="O21" s="11"/>
      <c r="P21" s="2">
        <f>--327540.23</f>
        <v>327540.23</v>
      </c>
      <c r="Q21" s="2"/>
      <c r="R21" s="19"/>
      <c r="S21" s="2"/>
      <c r="T21" s="2">
        <f>0</f>
        <v>0</v>
      </c>
      <c r="U21" s="2"/>
      <c r="V21" s="19"/>
      <c r="W21" s="2"/>
      <c r="X21" s="2">
        <f t="shared" si="2"/>
        <v>327540.23</v>
      </c>
      <c r="Y21" s="2"/>
      <c r="Z21" s="19">
        <f t="shared" si="3"/>
        <v>0</v>
      </c>
    </row>
    <row r="22" spans="1:26" s="24" customFormat="1" hidden="1" outlineLevel="1" x14ac:dyDescent="0.3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 t="shared" ref="D22:D27" si="7">0</f>
        <v>0</v>
      </c>
      <c r="E22" s="2"/>
      <c r="F22" s="19"/>
      <c r="G22" s="2"/>
      <c r="H22" s="2">
        <f>--3205.21</f>
        <v>3205.21</v>
      </c>
      <c r="I22" s="2"/>
      <c r="J22" s="19"/>
      <c r="K22" s="2"/>
      <c r="L22" s="2">
        <f t="shared" si="0"/>
        <v>-3205.21</v>
      </c>
      <c r="M22" s="2"/>
      <c r="N22" s="19">
        <f t="shared" si="1"/>
        <v>-1</v>
      </c>
      <c r="O22" s="11"/>
      <c r="P22" s="2">
        <f t="shared" ref="P22:P27" si="8">0</f>
        <v>0</v>
      </c>
      <c r="Q22" s="2"/>
      <c r="R22" s="19"/>
      <c r="S22" s="2"/>
      <c r="T22" s="2">
        <f>--82140.93</f>
        <v>82140.929999999993</v>
      </c>
      <c r="U22" s="2"/>
      <c r="V22" s="19"/>
      <c r="W22" s="2"/>
      <c r="X22" s="2">
        <f t="shared" si="2"/>
        <v>-82140.929999999993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 t="shared" si="7"/>
        <v>0</v>
      </c>
      <c r="E23" s="2"/>
      <c r="F23" s="19"/>
      <c r="G23" s="2"/>
      <c r="H23" s="2">
        <f>--598.12</f>
        <v>598.12</v>
      </c>
      <c r="I23" s="2"/>
      <c r="J23" s="19"/>
      <c r="K23" s="2"/>
      <c r="L23" s="2">
        <f t="shared" si="0"/>
        <v>-598.12</v>
      </c>
      <c r="M23" s="2"/>
      <c r="N23" s="19">
        <f t="shared" si="1"/>
        <v>-1</v>
      </c>
      <c r="O23" s="11"/>
      <c r="P23" s="2">
        <f t="shared" si="8"/>
        <v>0</v>
      </c>
      <c r="Q23" s="2"/>
      <c r="R23" s="19"/>
      <c r="S23" s="2"/>
      <c r="T23" s="2">
        <f>--33631.31</f>
        <v>33631.31</v>
      </c>
      <c r="U23" s="2"/>
      <c r="V23" s="19"/>
      <c r="W23" s="2"/>
      <c r="X23" s="2">
        <f t="shared" si="2"/>
        <v>-33631.31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 t="shared" si="7"/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si="8"/>
        <v>0</v>
      </c>
      <c r="Q24" s="2"/>
      <c r="R24" s="19"/>
      <c r="S24" s="2"/>
      <c r="T24" s="2">
        <f>--284.97</f>
        <v>284.97000000000003</v>
      </c>
      <c r="U24" s="2"/>
      <c r="V24" s="19"/>
      <c r="W24" s="2"/>
      <c r="X24" s="2">
        <f t="shared" si="2"/>
        <v>-284.97000000000003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 t="shared" si="7"/>
        <v>0</v>
      </c>
      <c r="E25" s="2"/>
      <c r="F25" s="19"/>
      <c r="G25" s="2"/>
      <c r="H25" s="2">
        <f>--1301.3</f>
        <v>1301.3</v>
      </c>
      <c r="I25" s="2"/>
      <c r="J25" s="19"/>
      <c r="K25" s="2"/>
      <c r="L25" s="2">
        <f t="shared" si="0"/>
        <v>-1301.3</v>
      </c>
      <c r="M25" s="2"/>
      <c r="N25" s="19">
        <f t="shared" si="1"/>
        <v>-1</v>
      </c>
      <c r="O25" s="11"/>
      <c r="P25" s="2">
        <f t="shared" si="8"/>
        <v>0</v>
      </c>
      <c r="Q25" s="2"/>
      <c r="R25" s="19"/>
      <c r="S25" s="2"/>
      <c r="T25" s="2">
        <f>--296191.01</f>
        <v>296191.01</v>
      </c>
      <c r="U25" s="2"/>
      <c r="V25" s="19"/>
      <c r="W25" s="2"/>
      <c r="X25" s="2">
        <f t="shared" si="2"/>
        <v>-296191.01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 t="shared" si="7"/>
        <v>0</v>
      </c>
      <c r="E26" s="2"/>
      <c r="F26" s="19"/>
      <c r="G26" s="2"/>
      <c r="H26" s="2">
        <f>--41.55</f>
        <v>41.55</v>
      </c>
      <c r="I26" s="2"/>
      <c r="J26" s="19"/>
      <c r="K26" s="2"/>
      <c r="L26" s="2">
        <f t="shared" si="0"/>
        <v>-41.55</v>
      </c>
      <c r="M26" s="2"/>
      <c r="N26" s="19">
        <f t="shared" si="1"/>
        <v>-1</v>
      </c>
      <c r="O26" s="11"/>
      <c r="P26" s="2">
        <f t="shared" si="8"/>
        <v>0</v>
      </c>
      <c r="Q26" s="2"/>
      <c r="R26" s="19"/>
      <c r="S26" s="2"/>
      <c r="T26" s="2">
        <f>--2327.5</f>
        <v>2327.5</v>
      </c>
      <c r="U26" s="2"/>
      <c r="V26" s="19"/>
      <c r="W26" s="2"/>
      <c r="X26" s="2">
        <f t="shared" si="2"/>
        <v>-2327.5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 t="shared" si="7"/>
        <v>0</v>
      </c>
      <c r="E27" s="2"/>
      <c r="F27" s="19"/>
      <c r="G27" s="2"/>
      <c r="H27" s="2">
        <f t="shared" ref="H27:H28" si="9"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8"/>
        <v>0</v>
      </c>
      <c r="Q27" s="2"/>
      <c r="R27" s="19"/>
      <c r="S27" s="2"/>
      <c r="T27" s="2">
        <f>--233.43</f>
        <v>233.43</v>
      </c>
      <c r="U27" s="2"/>
      <c r="V27" s="19"/>
      <c r="W27" s="2"/>
      <c r="X27" s="2">
        <f t="shared" si="2"/>
        <v>-233.43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"4200", " - ", "TAXABLE RETURNS")</f>
        <v xml:space="preserve">          4200 - TAXABLE RETURNS</v>
      </c>
      <c r="C28" s="11"/>
      <c r="D28" s="2">
        <f>-407.24</f>
        <v>-407.24</v>
      </c>
      <c r="E28" s="2"/>
      <c r="F28" s="19"/>
      <c r="G28" s="2"/>
      <c r="H28" s="2">
        <f t="shared" si="9"/>
        <v>0</v>
      </c>
      <c r="I28" s="2"/>
      <c r="J28" s="19"/>
      <c r="K28" s="2"/>
      <c r="L28" s="2">
        <f t="shared" si="0"/>
        <v>-407.24</v>
      </c>
      <c r="M28" s="2"/>
      <c r="N28" s="19">
        <f t="shared" si="1"/>
        <v>0</v>
      </c>
      <c r="O28" s="11"/>
      <c r="P28" s="2">
        <f>-29393.02</f>
        <v>-29393.02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-29393.02</v>
      </c>
      <c r="Y28" s="2"/>
      <c r="Z28" s="19">
        <f t="shared" si="3"/>
        <v>0</v>
      </c>
    </row>
    <row r="29" spans="1:26" s="24" customFormat="1" hidden="1" outlineLevel="1" x14ac:dyDescent="0.3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 t="shared" ref="D29:D31" si="10">0</f>
        <v>0</v>
      </c>
      <c r="E29" s="2"/>
      <c r="F29" s="19"/>
      <c r="G29" s="2"/>
      <c r="H29" s="2">
        <f>-681.18</f>
        <v>-681.18</v>
      </c>
      <c r="I29" s="2"/>
      <c r="J29" s="19"/>
      <c r="K29" s="2"/>
      <c r="L29" s="2">
        <f t="shared" si="0"/>
        <v>681.18</v>
      </c>
      <c r="M29" s="2"/>
      <c r="N29" s="19">
        <f t="shared" si="1"/>
        <v>-1</v>
      </c>
      <c r="O29" s="11"/>
      <c r="P29" s="2">
        <f t="shared" ref="P29:P31" si="11">0</f>
        <v>0</v>
      </c>
      <c r="Q29" s="2"/>
      <c r="R29" s="19"/>
      <c r="S29" s="2"/>
      <c r="T29" s="2">
        <f>-35775.84</f>
        <v>-35775.839999999997</v>
      </c>
      <c r="U29" s="2"/>
      <c r="V29" s="19"/>
      <c r="W29" s="2"/>
      <c r="X29" s="2">
        <f t="shared" si="2"/>
        <v>35775.839999999997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 t="shared" si="10"/>
        <v>0</v>
      </c>
      <c r="E30" s="2"/>
      <c r="F30" s="19"/>
      <c r="G30" s="2"/>
      <c r="H30" s="2">
        <f>-62.65</f>
        <v>-62.65</v>
      </c>
      <c r="I30" s="2"/>
      <c r="J30" s="19"/>
      <c r="K30" s="2"/>
      <c r="L30" s="2">
        <f t="shared" si="0"/>
        <v>62.65</v>
      </c>
      <c r="M30" s="2"/>
      <c r="N30" s="19">
        <f t="shared" si="1"/>
        <v>-1</v>
      </c>
      <c r="O30" s="11"/>
      <c r="P30" s="2">
        <f t="shared" si="11"/>
        <v>0</v>
      </c>
      <c r="Q30" s="2"/>
      <c r="R30" s="19"/>
      <c r="S30" s="2"/>
      <c r="T30" s="2">
        <f>-13866</f>
        <v>-13866</v>
      </c>
      <c r="U30" s="2"/>
      <c r="V30" s="19"/>
      <c r="W30" s="2"/>
      <c r="X30" s="2">
        <f t="shared" si="2"/>
        <v>13866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"4204", " - ", "SALES RETURN TAXABLE-DIGITAL T")</f>
        <v xml:space="preserve">          4204 - SALES RETURN TAXABLE-DIGITAL T</v>
      </c>
      <c r="C31" s="11"/>
      <c r="D31" s="2">
        <f t="shared" si="10"/>
        <v>0</v>
      </c>
      <c r="E31" s="2"/>
      <c r="F31" s="19"/>
      <c r="G31" s="2"/>
      <c r="H31" s="2">
        <f t="shared" ref="H31:H32" si="12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 t="shared" si="11"/>
        <v>0</v>
      </c>
      <c r="Q31" s="2"/>
      <c r="R31" s="19"/>
      <c r="S31" s="2"/>
      <c r="T31" s="2">
        <f>-1630.85</f>
        <v>-1630.85</v>
      </c>
      <c r="U31" s="2"/>
      <c r="V31" s="19"/>
      <c r="W31" s="2"/>
      <c r="X31" s="2">
        <f t="shared" si="2"/>
        <v>1630.85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"4300", " - ", "NON-TAX RETURNS")</f>
        <v xml:space="preserve">          4300 - NON-TAX RETURNS</v>
      </c>
      <c r="C32" s="11"/>
      <c r="D32" s="2">
        <f>-510.16</f>
        <v>-510.16</v>
      </c>
      <c r="E32" s="2"/>
      <c r="F32" s="19"/>
      <c r="G32" s="2"/>
      <c r="H32" s="2">
        <f t="shared" si="12"/>
        <v>0</v>
      </c>
      <c r="I32" s="2"/>
      <c r="J32" s="19"/>
      <c r="K32" s="2"/>
      <c r="L32" s="2">
        <f t="shared" si="0"/>
        <v>-510.16</v>
      </c>
      <c r="M32" s="2"/>
      <c r="N32" s="19">
        <f t="shared" si="1"/>
        <v>0</v>
      </c>
      <c r="O32" s="11"/>
      <c r="P32" s="2">
        <f>-25903.14</f>
        <v>-25903.14</v>
      </c>
      <c r="Q32" s="2"/>
      <c r="R32" s="19"/>
      <c r="S32" s="2"/>
      <c r="T32" s="2">
        <f>0</f>
        <v>0</v>
      </c>
      <c r="U32" s="2"/>
      <c r="V32" s="19"/>
      <c r="W32" s="2"/>
      <c r="X32" s="2">
        <f t="shared" si="2"/>
        <v>-25903.14</v>
      </c>
      <c r="Y32" s="2"/>
      <c r="Z32" s="19">
        <f t="shared" si="3"/>
        <v>0</v>
      </c>
    </row>
    <row r="33" spans="1:26" s="24" customFormat="1" hidden="1" outlineLevel="1" x14ac:dyDescent="0.3">
      <c r="A33" s="44"/>
      <c r="B33" s="11" t="str">
        <f>CONCATENATE("          ", "4301", " - ", "SALES RETURN NON TAXABLE-NEW T")</f>
        <v xml:space="preserve">          4301 - SALES RETURN NON TAXABLE-NEW T</v>
      </c>
      <c r="C33" s="11"/>
      <c r="D33" s="2">
        <f t="shared" ref="D33:D35" si="13">0</f>
        <v>0</v>
      </c>
      <c r="E33" s="2"/>
      <c r="F33" s="19"/>
      <c r="G33" s="2"/>
      <c r="H33" s="2">
        <f>-372.93</f>
        <v>-372.93</v>
      </c>
      <c r="I33" s="2"/>
      <c r="J33" s="19"/>
      <c r="K33" s="2"/>
      <c r="L33" s="2">
        <f t="shared" si="0"/>
        <v>372.93</v>
      </c>
      <c r="M33" s="2"/>
      <c r="N33" s="19">
        <f t="shared" si="1"/>
        <v>-1</v>
      </c>
      <c r="O33" s="11"/>
      <c r="P33" s="2">
        <f t="shared" ref="P33:P35" si="14">0</f>
        <v>0</v>
      </c>
      <c r="Q33" s="2"/>
      <c r="R33" s="19"/>
      <c r="S33" s="2"/>
      <c r="T33" s="2">
        <f>-2749.1</f>
        <v>-2749.1</v>
      </c>
      <c r="U33" s="2"/>
      <c r="V33" s="19"/>
      <c r="W33" s="2"/>
      <c r="X33" s="2">
        <f t="shared" si="2"/>
        <v>2749.1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"4302", " - ", "SALES RETURN NON TAXABLE-TEXT")</f>
        <v xml:space="preserve">          4302 - SALES RETURN NON TAXABLE-TEXT</v>
      </c>
      <c r="C34" s="11"/>
      <c r="D34" s="2">
        <f t="shared" si="13"/>
        <v>0</v>
      </c>
      <c r="E34" s="2"/>
      <c r="F34" s="19"/>
      <c r="G34" s="2"/>
      <c r="H34" s="2">
        <f>-77.35</f>
        <v>-77.349999999999994</v>
      </c>
      <c r="I34" s="2"/>
      <c r="J34" s="19"/>
      <c r="K34" s="2"/>
      <c r="L34" s="2">
        <f t="shared" si="0"/>
        <v>77.349999999999994</v>
      </c>
      <c r="M34" s="2"/>
      <c r="N34" s="19">
        <f t="shared" si="1"/>
        <v>-1</v>
      </c>
      <c r="O34" s="11"/>
      <c r="P34" s="2">
        <f t="shared" si="14"/>
        <v>0</v>
      </c>
      <c r="Q34" s="2"/>
      <c r="R34" s="19"/>
      <c r="S34" s="2"/>
      <c r="T34" s="2">
        <f>-1470.2</f>
        <v>-1470.2</v>
      </c>
      <c r="U34" s="2"/>
      <c r="V34" s="19"/>
      <c r="W34" s="2"/>
      <c r="X34" s="2">
        <f t="shared" si="2"/>
        <v>1470.2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"4304", " - ", "SALES RETURN NON TAXABLE-DIGIT")</f>
        <v xml:space="preserve">          4304 - SALES RETURN NON TAXABLE-DIGIT</v>
      </c>
      <c r="C35" s="11"/>
      <c r="D35" s="2">
        <f t="shared" si="13"/>
        <v>0</v>
      </c>
      <c r="E35" s="2"/>
      <c r="F35" s="19"/>
      <c r="G35" s="2"/>
      <c r="H35" s="2">
        <f>-144.23</f>
        <v>-144.22999999999999</v>
      </c>
      <c r="I35" s="2"/>
      <c r="J35" s="19"/>
      <c r="K35" s="2"/>
      <c r="L35" s="2">
        <f t="shared" si="0"/>
        <v>144.22999999999999</v>
      </c>
      <c r="M35" s="2"/>
      <c r="N35" s="19">
        <f t="shared" si="1"/>
        <v>-1</v>
      </c>
      <c r="O35" s="11"/>
      <c r="P35" s="2">
        <f t="shared" si="14"/>
        <v>0</v>
      </c>
      <c r="Q35" s="2"/>
      <c r="R35" s="19"/>
      <c r="S35" s="2"/>
      <c r="T35" s="2">
        <f>-14422.77</f>
        <v>-14422.77</v>
      </c>
      <c r="U35" s="2"/>
      <c r="V35" s="19"/>
      <c r="W35" s="2"/>
      <c r="X35" s="2">
        <f t="shared" si="2"/>
        <v>14422.77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"4500", " - ", "SALES DISCOUNT")</f>
        <v xml:space="preserve">          4500 - SALES DISCOUNT</v>
      </c>
      <c r="C36" s="11"/>
      <c r="D36" s="2">
        <f>-611.83</f>
        <v>-611.83000000000004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-611.83000000000004</v>
      </c>
      <c r="M36" s="2"/>
      <c r="N36" s="19">
        <f t="shared" si="1"/>
        <v>0</v>
      </c>
      <c r="O36" s="11"/>
      <c r="P36" s="2">
        <f>-1235.53</f>
        <v>-1235.53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-1235.53</v>
      </c>
      <c r="Y36" s="2"/>
      <c r="Z36" s="19">
        <f t="shared" si="3"/>
        <v>0</v>
      </c>
    </row>
    <row r="37" spans="1:26" x14ac:dyDescent="0.3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3">
      <c r="A38" s="10"/>
      <c r="B38" s="25" t="s">
        <v>256</v>
      </c>
      <c r="C38" s="10"/>
      <c r="D38" s="4">
        <f>SUM(OSRRefD16x_0)</f>
        <v>41134.559999999998</v>
      </c>
      <c r="E38" s="4"/>
      <c r="F38" s="12">
        <f t="shared" ref="F38:F55" si="15">IF(D$12=0,0,D38/D$12)</f>
        <v>0.81758521680401564</v>
      </c>
      <c r="G38" s="4"/>
      <c r="H38" s="4">
        <f>SUM(OSRRefH16x_0)</f>
        <v>10618.999999999985</v>
      </c>
      <c r="I38" s="4"/>
      <c r="J38" s="12">
        <f t="shared" ref="J38:J55" si="16">IF(H$12=0,0,H38/H$12)</f>
        <v>0.77818644963333017</v>
      </c>
      <c r="K38" s="4"/>
      <c r="L38" s="4">
        <f t="shared" ref="L38:L55" si="17">+D38-H38</f>
        <v>30515.560000000012</v>
      </c>
      <c r="M38" s="4"/>
      <c r="N38" s="12">
        <f t="shared" ref="N38:N55" si="18">IF(H38=0,0,L38/H38)</f>
        <v>2.8736754873340291</v>
      </c>
      <c r="O38" s="10"/>
      <c r="P38" s="4">
        <f>SUM(OSRRefP16x_0)</f>
        <v>889668.7699999999</v>
      </c>
      <c r="Q38" s="4"/>
      <c r="R38" s="12">
        <f t="shared" ref="R38:R55" si="19">IF(P$12=0,0,P38/P$12)</f>
        <v>0.83481160478220362</v>
      </c>
      <c r="S38" s="4"/>
      <c r="T38" s="4">
        <f>SUM(OSRRefT16x_0)</f>
        <v>779696.99999999977</v>
      </c>
      <c r="U38" s="4"/>
      <c r="V38" s="12">
        <f t="shared" ref="V38:V55" si="20">IF(T$12=0,0,T38/T$12)</f>
        <v>0.71156203873374602</v>
      </c>
      <c r="W38" s="4"/>
      <c r="X38" s="4">
        <f t="shared" ref="X38:X55" si="21">+P38-T38</f>
        <v>109971.77000000014</v>
      </c>
      <c r="Y38" s="4"/>
      <c r="Z38" s="12">
        <f t="shared" ref="Z38:Z55" si="22">IF(T38=0,0,X38/T38)</f>
        <v>0.14104423898001425</v>
      </c>
    </row>
    <row r="39" spans="1:26" s="24" customFormat="1" hidden="1" outlineLevel="1" x14ac:dyDescent="0.3">
      <c r="A39" s="44"/>
      <c r="B39" s="11" t="str">
        <f>CONCATENATE("          ", "5000", " - ", "PURCHASES @ COST")</f>
        <v xml:space="preserve">          5000 - PURCHASES @ COST</v>
      </c>
      <c r="C39" s="11"/>
      <c r="D39" s="2">
        <v>65353.7</v>
      </c>
      <c r="E39" s="2"/>
      <c r="F39" s="19">
        <f t="shared" si="15"/>
        <v>1.2989617242397777</v>
      </c>
      <c r="G39" s="2"/>
      <c r="H39" s="2"/>
      <c r="I39" s="2"/>
      <c r="J39" s="19">
        <f t="shared" si="16"/>
        <v>0</v>
      </c>
      <c r="K39" s="2"/>
      <c r="L39" s="2">
        <f t="shared" si="17"/>
        <v>65353.7</v>
      </c>
      <c r="M39" s="2"/>
      <c r="N39" s="19">
        <f t="shared" si="18"/>
        <v>0</v>
      </c>
      <c r="O39" s="11"/>
      <c r="P39" s="2">
        <v>1153238.1299999999</v>
      </c>
      <c r="Q39" s="2"/>
      <c r="R39" s="19">
        <f t="shared" si="19"/>
        <v>1.0821292220938896</v>
      </c>
      <c r="S39" s="2"/>
      <c r="T39" s="2">
        <v>0</v>
      </c>
      <c r="U39" s="2"/>
      <c r="V39" s="19">
        <f t="shared" si="20"/>
        <v>0</v>
      </c>
      <c r="W39" s="2"/>
      <c r="X39" s="2">
        <f t="shared" si="21"/>
        <v>1153238.1299999999</v>
      </c>
      <c r="Y39" s="2"/>
      <c r="Z39" s="19">
        <f t="shared" si="22"/>
        <v>0</v>
      </c>
    </row>
    <row r="40" spans="1:26" s="24" customFormat="1" hidden="1" outlineLevel="1" x14ac:dyDescent="0.3">
      <c r="A40" s="44"/>
      <c r="B40" s="11" t="str">
        <f>CONCATENATE("          ", "5001", " - ", "PURCHASES @ COST-NEW TEXT")</f>
        <v xml:space="preserve">          5001 - PURCHASES @ COST-NEW TEXT</v>
      </c>
      <c r="C40" s="11"/>
      <c r="D40" s="2"/>
      <c r="E40" s="2"/>
      <c r="F40" s="19">
        <f t="shared" si="15"/>
        <v>0</v>
      </c>
      <c r="G40" s="2"/>
      <c r="H40" s="2">
        <v>37326.239999999998</v>
      </c>
      <c r="I40" s="2"/>
      <c r="J40" s="19">
        <f t="shared" si="16"/>
        <v>2.7353587139807543</v>
      </c>
      <c r="K40" s="2"/>
      <c r="L40" s="2">
        <f t="shared" si="17"/>
        <v>-37326.239999999998</v>
      </c>
      <c r="M40" s="2"/>
      <c r="N40" s="19">
        <f t="shared" si="18"/>
        <v>-1</v>
      </c>
      <c r="O40" s="11"/>
      <c r="P40" s="2">
        <v>0</v>
      </c>
      <c r="Q40" s="2"/>
      <c r="R40" s="19">
        <f t="shared" si="19"/>
        <v>0</v>
      </c>
      <c r="S40" s="2"/>
      <c r="T40" s="2">
        <v>1073541.68</v>
      </c>
      <c r="U40" s="2"/>
      <c r="V40" s="19">
        <f t="shared" si="20"/>
        <v>0.97972867214629655</v>
      </c>
      <c r="W40" s="2"/>
      <c r="X40" s="2">
        <f t="shared" si="21"/>
        <v>-1073541.68</v>
      </c>
      <c r="Y40" s="2"/>
      <c r="Z40" s="19">
        <f t="shared" si="22"/>
        <v>-1</v>
      </c>
    </row>
    <row r="41" spans="1:26" s="24" customFormat="1" hidden="1" outlineLevel="1" x14ac:dyDescent="0.3">
      <c r="A41" s="44"/>
      <c r="B41" s="11" t="str">
        <f>CONCATENATE("          ", "5002", " - ", "PURCHASES @ COST-USED TEXT")</f>
        <v xml:space="preserve">          5002 - PURCHASES @ COST-USED TEXT</v>
      </c>
      <c r="C41" s="11"/>
      <c r="D41" s="2"/>
      <c r="E41" s="2"/>
      <c r="F41" s="19">
        <f t="shared" si="15"/>
        <v>0</v>
      </c>
      <c r="G41" s="2"/>
      <c r="H41" s="2">
        <v>71384.87</v>
      </c>
      <c r="I41" s="2"/>
      <c r="J41" s="19">
        <f t="shared" si="16"/>
        <v>5.2312589267197378</v>
      </c>
      <c r="K41" s="2"/>
      <c r="L41" s="2">
        <f t="shared" si="17"/>
        <v>-71384.87</v>
      </c>
      <c r="M41" s="2"/>
      <c r="N41" s="19">
        <f t="shared" si="18"/>
        <v>-1</v>
      </c>
      <c r="O41" s="11"/>
      <c r="P41" s="2">
        <v>0</v>
      </c>
      <c r="Q41" s="2"/>
      <c r="R41" s="19">
        <f t="shared" si="19"/>
        <v>0</v>
      </c>
      <c r="S41" s="2"/>
      <c r="T41" s="2">
        <v>25837.13</v>
      </c>
      <c r="U41" s="2"/>
      <c r="V41" s="19">
        <f t="shared" si="20"/>
        <v>2.3579314654062846E-2</v>
      </c>
      <c r="W41" s="2"/>
      <c r="X41" s="2">
        <f t="shared" si="21"/>
        <v>-25837.13</v>
      </c>
      <c r="Y41" s="2"/>
      <c r="Z41" s="19">
        <f t="shared" si="22"/>
        <v>-1</v>
      </c>
    </row>
    <row r="42" spans="1:26" s="24" customFormat="1" hidden="1" outlineLevel="1" x14ac:dyDescent="0.3">
      <c r="A42" s="44"/>
      <c r="B42" s="11" t="str">
        <f>CONCATENATE("          ", "5003", " - ", "PURCHASES @ COST-RENTAL TEXT")</f>
        <v xml:space="preserve">          5003 - PURCHASES @ COST-RENTAL TEXT</v>
      </c>
      <c r="C42" s="11"/>
      <c r="D42" s="2"/>
      <c r="E42" s="2"/>
      <c r="F42" s="19">
        <f t="shared" si="15"/>
        <v>0</v>
      </c>
      <c r="G42" s="2"/>
      <c r="H42" s="2"/>
      <c r="I42" s="2"/>
      <c r="J42" s="19">
        <f t="shared" si="16"/>
        <v>0</v>
      </c>
      <c r="K42" s="2"/>
      <c r="L42" s="2">
        <f t="shared" si="17"/>
        <v>0</v>
      </c>
      <c r="M42" s="2"/>
      <c r="N42" s="19">
        <f t="shared" si="18"/>
        <v>0</v>
      </c>
      <c r="O42" s="11"/>
      <c r="P42" s="2"/>
      <c r="Q42" s="2"/>
      <c r="R42" s="19">
        <f t="shared" si="19"/>
        <v>0</v>
      </c>
      <c r="S42" s="2"/>
      <c r="T42" s="2">
        <v>32.520000000000003</v>
      </c>
      <c r="U42" s="2"/>
      <c r="V42" s="19">
        <f t="shared" si="20"/>
        <v>2.9678192297291679E-5</v>
      </c>
      <c r="W42" s="2"/>
      <c r="X42" s="2">
        <f t="shared" si="21"/>
        <v>-32.520000000000003</v>
      </c>
      <c r="Y42" s="2"/>
      <c r="Z42" s="19">
        <f t="shared" si="22"/>
        <v>-1</v>
      </c>
    </row>
    <row r="43" spans="1:26" s="24" customFormat="1" hidden="1" outlineLevel="1" x14ac:dyDescent="0.3">
      <c r="A43" s="44"/>
      <c r="B43" s="11" t="str">
        <f>CONCATENATE("          ", "5004", " - ", "PURCHASES @ COST-DIGITAL TEXT")</f>
        <v xml:space="preserve">          5004 - PURCHASES @ COST-DIGITAL TEXT</v>
      </c>
      <c r="C43" s="11"/>
      <c r="D43" s="2"/>
      <c r="E43" s="2"/>
      <c r="F43" s="19">
        <f t="shared" si="15"/>
        <v>0</v>
      </c>
      <c r="G43" s="2"/>
      <c r="H43" s="2">
        <v>900</v>
      </c>
      <c r="I43" s="2"/>
      <c r="J43" s="19">
        <f t="shared" si="16"/>
        <v>6.5954214584235629E-2</v>
      </c>
      <c r="K43" s="2"/>
      <c r="L43" s="2">
        <f t="shared" si="17"/>
        <v>-900</v>
      </c>
      <c r="M43" s="2"/>
      <c r="N43" s="19">
        <f t="shared" si="18"/>
        <v>-1</v>
      </c>
      <c r="O43" s="11"/>
      <c r="P43" s="2">
        <v>0</v>
      </c>
      <c r="Q43" s="2"/>
      <c r="R43" s="19">
        <f t="shared" si="19"/>
        <v>0</v>
      </c>
      <c r="S43" s="2"/>
      <c r="T43" s="2">
        <v>197838.11</v>
      </c>
      <c r="U43" s="2"/>
      <c r="V43" s="19">
        <f t="shared" si="20"/>
        <v>0.18054973777099456</v>
      </c>
      <c r="W43" s="2"/>
      <c r="X43" s="2">
        <f t="shared" si="21"/>
        <v>-197838.11</v>
      </c>
      <c r="Y43" s="2"/>
      <c r="Z43" s="19">
        <f t="shared" si="22"/>
        <v>-1</v>
      </c>
    </row>
    <row r="44" spans="1:26" s="24" customFormat="1" hidden="1" outlineLevel="1" x14ac:dyDescent="0.3">
      <c r="A44" s="44"/>
      <c r="B44" s="11" t="str">
        <f>CONCATENATE("          ", "5011", " - ", "PURCHASES @ COST-NO VALUE TEXT")</f>
        <v xml:space="preserve">          5011 - PURCHASES @ COST-NO VALUE TEXT</v>
      </c>
      <c r="C44" s="11"/>
      <c r="D44" s="2"/>
      <c r="E44" s="2"/>
      <c r="F44" s="19">
        <f t="shared" si="15"/>
        <v>0</v>
      </c>
      <c r="G44" s="2"/>
      <c r="H44" s="2"/>
      <c r="I44" s="2"/>
      <c r="J44" s="19">
        <f t="shared" si="16"/>
        <v>0</v>
      </c>
      <c r="K44" s="2"/>
      <c r="L44" s="2">
        <f t="shared" si="17"/>
        <v>0</v>
      </c>
      <c r="M44" s="2"/>
      <c r="N44" s="19">
        <f t="shared" si="18"/>
        <v>0</v>
      </c>
      <c r="O44" s="11"/>
      <c r="P44" s="2"/>
      <c r="Q44" s="2"/>
      <c r="R44" s="19">
        <f t="shared" si="19"/>
        <v>0</v>
      </c>
      <c r="S44" s="2"/>
      <c r="T44" s="2">
        <v>67.17</v>
      </c>
      <c r="U44" s="2"/>
      <c r="V44" s="19">
        <f t="shared" si="20"/>
        <v>6.1300251433243609E-5</v>
      </c>
      <c r="W44" s="2"/>
      <c r="X44" s="2">
        <f t="shared" si="21"/>
        <v>-67.17</v>
      </c>
      <c r="Y44" s="2"/>
      <c r="Z44" s="19">
        <f t="shared" si="22"/>
        <v>-1</v>
      </c>
    </row>
    <row r="45" spans="1:26" s="24" customFormat="1" hidden="1" outlineLevel="1" x14ac:dyDescent="0.3">
      <c r="A45" s="44"/>
      <c r="B45" s="11" t="str">
        <f>CONCATENATE("          ", "5013", " - ", "PURCHASES @ COST-TRADE BOOKS")</f>
        <v xml:space="preserve">          5013 - PURCHASES @ COST-TRADE BOOKS</v>
      </c>
      <c r="C45" s="11"/>
      <c r="D45" s="2"/>
      <c r="E45" s="2"/>
      <c r="F45" s="19">
        <f t="shared" si="15"/>
        <v>0</v>
      </c>
      <c r="G45" s="2"/>
      <c r="H45" s="2">
        <v>31.11</v>
      </c>
      <c r="I45" s="2"/>
      <c r="J45" s="19">
        <f t="shared" si="16"/>
        <v>2.2798173507950778E-3</v>
      </c>
      <c r="K45" s="2"/>
      <c r="L45" s="2">
        <f t="shared" si="17"/>
        <v>-31.11</v>
      </c>
      <c r="M45" s="2"/>
      <c r="N45" s="19">
        <f t="shared" si="18"/>
        <v>-1</v>
      </c>
      <c r="O45" s="11"/>
      <c r="P45" s="2"/>
      <c r="Q45" s="2"/>
      <c r="R45" s="19">
        <f t="shared" si="19"/>
        <v>0</v>
      </c>
      <c r="S45" s="2"/>
      <c r="T45" s="2">
        <v>2125.85</v>
      </c>
      <c r="U45" s="2"/>
      <c r="V45" s="19">
        <f t="shared" si="20"/>
        <v>1.940079492472248E-3</v>
      </c>
      <c r="W45" s="2"/>
      <c r="X45" s="2">
        <f t="shared" si="21"/>
        <v>-2125.85</v>
      </c>
      <c r="Y45" s="2"/>
      <c r="Z45" s="19">
        <f t="shared" si="22"/>
        <v>-1</v>
      </c>
    </row>
    <row r="46" spans="1:26" s="24" customFormat="1" hidden="1" outlineLevel="1" x14ac:dyDescent="0.3">
      <c r="A46" s="44"/>
      <c r="B46" s="11" t="str">
        <f>CONCATENATE("          ", "5014", " - ", "PURCHASES @ COST-REMAINDERS")</f>
        <v xml:space="preserve">          5014 - PURCHASES @ COST-REMAINDERS</v>
      </c>
      <c r="C46" s="11"/>
      <c r="D46" s="2"/>
      <c r="E46" s="2"/>
      <c r="F46" s="19">
        <f t="shared" si="15"/>
        <v>0</v>
      </c>
      <c r="G46" s="2"/>
      <c r="H46" s="2"/>
      <c r="I46" s="2"/>
      <c r="J46" s="19">
        <f t="shared" si="16"/>
        <v>0</v>
      </c>
      <c r="K46" s="2"/>
      <c r="L46" s="2">
        <f t="shared" si="17"/>
        <v>0</v>
      </c>
      <c r="M46" s="2"/>
      <c r="N46" s="19">
        <f t="shared" si="18"/>
        <v>0</v>
      </c>
      <c r="O46" s="11"/>
      <c r="P46" s="2"/>
      <c r="Q46" s="2"/>
      <c r="R46" s="19">
        <f t="shared" si="19"/>
        <v>0</v>
      </c>
      <c r="S46" s="2"/>
      <c r="T46" s="2">
        <v>90.41</v>
      </c>
      <c r="U46" s="2"/>
      <c r="V46" s="19">
        <f t="shared" si="20"/>
        <v>8.2509390086043673E-5</v>
      </c>
      <c r="W46" s="2"/>
      <c r="X46" s="2">
        <f t="shared" si="21"/>
        <v>-90.41</v>
      </c>
      <c r="Y46" s="2"/>
      <c r="Z46" s="19">
        <f t="shared" si="22"/>
        <v>-1</v>
      </c>
    </row>
    <row r="47" spans="1:26" s="24" customFormat="1" hidden="1" outlineLevel="1" x14ac:dyDescent="0.3">
      <c r="A47" s="44"/>
      <c r="B47" s="11" t="str">
        <f>CONCATENATE("          ", "5018", " - ", "PURCHASES @ COST-STUDY GUIDES")</f>
        <v xml:space="preserve">          5018 - PURCHASES @ COST-STUDY GUIDES</v>
      </c>
      <c r="C47" s="11"/>
      <c r="D47" s="2"/>
      <c r="E47" s="2"/>
      <c r="F47" s="19">
        <f t="shared" si="15"/>
        <v>0</v>
      </c>
      <c r="G47" s="2"/>
      <c r="H47" s="2"/>
      <c r="I47" s="2"/>
      <c r="J47" s="19">
        <f t="shared" si="16"/>
        <v>0</v>
      </c>
      <c r="K47" s="2"/>
      <c r="L47" s="2">
        <f t="shared" si="17"/>
        <v>0</v>
      </c>
      <c r="M47" s="2"/>
      <c r="N47" s="19">
        <f t="shared" si="18"/>
        <v>0</v>
      </c>
      <c r="O47" s="11"/>
      <c r="P47" s="2"/>
      <c r="Q47" s="2"/>
      <c r="R47" s="19">
        <f t="shared" si="19"/>
        <v>0</v>
      </c>
      <c r="S47" s="2"/>
      <c r="T47" s="2">
        <v>106.34</v>
      </c>
      <c r="U47" s="2"/>
      <c r="V47" s="19">
        <f t="shared" si="20"/>
        <v>9.7047323766728076E-5</v>
      </c>
      <c r="W47" s="2"/>
      <c r="X47" s="2">
        <f t="shared" si="21"/>
        <v>-106.34</v>
      </c>
      <c r="Y47" s="2"/>
      <c r="Z47" s="19">
        <f t="shared" si="22"/>
        <v>-1</v>
      </c>
    </row>
    <row r="48" spans="1:26" s="24" customFormat="1" hidden="1" outlineLevel="1" x14ac:dyDescent="0.3">
      <c r="A48" s="44"/>
      <c r="B48" s="11" t="str">
        <f>CONCATENATE("          ", "5200", " - ", "PURCHASES OFFSET")</f>
        <v xml:space="preserve">          5200 - PURCHASES OFFSET</v>
      </c>
      <c r="C48" s="11"/>
      <c r="D48" s="2">
        <v>-66175.399999999994</v>
      </c>
      <c r="E48" s="2"/>
      <c r="F48" s="19">
        <f t="shared" si="15"/>
        <v>-1.3152937276123156</v>
      </c>
      <c r="G48" s="2"/>
      <c r="H48" s="2">
        <v>-114446.47</v>
      </c>
      <c r="I48" s="2"/>
      <c r="J48" s="19">
        <f t="shared" si="16"/>
        <v>-8.3869189342092056</v>
      </c>
      <c r="K48" s="2"/>
      <c r="L48" s="2">
        <f t="shared" si="17"/>
        <v>48271.070000000007</v>
      </c>
      <c r="M48" s="2"/>
      <c r="N48" s="19">
        <f t="shared" si="18"/>
        <v>-0.42177858347225566</v>
      </c>
      <c r="O48" s="11"/>
      <c r="P48" s="2">
        <v>-1190579.81</v>
      </c>
      <c r="Q48" s="2"/>
      <c r="R48" s="19">
        <f t="shared" si="19"/>
        <v>-1.1171684061781681</v>
      </c>
      <c r="S48" s="2"/>
      <c r="T48" s="2">
        <v>-1350673.8</v>
      </c>
      <c r="U48" s="2"/>
      <c r="V48" s="19">
        <f t="shared" si="20"/>
        <v>-1.2326431970268659</v>
      </c>
      <c r="W48" s="2"/>
      <c r="X48" s="2">
        <f t="shared" si="21"/>
        <v>160093.99</v>
      </c>
      <c r="Y48" s="2"/>
      <c r="Z48" s="19">
        <f t="shared" si="22"/>
        <v>-0.11852898160903098</v>
      </c>
    </row>
    <row r="49" spans="1:26" s="24" customFormat="1" hidden="1" outlineLevel="1" x14ac:dyDescent="0.3">
      <c r="A49" s="44"/>
      <c r="B49" s="11" t="str">
        <f>CONCATENATE("          ", "5300", " - ", "COG$ OFFSET")</f>
        <v xml:space="preserve">          5300 - COG$ OFFSET</v>
      </c>
      <c r="C49" s="11"/>
      <c r="D49" s="2">
        <v>41134.559999999998</v>
      </c>
      <c r="E49" s="2"/>
      <c r="F49" s="19">
        <f t="shared" si="15"/>
        <v>0.81758521680401564</v>
      </c>
      <c r="G49" s="2"/>
      <c r="H49" s="2">
        <v>10619</v>
      </c>
      <c r="I49" s="2"/>
      <c r="J49" s="19">
        <f t="shared" si="16"/>
        <v>0.77818644963333117</v>
      </c>
      <c r="K49" s="2"/>
      <c r="L49" s="2">
        <f t="shared" si="17"/>
        <v>30515.559999999998</v>
      </c>
      <c r="M49" s="2"/>
      <c r="N49" s="19">
        <f t="shared" si="18"/>
        <v>2.8736754873340238</v>
      </c>
      <c r="O49" s="11"/>
      <c r="P49" s="2">
        <v>889668.77</v>
      </c>
      <c r="Q49" s="2"/>
      <c r="R49" s="19">
        <f t="shared" si="19"/>
        <v>0.83481160478220373</v>
      </c>
      <c r="S49" s="2"/>
      <c r="T49" s="2">
        <v>779697</v>
      </c>
      <c r="U49" s="2"/>
      <c r="V49" s="19">
        <f t="shared" si="20"/>
        <v>0.71156203873374624</v>
      </c>
      <c r="W49" s="2"/>
      <c r="X49" s="2">
        <f t="shared" si="21"/>
        <v>109971.77000000002</v>
      </c>
      <c r="Y49" s="2"/>
      <c r="Z49" s="19">
        <f t="shared" si="22"/>
        <v>0.14104423898001406</v>
      </c>
    </row>
    <row r="50" spans="1:26" s="24" customFormat="1" hidden="1" outlineLevel="1" x14ac:dyDescent="0.3">
      <c r="A50" s="44"/>
      <c r="B50" s="11" t="str">
        <f>CONCATENATE("          ", "5500", " - ", "FREIGHT-IN")</f>
        <v xml:space="preserve">          5500 - FREIGHT-IN</v>
      </c>
      <c r="C50" s="11"/>
      <c r="D50" s="2">
        <v>821.7</v>
      </c>
      <c r="E50" s="2"/>
      <c r="F50" s="19">
        <f t="shared" si="15"/>
        <v>1.6332003372537828E-2</v>
      </c>
      <c r="G50" s="2"/>
      <c r="H50" s="2">
        <v>0</v>
      </c>
      <c r="I50" s="2"/>
      <c r="J50" s="19">
        <f t="shared" si="16"/>
        <v>0</v>
      </c>
      <c r="K50" s="2"/>
      <c r="L50" s="2">
        <f t="shared" si="17"/>
        <v>821.7</v>
      </c>
      <c r="M50" s="2"/>
      <c r="N50" s="19">
        <f t="shared" si="18"/>
        <v>0</v>
      </c>
      <c r="O50" s="11"/>
      <c r="P50" s="2">
        <v>37341.68</v>
      </c>
      <c r="Q50" s="2"/>
      <c r="R50" s="19">
        <f t="shared" si="19"/>
        <v>3.5039184084278377E-2</v>
      </c>
      <c r="S50" s="2"/>
      <c r="T50" s="2">
        <v>0</v>
      </c>
      <c r="U50" s="2"/>
      <c r="V50" s="19">
        <f t="shared" si="20"/>
        <v>0</v>
      </c>
      <c r="W50" s="2"/>
      <c r="X50" s="2">
        <f t="shared" si="21"/>
        <v>37341.68</v>
      </c>
      <c r="Y50" s="2"/>
      <c r="Z50" s="19">
        <f t="shared" si="22"/>
        <v>0</v>
      </c>
    </row>
    <row r="51" spans="1:26" s="24" customFormat="1" hidden="1" outlineLevel="1" x14ac:dyDescent="0.3">
      <c r="A51" s="44"/>
      <c r="B51" s="11" t="str">
        <f>CONCATENATE("          ", "5501", " - ", "FREIGHT-IN-NEW TEXT")</f>
        <v xml:space="preserve">          5501 - FREIGHT-IN-NEW TEXT</v>
      </c>
      <c r="C51" s="11"/>
      <c r="D51" s="2"/>
      <c r="E51" s="2"/>
      <c r="F51" s="19">
        <f t="shared" si="15"/>
        <v>0</v>
      </c>
      <c r="G51" s="2"/>
      <c r="H51" s="2">
        <v>2414.77</v>
      </c>
      <c r="I51" s="2"/>
      <c r="J51" s="19">
        <f t="shared" si="16"/>
        <v>0.17696028750174961</v>
      </c>
      <c r="K51" s="2"/>
      <c r="L51" s="2">
        <f t="shared" si="17"/>
        <v>-2414.77</v>
      </c>
      <c r="M51" s="2"/>
      <c r="N51" s="19">
        <f t="shared" si="18"/>
        <v>-1</v>
      </c>
      <c r="O51" s="11"/>
      <c r="P51" s="2">
        <v>0</v>
      </c>
      <c r="Q51" s="2"/>
      <c r="R51" s="19">
        <f t="shared" si="19"/>
        <v>0</v>
      </c>
      <c r="S51" s="2"/>
      <c r="T51" s="2">
        <v>37463.58</v>
      </c>
      <c r="U51" s="2"/>
      <c r="V51" s="19">
        <f t="shared" si="20"/>
        <v>3.418977033779122E-2</v>
      </c>
      <c r="W51" s="2"/>
      <c r="X51" s="2">
        <f t="shared" si="21"/>
        <v>-37463.58</v>
      </c>
      <c r="Y51" s="2"/>
      <c r="Z51" s="19">
        <f t="shared" si="22"/>
        <v>-1</v>
      </c>
    </row>
    <row r="52" spans="1:26" s="24" customFormat="1" hidden="1" outlineLevel="1" x14ac:dyDescent="0.3">
      <c r="A52" s="44"/>
      <c r="B52" s="11" t="str">
        <f>CONCATENATE("          ", "5502", " - ", "FREIGHT-IN-USED TEXT")</f>
        <v xml:space="preserve">          5502 - FREIGHT-IN-USED TEXT</v>
      </c>
      <c r="C52" s="11"/>
      <c r="D52" s="2"/>
      <c r="E52" s="2"/>
      <c r="F52" s="19">
        <f t="shared" si="15"/>
        <v>0</v>
      </c>
      <c r="G52" s="2"/>
      <c r="H52" s="2">
        <v>2389.48</v>
      </c>
      <c r="I52" s="2"/>
      <c r="J52" s="19">
        <f t="shared" si="16"/>
        <v>0.1751069740719326</v>
      </c>
      <c r="K52" s="2"/>
      <c r="L52" s="2">
        <f t="shared" si="17"/>
        <v>-2389.48</v>
      </c>
      <c r="M52" s="2"/>
      <c r="N52" s="19">
        <f t="shared" si="18"/>
        <v>-1</v>
      </c>
      <c r="O52" s="11"/>
      <c r="P52" s="2">
        <v>0</v>
      </c>
      <c r="Q52" s="2"/>
      <c r="R52" s="19">
        <f t="shared" si="19"/>
        <v>0</v>
      </c>
      <c r="S52" s="2"/>
      <c r="T52" s="2">
        <v>13522.57</v>
      </c>
      <c r="U52" s="2"/>
      <c r="V52" s="19">
        <f t="shared" si="20"/>
        <v>1.2340880467822495E-2</v>
      </c>
      <c r="W52" s="2"/>
      <c r="X52" s="2">
        <f t="shared" si="21"/>
        <v>-13522.57</v>
      </c>
      <c r="Y52" s="2"/>
      <c r="Z52" s="19">
        <f t="shared" si="22"/>
        <v>-1</v>
      </c>
    </row>
    <row r="53" spans="1:26" s="24" customFormat="1" hidden="1" outlineLevel="1" x14ac:dyDescent="0.3">
      <c r="A53" s="44"/>
      <c r="B53" s="11" t="str">
        <f>CONCATENATE("          ", "5504", " - ", "FREIGHT-IN-DIGITAL TEXT")</f>
        <v xml:space="preserve">          5504 - FREIGHT-IN-DIGITAL TEXT</v>
      </c>
      <c r="C53" s="11"/>
      <c r="D53" s="2"/>
      <c r="E53" s="2"/>
      <c r="F53" s="19">
        <f t="shared" si="15"/>
        <v>0</v>
      </c>
      <c r="G53" s="2"/>
      <c r="H53" s="2"/>
      <c r="I53" s="2"/>
      <c r="J53" s="19">
        <f t="shared" si="16"/>
        <v>0</v>
      </c>
      <c r="K53" s="2"/>
      <c r="L53" s="2">
        <f t="shared" si="17"/>
        <v>0</v>
      </c>
      <c r="M53" s="2"/>
      <c r="N53" s="19">
        <f t="shared" si="18"/>
        <v>0</v>
      </c>
      <c r="O53" s="11"/>
      <c r="P53" s="2"/>
      <c r="Q53" s="2"/>
      <c r="R53" s="19">
        <f t="shared" si="19"/>
        <v>0</v>
      </c>
      <c r="S53" s="2"/>
      <c r="T53" s="2">
        <v>21.98</v>
      </c>
      <c r="U53" s="2"/>
      <c r="V53" s="19">
        <f t="shared" si="20"/>
        <v>2.0059245593310919E-5</v>
      </c>
      <c r="W53" s="2"/>
      <c r="X53" s="2">
        <f t="shared" si="21"/>
        <v>-21.98</v>
      </c>
      <c r="Y53" s="2"/>
      <c r="Z53" s="19">
        <f t="shared" si="22"/>
        <v>-1</v>
      </c>
    </row>
    <row r="54" spans="1:26" s="24" customFormat="1" hidden="1" outlineLevel="1" x14ac:dyDescent="0.3">
      <c r="A54" s="44"/>
      <c r="B54" s="11" t="str">
        <f>CONCATENATE("          ", "5513", " - ", "FREIGHT-IN-TRADE BOOKS")</f>
        <v xml:space="preserve">          5513 - FREIGHT-IN-TRADE BOOKS</v>
      </c>
      <c r="C54" s="11"/>
      <c r="D54" s="2"/>
      <c r="E54" s="2"/>
      <c r="F54" s="19">
        <f t="shared" si="15"/>
        <v>0</v>
      </c>
      <c r="G54" s="2"/>
      <c r="H54" s="2"/>
      <c r="I54" s="2"/>
      <c r="J54" s="19">
        <f t="shared" si="16"/>
        <v>0</v>
      </c>
      <c r="K54" s="2"/>
      <c r="L54" s="2">
        <f t="shared" si="17"/>
        <v>0</v>
      </c>
      <c r="M54" s="2"/>
      <c r="N54" s="19">
        <f t="shared" si="18"/>
        <v>0</v>
      </c>
      <c r="O54" s="11"/>
      <c r="P54" s="2"/>
      <c r="Q54" s="2"/>
      <c r="R54" s="19">
        <f t="shared" si="19"/>
        <v>0</v>
      </c>
      <c r="S54" s="2"/>
      <c r="T54" s="2">
        <v>26.46</v>
      </c>
      <c r="U54" s="2"/>
      <c r="V54" s="19">
        <f t="shared" si="20"/>
        <v>2.4147754249272381E-5</v>
      </c>
      <c r="W54" s="2"/>
      <c r="X54" s="2">
        <f t="shared" si="21"/>
        <v>-26.46</v>
      </c>
      <c r="Y54" s="2"/>
      <c r="Z54" s="19">
        <f t="shared" si="22"/>
        <v>-1</v>
      </c>
    </row>
    <row r="55" spans="1:26" s="24" customFormat="1" hidden="1" outlineLevel="1" x14ac:dyDescent="0.3">
      <c r="A55" s="44"/>
      <c r="B55" s="11" t="str">
        <f>CONCATENATE("          ", "5518", " - ", "FREIGHT-IN-STUDY GUIDES")</f>
        <v xml:space="preserve">          5518 - FREIGHT-IN-STUDY GUIDES</v>
      </c>
      <c r="C55" s="11"/>
      <c r="D55" s="2"/>
      <c r="E55" s="2"/>
      <c r="F55" s="19">
        <f t="shared" si="15"/>
        <v>0</v>
      </c>
      <c r="G55" s="2"/>
      <c r="H55" s="2"/>
      <c r="I55" s="2"/>
      <c r="J55" s="19">
        <f t="shared" si="16"/>
        <v>0</v>
      </c>
      <c r="K55" s="2"/>
      <c r="L55" s="2">
        <f t="shared" si="17"/>
        <v>0</v>
      </c>
      <c r="M55" s="2"/>
      <c r="N55" s="19">
        <f t="shared" si="18"/>
        <v>0</v>
      </c>
      <c r="O55" s="11"/>
      <c r="P55" s="2">
        <v>0</v>
      </c>
      <c r="Q55" s="2"/>
      <c r="R55" s="19">
        <f t="shared" si="19"/>
        <v>0</v>
      </c>
      <c r="S55" s="2"/>
      <c r="T55" s="2"/>
      <c r="U55" s="2"/>
      <c r="V55" s="19">
        <f t="shared" si="20"/>
        <v>0</v>
      </c>
      <c r="W55" s="2"/>
      <c r="X55" s="2">
        <f t="shared" si="21"/>
        <v>0</v>
      </c>
      <c r="Y55" s="2"/>
      <c r="Z55" s="19">
        <f t="shared" si="22"/>
        <v>0</v>
      </c>
    </row>
    <row r="56" spans="1:26" x14ac:dyDescent="0.3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3">
      <c r="A57" s="10"/>
      <c r="B57" s="26" t="s">
        <v>107</v>
      </c>
      <c r="C57" s="26"/>
      <c r="D57" s="20">
        <f>D12-D38</f>
        <v>9177.6999999999971</v>
      </c>
      <c r="E57" s="13"/>
      <c r="F57" s="21">
        <f>IF(D$12=0,0,D57/D$12)</f>
        <v>0.18241478319598439</v>
      </c>
      <c r="G57" s="13"/>
      <c r="H57" s="20">
        <f>H12-H38</f>
        <v>3026.8300000000145</v>
      </c>
      <c r="I57" s="13"/>
      <c r="J57" s="21">
        <f>IF(H$12=0,0,H57/H$12)</f>
        <v>0.22181355036666986</v>
      </c>
      <c r="K57" s="15"/>
      <c r="L57" s="20">
        <f>+D57-H57</f>
        <v>6150.8699999999826</v>
      </c>
      <c r="M57" s="15"/>
      <c r="N57" s="21">
        <f>IF(H57=0,0,L57/H57)</f>
        <v>2.0321161082716745</v>
      </c>
      <c r="O57" s="25"/>
      <c r="P57" s="20">
        <f>P12-P38</f>
        <v>176043.26000000013</v>
      </c>
      <c r="Q57" s="13"/>
      <c r="R57" s="21">
        <f>IF(P$12=0,0,P57/P$12)</f>
        <v>0.16518839521779644</v>
      </c>
      <c r="S57" s="13"/>
      <c r="T57" s="20">
        <f>T12-T38</f>
        <v>316057.07000000007</v>
      </c>
      <c r="U57" s="13"/>
      <c r="V57" s="21">
        <f>IF(T$12=0,0,T57/T$12)</f>
        <v>0.28843796126625393</v>
      </c>
      <c r="W57" s="15"/>
      <c r="X57" s="20">
        <f>+P57-T57</f>
        <v>-140013.80999999994</v>
      </c>
      <c r="Y57" s="15"/>
      <c r="Z57" s="21">
        <f>IF(T57=0,0,X57/T57)</f>
        <v>-0.44300167055272616</v>
      </c>
    </row>
    <row r="58" spans="1:26" x14ac:dyDescent="0.3">
      <c r="A58" s="9"/>
      <c r="B58" s="10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3">
      <c r="A59" s="10"/>
      <c r="B59" s="25" t="s">
        <v>294</v>
      </c>
      <c r="C59" s="10"/>
      <c r="D59" s="22">
        <f>SUM(OSRRefD22x_0)</f>
        <v>46608.87000000001</v>
      </c>
      <c r="E59" s="22"/>
      <c r="F59" s="34">
        <f t="shared" ref="F59:F69" si="23">IF(D$12=0,0,D59/D$12)</f>
        <v>0.92639189732283966</v>
      </c>
      <c r="G59" s="22"/>
      <c r="H59" s="22">
        <f>SUM(OSRRefH22x_0)</f>
        <v>51172.139999999992</v>
      </c>
      <c r="I59" s="22"/>
      <c r="J59" s="34">
        <f t="shared" ref="J59:J69" si="24">IF(H$12=0,0,H59/H$12)</f>
        <v>3.7500203358828297</v>
      </c>
      <c r="K59" s="4"/>
      <c r="L59" s="22">
        <f t="shared" ref="L59:L69" si="25">+D59-H59</f>
        <v>-4563.2699999999822</v>
      </c>
      <c r="M59" s="4"/>
      <c r="N59" s="34">
        <f t="shared" ref="N59:N69" si="26">IF(H59=0,0,L59/H59)</f>
        <v>-8.9174890868351078E-2</v>
      </c>
      <c r="O59" s="10"/>
      <c r="P59" s="22">
        <f>SUM(OSRRefP22x_0)</f>
        <v>279517.98</v>
      </c>
      <c r="Q59" s="22"/>
      <c r="R59" s="34">
        <f t="shared" ref="R59:R69" si="27">IF(P$12=0,0,P59/P$12)</f>
        <v>0.26228284201690016</v>
      </c>
      <c r="S59" s="22"/>
      <c r="T59" s="22">
        <f>SUM(OSRRefT22x_0)</f>
        <v>264104.50999999995</v>
      </c>
      <c r="U59" s="22"/>
      <c r="V59" s="34">
        <f t="shared" ref="V59:V69" si="28">IF(T$12=0,0,T59/T$12)</f>
        <v>0.24102535161014732</v>
      </c>
      <c r="W59" s="4"/>
      <c r="X59" s="22">
        <f t="shared" ref="X59:X69" si="29">+P59-T59</f>
        <v>15413.47000000003</v>
      </c>
      <c r="Y59" s="4"/>
      <c r="Z59" s="34">
        <f t="shared" ref="Z59:Z69" si="30">IF(T59=0,0,X59/T59)</f>
        <v>5.8361252520829854E-2</v>
      </c>
    </row>
    <row r="60" spans="1:26" s="29" customFormat="1" outlineLevel="1" collapsed="1" x14ac:dyDescent="0.3">
      <c r="A60" s="27"/>
      <c r="B60" s="14" t="str">
        <f>CONCATENATE("     ","*Benefits                                         ")</f>
        <v xml:space="preserve">     *Benefits                                         </v>
      </c>
      <c r="C60" s="14"/>
      <c r="D60" s="1">
        <f>SUM(OSRRefD22_0x_0)</f>
        <v>12486.67</v>
      </c>
      <c r="E60" s="1"/>
      <c r="F60" s="5">
        <f t="shared" si="23"/>
        <v>0.24818344475084206</v>
      </c>
      <c r="G60" s="1"/>
      <c r="H60" s="1">
        <f>SUM(OSRRefH22_0x_0)</f>
        <v>11725.109999999999</v>
      </c>
      <c r="I60" s="1"/>
      <c r="J60" s="5">
        <f t="shared" si="24"/>
        <v>0.85924491218196319</v>
      </c>
      <c r="K60" s="1"/>
      <c r="L60" s="1">
        <f t="shared" si="25"/>
        <v>761.56000000000131</v>
      </c>
      <c r="M60" s="1"/>
      <c r="N60" s="5">
        <f t="shared" si="26"/>
        <v>6.4951203016432368E-2</v>
      </c>
      <c r="O60" s="14"/>
      <c r="P60" s="1">
        <f>SUM(OSRRefP22_0x_0)</f>
        <v>76965.06</v>
      </c>
      <c r="Q60" s="1"/>
      <c r="R60" s="5">
        <f t="shared" si="27"/>
        <v>7.2219378062195652E-2</v>
      </c>
      <c r="S60" s="1"/>
      <c r="T60" s="1">
        <f>SUM(OSRRefT22_0x_0)</f>
        <v>68762.950000000012</v>
      </c>
      <c r="U60" s="1"/>
      <c r="V60" s="5">
        <f t="shared" si="28"/>
        <v>6.2753999170635094E-2</v>
      </c>
      <c r="W60" s="1"/>
      <c r="X60" s="1">
        <f t="shared" si="29"/>
        <v>8202.109999999986</v>
      </c>
      <c r="Y60" s="1"/>
      <c r="Z60" s="5">
        <f t="shared" si="30"/>
        <v>0.11928094998832925</v>
      </c>
    </row>
    <row r="61" spans="1:26" s="24" customFormat="1" hidden="1" outlineLevel="2" x14ac:dyDescent="0.3">
      <c r="A61" s="28"/>
      <c r="B61" s="11" t="str">
        <f>CONCATENATE("          ", "6111", " - ", "F.I.C.A.")</f>
        <v xml:space="preserve">          6111 - F.I.C.A.</v>
      </c>
      <c r="C61" s="11"/>
      <c r="D61" s="6">
        <v>1933.15</v>
      </c>
      <c r="E61" s="2"/>
      <c r="F61" s="7">
        <f t="shared" si="23"/>
        <v>3.8423040427919559E-2</v>
      </c>
      <c r="G61" s="2"/>
      <c r="H61" s="6">
        <v>1995.53</v>
      </c>
      <c r="I61" s="2"/>
      <c r="J61" s="7">
        <f t="shared" si="24"/>
        <v>0.14623734869919969</v>
      </c>
      <c r="K61" s="2"/>
      <c r="L61" s="6">
        <f t="shared" si="25"/>
        <v>-62.379999999999882</v>
      </c>
      <c r="M61" s="2"/>
      <c r="N61" s="7">
        <f t="shared" si="26"/>
        <v>-3.1259865800063083E-2</v>
      </c>
      <c r="O61" s="11"/>
      <c r="P61" s="6">
        <v>12880.29</v>
      </c>
      <c r="Q61" s="2"/>
      <c r="R61" s="7">
        <f t="shared" si="27"/>
        <v>1.2086088584361762E-2</v>
      </c>
      <c r="S61" s="2"/>
      <c r="T61" s="6">
        <v>12943</v>
      </c>
      <c r="U61" s="2"/>
      <c r="V61" s="7">
        <f t="shared" si="28"/>
        <v>1.1811957038863658E-2</v>
      </c>
      <c r="W61" s="2"/>
      <c r="X61" s="6">
        <f t="shared" si="29"/>
        <v>-62.709999999999127</v>
      </c>
      <c r="Y61" s="2"/>
      <c r="Z61" s="7">
        <f t="shared" si="30"/>
        <v>-4.8450900100439715E-3</v>
      </c>
    </row>
    <row r="62" spans="1:26" s="24" customFormat="1" hidden="1" outlineLevel="2" x14ac:dyDescent="0.3">
      <c r="A62" s="28"/>
      <c r="B62" s="11" t="str">
        <f>CONCATENATE("          ", "6112", " - ", "COMPENSATION INSURANCE")</f>
        <v xml:space="preserve">          6112 - COMPENSATION INSURANCE</v>
      </c>
      <c r="C62" s="11"/>
      <c r="D62" s="6">
        <v>354.74</v>
      </c>
      <c r="E62" s="2"/>
      <c r="F62" s="7">
        <f t="shared" si="23"/>
        <v>7.0507665527249231E-3</v>
      </c>
      <c r="G62" s="2"/>
      <c r="H62" s="6">
        <v>314.69</v>
      </c>
      <c r="I62" s="2"/>
      <c r="J62" s="7">
        <f t="shared" si="24"/>
        <v>2.3061257541681233E-2</v>
      </c>
      <c r="K62" s="2"/>
      <c r="L62" s="6">
        <f t="shared" si="25"/>
        <v>40.050000000000011</v>
      </c>
      <c r="M62" s="2"/>
      <c r="N62" s="7">
        <f t="shared" si="26"/>
        <v>0.12726810511932382</v>
      </c>
      <c r="O62" s="11"/>
      <c r="P62" s="6">
        <v>2548.7199999999998</v>
      </c>
      <c r="Q62" s="2"/>
      <c r="R62" s="7">
        <f t="shared" si="27"/>
        <v>2.3915653837556848E-3</v>
      </c>
      <c r="S62" s="2"/>
      <c r="T62" s="6">
        <v>982.04</v>
      </c>
      <c r="U62" s="2"/>
      <c r="V62" s="7">
        <f t="shared" si="28"/>
        <v>8.9622300011169486E-4</v>
      </c>
      <c r="W62" s="2"/>
      <c r="X62" s="6">
        <f t="shared" si="29"/>
        <v>1566.6799999999998</v>
      </c>
      <c r="Y62" s="2"/>
      <c r="Z62" s="7">
        <f t="shared" si="30"/>
        <v>1.5953321656958983</v>
      </c>
    </row>
    <row r="63" spans="1:26" s="24" customFormat="1" hidden="1" outlineLevel="2" x14ac:dyDescent="0.3">
      <c r="A63" s="28"/>
      <c r="B63" s="11" t="str">
        <f>CONCATENATE("          ", "6113", " - ", "GROUP INSURANCE")</f>
        <v xml:space="preserve">          6113 - GROUP INSURANCE</v>
      </c>
      <c r="C63" s="11"/>
      <c r="D63" s="6">
        <v>4593.8599999999997</v>
      </c>
      <c r="E63" s="2"/>
      <c r="F63" s="7">
        <f t="shared" si="23"/>
        <v>9.130696971274993E-2</v>
      </c>
      <c r="G63" s="2"/>
      <c r="H63" s="6">
        <v>4281.38</v>
      </c>
      <c r="I63" s="2"/>
      <c r="J63" s="7">
        <f t="shared" si="24"/>
        <v>0.31375006137406081</v>
      </c>
      <c r="K63" s="2"/>
      <c r="L63" s="6">
        <f t="shared" si="25"/>
        <v>312.47999999999956</v>
      </c>
      <c r="M63" s="2"/>
      <c r="N63" s="7">
        <f t="shared" si="26"/>
        <v>7.2985812985532597E-2</v>
      </c>
      <c r="O63" s="11"/>
      <c r="P63" s="6">
        <v>27619.41</v>
      </c>
      <c r="Q63" s="2"/>
      <c r="R63" s="7">
        <f t="shared" si="27"/>
        <v>2.5916391316329609E-2</v>
      </c>
      <c r="S63" s="2"/>
      <c r="T63" s="6">
        <v>25388.22</v>
      </c>
      <c r="U63" s="2"/>
      <c r="V63" s="7">
        <f t="shared" si="28"/>
        <v>2.3169633310145956E-2</v>
      </c>
      <c r="W63" s="2"/>
      <c r="X63" s="6">
        <f t="shared" si="29"/>
        <v>2231.1899999999987</v>
      </c>
      <c r="Y63" s="2"/>
      <c r="Z63" s="7">
        <f t="shared" si="30"/>
        <v>8.7882884266797689E-2</v>
      </c>
    </row>
    <row r="64" spans="1:26" s="24" customFormat="1" hidden="1" outlineLevel="2" x14ac:dyDescent="0.3">
      <c r="A64" s="28"/>
      <c r="B64" s="11" t="str">
        <f>CONCATENATE("          ", "6114", " - ", "STATE UNEMPLOYMENT INSURANCE")</f>
        <v xml:space="preserve">          6114 - STATE UNEMPLOYMENT INSURANCE</v>
      </c>
      <c r="C64" s="11"/>
      <c r="D64" s="6">
        <v>70.459999999999994</v>
      </c>
      <c r="E64" s="2"/>
      <c r="F64" s="7">
        <f t="shared" si="23"/>
        <v>1.4004538853949315E-3</v>
      </c>
      <c r="G64" s="2"/>
      <c r="H64" s="6"/>
      <c r="I64" s="2"/>
      <c r="J64" s="7">
        <f t="shared" si="24"/>
        <v>0</v>
      </c>
      <c r="K64" s="2"/>
      <c r="L64" s="6">
        <f t="shared" si="25"/>
        <v>70.459999999999994</v>
      </c>
      <c r="M64" s="2"/>
      <c r="N64" s="7">
        <f t="shared" si="26"/>
        <v>0</v>
      </c>
      <c r="O64" s="11"/>
      <c r="P64" s="6">
        <v>505.55</v>
      </c>
      <c r="Q64" s="2"/>
      <c r="R64" s="7">
        <f t="shared" si="27"/>
        <v>4.7437767968144264E-4</v>
      </c>
      <c r="S64" s="2"/>
      <c r="T64" s="6">
        <v>382.75</v>
      </c>
      <c r="U64" s="2"/>
      <c r="V64" s="7">
        <f t="shared" si="28"/>
        <v>3.4930283215831454E-4</v>
      </c>
      <c r="W64" s="2"/>
      <c r="X64" s="6">
        <f t="shared" si="29"/>
        <v>122.80000000000001</v>
      </c>
      <c r="Y64" s="2"/>
      <c r="Z64" s="7">
        <f t="shared" si="30"/>
        <v>0.32083605486610062</v>
      </c>
    </row>
    <row r="65" spans="1:26" s="24" customFormat="1" hidden="1" outlineLevel="2" x14ac:dyDescent="0.3">
      <c r="A65" s="28"/>
      <c r="B65" s="11" t="str">
        <f>CONCATENATE("          ", "6115", " - ", "P.E.R.S.")</f>
        <v xml:space="preserve">          6115 - P.E.R.S.</v>
      </c>
      <c r="C65" s="11"/>
      <c r="D65" s="6">
        <v>1671.39</v>
      </c>
      <c r="E65" s="2"/>
      <c r="F65" s="7">
        <f t="shared" si="23"/>
        <v>3.3220332380219063E-2</v>
      </c>
      <c r="G65" s="2"/>
      <c r="H65" s="6">
        <v>1783.22</v>
      </c>
      <c r="I65" s="2"/>
      <c r="J65" s="7">
        <f t="shared" si="24"/>
        <v>0.1306787494787785</v>
      </c>
      <c r="K65" s="2"/>
      <c r="L65" s="6">
        <f t="shared" si="25"/>
        <v>-111.82999999999993</v>
      </c>
      <c r="M65" s="2"/>
      <c r="N65" s="7">
        <f t="shared" si="26"/>
        <v>-6.2712396675676546E-2</v>
      </c>
      <c r="O65" s="11"/>
      <c r="P65" s="6">
        <v>10574.73</v>
      </c>
      <c r="Q65" s="2"/>
      <c r="R65" s="7">
        <f t="shared" si="27"/>
        <v>9.9226899033878786E-3</v>
      </c>
      <c r="S65" s="2"/>
      <c r="T65" s="6">
        <v>10486.24</v>
      </c>
      <c r="U65" s="2"/>
      <c r="V65" s="7">
        <f t="shared" si="28"/>
        <v>9.5698846001092217E-3</v>
      </c>
      <c r="W65" s="2"/>
      <c r="X65" s="6">
        <f t="shared" si="29"/>
        <v>88.489999999999782</v>
      </c>
      <c r="Y65" s="2"/>
      <c r="Z65" s="7">
        <f t="shared" si="30"/>
        <v>8.4386777338683622E-3</v>
      </c>
    </row>
    <row r="66" spans="1:26" s="24" customFormat="1" hidden="1" outlineLevel="2" x14ac:dyDescent="0.3">
      <c r="A66" s="28"/>
      <c r="B66" s="11" t="str">
        <f>CONCATENATE("          ", "6117", " - ", "RETIREMENT STAFF HOURLY")</f>
        <v xml:space="preserve">          6117 - RETIREMENT STAFF HOURLY</v>
      </c>
      <c r="C66" s="11"/>
      <c r="D66" s="6">
        <v>285.08999999999997</v>
      </c>
      <c r="E66" s="2"/>
      <c r="F66" s="7">
        <f t="shared" si="23"/>
        <v>5.6664121230093822E-3</v>
      </c>
      <c r="G66" s="2"/>
      <c r="H66" s="6">
        <v>250.51</v>
      </c>
      <c r="I66" s="2"/>
      <c r="J66" s="7">
        <f t="shared" si="24"/>
        <v>1.8357989217218741E-2</v>
      </c>
      <c r="K66" s="2"/>
      <c r="L66" s="6">
        <f t="shared" si="25"/>
        <v>34.579999999999984</v>
      </c>
      <c r="M66" s="2"/>
      <c r="N66" s="7">
        <f t="shared" si="26"/>
        <v>0.13803840166061229</v>
      </c>
      <c r="O66" s="11"/>
      <c r="P66" s="6">
        <v>1807.95</v>
      </c>
      <c r="Q66" s="2"/>
      <c r="R66" s="7">
        <f t="shared" si="27"/>
        <v>1.6964714192069315E-3</v>
      </c>
      <c r="S66" s="2"/>
      <c r="T66" s="6">
        <v>1544.16</v>
      </c>
      <c r="U66" s="2"/>
      <c r="V66" s="7">
        <f t="shared" si="28"/>
        <v>1.4092213228101451E-3</v>
      </c>
      <c r="W66" s="2"/>
      <c r="X66" s="6">
        <f t="shared" si="29"/>
        <v>263.78999999999996</v>
      </c>
      <c r="Y66" s="2"/>
      <c r="Z66" s="7">
        <f t="shared" si="30"/>
        <v>0.17083074292819395</v>
      </c>
    </row>
    <row r="67" spans="1:26" s="24" customFormat="1" hidden="1" outlineLevel="2" x14ac:dyDescent="0.3">
      <c r="A67" s="28"/>
      <c r="B67" s="11" t="str">
        <f>CONCATENATE("          ", "6118", " - ", "VACATION")</f>
        <v xml:space="preserve">          6118 - VACATION</v>
      </c>
      <c r="C67" s="11"/>
      <c r="D67" s="6">
        <v>1532.44</v>
      </c>
      <c r="E67" s="2"/>
      <c r="F67" s="7">
        <f t="shared" si="23"/>
        <v>3.0458580075711172E-2</v>
      </c>
      <c r="G67" s="2"/>
      <c r="H67" s="6">
        <v>1613.8</v>
      </c>
      <c r="I67" s="2"/>
      <c r="J67" s="7">
        <f t="shared" si="24"/>
        <v>0.11826323499559939</v>
      </c>
      <c r="K67" s="2"/>
      <c r="L67" s="6">
        <f t="shared" si="25"/>
        <v>-81.3599999999999</v>
      </c>
      <c r="M67" s="2"/>
      <c r="N67" s="7">
        <f t="shared" si="26"/>
        <v>-5.0415169165943671E-2</v>
      </c>
      <c r="O67" s="11"/>
      <c r="P67" s="6">
        <v>9233.68</v>
      </c>
      <c r="Q67" s="2"/>
      <c r="R67" s="7">
        <f t="shared" si="27"/>
        <v>8.664329331067042E-3</v>
      </c>
      <c r="S67" s="2"/>
      <c r="T67" s="6">
        <v>7776.65</v>
      </c>
      <c r="U67" s="2"/>
      <c r="V67" s="7">
        <f t="shared" si="28"/>
        <v>7.097076080219351E-3</v>
      </c>
      <c r="W67" s="2"/>
      <c r="X67" s="6">
        <f t="shared" si="29"/>
        <v>1457.0300000000007</v>
      </c>
      <c r="Y67" s="2"/>
      <c r="Z67" s="7">
        <f t="shared" si="30"/>
        <v>0.18735959571280703</v>
      </c>
    </row>
    <row r="68" spans="1:26" s="24" customFormat="1" hidden="1" outlineLevel="2" x14ac:dyDescent="0.3">
      <c r="A68" s="28"/>
      <c r="B68" s="11" t="str">
        <f>CONCATENATE("          ", "6119", " - ", "SICK LEAVE")</f>
        <v xml:space="preserve">          6119 - SICK LEAVE</v>
      </c>
      <c r="C68" s="11"/>
      <c r="D68" s="6">
        <v>1114.74</v>
      </c>
      <c r="E68" s="2"/>
      <c r="F68" s="7">
        <f t="shared" si="23"/>
        <v>2.2156428671659754E-2</v>
      </c>
      <c r="G68" s="2"/>
      <c r="H68" s="6">
        <v>1147.56</v>
      </c>
      <c r="I68" s="2"/>
      <c r="J68" s="7">
        <f t="shared" si="24"/>
        <v>8.4096020542539368E-2</v>
      </c>
      <c r="K68" s="2"/>
      <c r="L68" s="6">
        <f t="shared" si="25"/>
        <v>-32.819999999999936</v>
      </c>
      <c r="M68" s="2"/>
      <c r="N68" s="7">
        <f t="shared" si="26"/>
        <v>-2.8599811774547682E-2</v>
      </c>
      <c r="O68" s="11"/>
      <c r="P68" s="6">
        <v>7053.02</v>
      </c>
      <c r="Q68" s="2"/>
      <c r="R68" s="7">
        <f t="shared" si="27"/>
        <v>6.6181292895792871E-3</v>
      </c>
      <c r="S68" s="2"/>
      <c r="T68" s="6">
        <v>6444.34</v>
      </c>
      <c r="U68" s="2"/>
      <c r="V68" s="7">
        <f t="shared" si="28"/>
        <v>5.8811919357050629E-3</v>
      </c>
      <c r="W68" s="2"/>
      <c r="X68" s="6">
        <f t="shared" si="29"/>
        <v>608.68000000000029</v>
      </c>
      <c r="Y68" s="2"/>
      <c r="Z68" s="7">
        <f t="shared" si="30"/>
        <v>9.4451875599363203E-2</v>
      </c>
    </row>
    <row r="69" spans="1:26" s="24" customFormat="1" hidden="1" outlineLevel="2" x14ac:dyDescent="0.3">
      <c r="A69" s="28"/>
      <c r="B69" s="11" t="str">
        <f>CONCATENATE("          ", "6156", " - ", "EMPLOYEE MEALS")</f>
        <v xml:space="preserve">          6156 - EMPLOYEE MEALS</v>
      </c>
      <c r="C69" s="11"/>
      <c r="D69" s="6">
        <v>930.8</v>
      </c>
      <c r="E69" s="2"/>
      <c r="F69" s="7">
        <f t="shared" si="23"/>
        <v>1.8500460921453341E-2</v>
      </c>
      <c r="G69" s="2"/>
      <c r="H69" s="6">
        <v>338.42</v>
      </c>
      <c r="I69" s="2"/>
      <c r="J69" s="7">
        <f t="shared" si="24"/>
        <v>2.480025033288558E-2</v>
      </c>
      <c r="K69" s="2"/>
      <c r="L69" s="6">
        <f t="shared" si="25"/>
        <v>592.37999999999988</v>
      </c>
      <c r="M69" s="2"/>
      <c r="N69" s="7">
        <f t="shared" si="26"/>
        <v>1.7504284616748416</v>
      </c>
      <c r="O69" s="11"/>
      <c r="P69" s="6">
        <v>4741.71</v>
      </c>
      <c r="Q69" s="2"/>
      <c r="R69" s="7">
        <f t="shared" si="27"/>
        <v>4.4493351548260179E-3</v>
      </c>
      <c r="S69" s="2"/>
      <c r="T69" s="6">
        <v>2815.55</v>
      </c>
      <c r="U69" s="2"/>
      <c r="V69" s="7">
        <f t="shared" si="28"/>
        <v>2.5695090505116723E-3</v>
      </c>
      <c r="W69" s="2"/>
      <c r="X69" s="6">
        <f t="shared" si="29"/>
        <v>1926.1599999999999</v>
      </c>
      <c r="Y69" s="2"/>
      <c r="Z69" s="7">
        <f t="shared" si="30"/>
        <v>0.68411500417325199</v>
      </c>
    </row>
    <row r="70" spans="1:26" s="29" customFormat="1" outlineLevel="1" collapsed="1" x14ac:dyDescent="0.3">
      <c r="A70" s="27"/>
      <c r="B70" s="14" t="str">
        <f>CONCATENATE("     ","*Payroll                                          ")</f>
        <v xml:space="preserve">     *Payroll                                          </v>
      </c>
      <c r="C70" s="14"/>
      <c r="D70" s="1">
        <f>SUM(OSRRefD22_1x_0)</f>
        <v>25995.670000000002</v>
      </c>
      <c r="E70" s="1"/>
      <c r="F70" s="5">
        <f t="shared" ref="F70:F77" si="31">IF(D$12=0,0,D70/D$12)</f>
        <v>0.51668658891490871</v>
      </c>
      <c r="G70" s="1"/>
      <c r="H70" s="1">
        <f>SUM(OSRRefH22_1x_0)</f>
        <v>28068.31</v>
      </c>
      <c r="I70" s="1"/>
      <c r="J70" s="5">
        <f t="shared" ref="J70:J77" si="32">IF(H$12=0,0,H70/H$12)</f>
        <v>2.0569148230631629</v>
      </c>
      <c r="K70" s="1"/>
      <c r="L70" s="1">
        <f t="shared" ref="L70:L77" si="33">+D70-H70</f>
        <v>-2072.6399999999994</v>
      </c>
      <c r="M70" s="1"/>
      <c r="N70" s="5">
        <f t="shared" ref="N70:N77" si="34">IF(H70=0,0,L70/H70)</f>
        <v>-7.384270730941761E-2</v>
      </c>
      <c r="O70" s="14"/>
      <c r="P70" s="1">
        <f>SUM(OSRRefP22_1x_0)</f>
        <v>175181.91</v>
      </c>
      <c r="Q70" s="1"/>
      <c r="R70" s="5">
        <f t="shared" ref="R70:R77" si="35">IF(P$12=0,0,P70/P$12)</f>
        <v>0.16438015624164437</v>
      </c>
      <c r="S70" s="1"/>
      <c r="T70" s="1">
        <f>SUM(OSRRefT22_1x_0)</f>
        <v>165407.07</v>
      </c>
      <c r="U70" s="1"/>
      <c r="V70" s="5">
        <f t="shared" ref="V70:V77" si="36">IF(T$12=0,0,T70/T$12)</f>
        <v>0.15095273157415701</v>
      </c>
      <c r="W70" s="1"/>
      <c r="X70" s="1">
        <f t="shared" ref="X70:X77" si="37">+P70-T70</f>
        <v>9774.8399999999965</v>
      </c>
      <c r="Y70" s="1"/>
      <c r="Z70" s="5">
        <f t="shared" ref="Z70:Z77" si="38">IF(T70=0,0,X70/T70)</f>
        <v>5.9095660179459053E-2</v>
      </c>
    </row>
    <row r="71" spans="1:26" s="24" customFormat="1" hidden="1" outlineLevel="2" x14ac:dyDescent="0.3">
      <c r="A71" s="28"/>
      <c r="B71" s="11" t="str">
        <f>CONCATENATE("          ", "6001", " - ", "ADMINISTRATIVE SALARIES")</f>
        <v xml:space="preserve">          6001 - ADMINISTRATIVE SALARIES</v>
      </c>
      <c r="C71" s="11"/>
      <c r="D71" s="6"/>
      <c r="E71" s="2"/>
      <c r="F71" s="7">
        <f t="shared" si="31"/>
        <v>0</v>
      </c>
      <c r="G71" s="2"/>
      <c r="H71" s="6"/>
      <c r="I71" s="2"/>
      <c r="J71" s="7">
        <f t="shared" si="32"/>
        <v>0</v>
      </c>
      <c r="K71" s="2"/>
      <c r="L71" s="6">
        <f t="shared" si="33"/>
        <v>0</v>
      </c>
      <c r="M71" s="2"/>
      <c r="N71" s="7">
        <f t="shared" si="34"/>
        <v>0</v>
      </c>
      <c r="O71" s="11"/>
      <c r="P71" s="6"/>
      <c r="Q71" s="2"/>
      <c r="R71" s="7">
        <f t="shared" si="35"/>
        <v>0</v>
      </c>
      <c r="S71" s="2"/>
      <c r="T71" s="6">
        <v>-311.32</v>
      </c>
      <c r="U71" s="2"/>
      <c r="V71" s="7">
        <f t="shared" si="36"/>
        <v>-2.8411484704775043E-4</v>
      </c>
      <c r="W71" s="2"/>
      <c r="X71" s="6">
        <f t="shared" si="37"/>
        <v>311.32</v>
      </c>
      <c r="Y71" s="2"/>
      <c r="Z71" s="7">
        <f t="shared" si="38"/>
        <v>-1</v>
      </c>
    </row>
    <row r="72" spans="1:26" s="24" customFormat="1" hidden="1" outlineLevel="2" x14ac:dyDescent="0.3">
      <c r="A72" s="28"/>
      <c r="B72" s="11" t="str">
        <f>CONCATENATE("          ", "6002", " - ", "STAFF SALARIES")</f>
        <v xml:space="preserve">          6002 - STAFF SALARIES</v>
      </c>
      <c r="C72" s="11"/>
      <c r="D72" s="6">
        <v>16929.34</v>
      </c>
      <c r="E72" s="2"/>
      <c r="F72" s="7">
        <f t="shared" si="31"/>
        <v>0.33648538149548446</v>
      </c>
      <c r="G72" s="2"/>
      <c r="H72" s="6">
        <v>18082.7</v>
      </c>
      <c r="I72" s="2"/>
      <c r="J72" s="7">
        <f t="shared" si="32"/>
        <v>1.3251447511803973</v>
      </c>
      <c r="K72" s="2"/>
      <c r="L72" s="6">
        <f t="shared" si="33"/>
        <v>-1153.3600000000006</v>
      </c>
      <c r="M72" s="2"/>
      <c r="N72" s="7">
        <f t="shared" si="34"/>
        <v>-6.3782510355201411E-2</v>
      </c>
      <c r="O72" s="11"/>
      <c r="P72" s="6">
        <v>102208.5</v>
      </c>
      <c r="Q72" s="2"/>
      <c r="R72" s="7">
        <f t="shared" si="35"/>
        <v>9.5906302193098064E-2</v>
      </c>
      <c r="S72" s="2"/>
      <c r="T72" s="6">
        <v>96498.2</v>
      </c>
      <c r="U72" s="2"/>
      <c r="V72" s="7">
        <f t="shared" si="36"/>
        <v>8.8065563835870594E-2</v>
      </c>
      <c r="W72" s="2"/>
      <c r="X72" s="6">
        <f t="shared" si="37"/>
        <v>5710.3000000000029</v>
      </c>
      <c r="Y72" s="2"/>
      <c r="Z72" s="7">
        <f t="shared" si="38"/>
        <v>5.9175197050307708E-2</v>
      </c>
    </row>
    <row r="73" spans="1:26" s="24" customFormat="1" hidden="1" outlineLevel="2" x14ac:dyDescent="0.3">
      <c r="A73" s="28"/>
      <c r="B73" s="11" t="str">
        <f>CONCATENATE("          ", "6004", " - ", "STAFF HOURLY")</f>
        <v xml:space="preserve">          6004 - STAFF HOURLY</v>
      </c>
      <c r="C73" s="11"/>
      <c r="D73" s="6">
        <v>5854.93</v>
      </c>
      <c r="E73" s="2"/>
      <c r="F73" s="7">
        <f t="shared" si="31"/>
        <v>0.11637183461844093</v>
      </c>
      <c r="G73" s="2"/>
      <c r="H73" s="6">
        <v>7156.04</v>
      </c>
      <c r="I73" s="2"/>
      <c r="J73" s="7">
        <f t="shared" si="32"/>
        <v>0.52441221970374829</v>
      </c>
      <c r="K73" s="2"/>
      <c r="L73" s="6">
        <f t="shared" si="33"/>
        <v>-1301.1099999999997</v>
      </c>
      <c r="M73" s="2"/>
      <c r="N73" s="7">
        <f t="shared" si="34"/>
        <v>-0.18181983331563262</v>
      </c>
      <c r="O73" s="11"/>
      <c r="P73" s="6">
        <v>35563.129999999997</v>
      </c>
      <c r="Q73" s="2"/>
      <c r="R73" s="7">
        <f t="shared" si="35"/>
        <v>3.3370299854830386E-2</v>
      </c>
      <c r="S73" s="2"/>
      <c r="T73" s="6">
        <v>39838.050000000003</v>
      </c>
      <c r="U73" s="2"/>
      <c r="V73" s="7">
        <f t="shared" si="36"/>
        <v>3.6356743808398546E-2</v>
      </c>
      <c r="W73" s="2"/>
      <c r="X73" s="6">
        <f t="shared" si="37"/>
        <v>-4274.9200000000055</v>
      </c>
      <c r="Y73" s="2"/>
      <c r="Z73" s="7">
        <f t="shared" si="38"/>
        <v>-0.10730746108306018</v>
      </c>
    </row>
    <row r="74" spans="1:26" s="24" customFormat="1" hidden="1" outlineLevel="2" x14ac:dyDescent="0.3">
      <c r="A74" s="28"/>
      <c r="B74" s="11" t="str">
        <f>CONCATENATE("          ", "6005", " - ", "TEMPORARY WAGES-HOURLY")</f>
        <v xml:space="preserve">          6005 - TEMPORARY WAGES-HOURLY</v>
      </c>
      <c r="C74" s="11"/>
      <c r="D74" s="6">
        <v>2090.66</v>
      </c>
      <c r="E74" s="2"/>
      <c r="F74" s="7">
        <f t="shared" si="31"/>
        <v>4.15536889020688E-2</v>
      </c>
      <c r="G74" s="2"/>
      <c r="H74" s="6"/>
      <c r="I74" s="2"/>
      <c r="J74" s="7">
        <f t="shared" si="32"/>
        <v>0</v>
      </c>
      <c r="K74" s="2"/>
      <c r="L74" s="6">
        <f t="shared" si="33"/>
        <v>2090.66</v>
      </c>
      <c r="M74" s="2"/>
      <c r="N74" s="7">
        <f t="shared" si="34"/>
        <v>0</v>
      </c>
      <c r="O74" s="11"/>
      <c r="P74" s="6">
        <v>14698.31</v>
      </c>
      <c r="Q74" s="2"/>
      <c r="R74" s="7">
        <f t="shared" si="35"/>
        <v>1.3792009085231026E-2</v>
      </c>
      <c r="S74" s="2"/>
      <c r="T74" s="6">
        <v>12838</v>
      </c>
      <c r="U74" s="2"/>
      <c r="V74" s="7">
        <f t="shared" si="36"/>
        <v>1.1716132617239562E-2</v>
      </c>
      <c r="W74" s="2"/>
      <c r="X74" s="6">
        <f t="shared" si="37"/>
        <v>1860.3099999999995</v>
      </c>
      <c r="Y74" s="2"/>
      <c r="Z74" s="7">
        <f t="shared" si="38"/>
        <v>0.14490652749649474</v>
      </c>
    </row>
    <row r="75" spans="1:26" s="24" customFormat="1" hidden="1" outlineLevel="2" x14ac:dyDescent="0.3">
      <c r="A75" s="28"/>
      <c r="B75" s="11" t="str">
        <f>CONCATENATE("          ", "6006", " - ", "TEMPORARY PART TIME")</f>
        <v xml:space="preserve">          6006 - TEMPORARY PART TIME</v>
      </c>
      <c r="C75" s="11"/>
      <c r="D75" s="6"/>
      <c r="E75" s="2"/>
      <c r="F75" s="7">
        <f t="shared" si="31"/>
        <v>0</v>
      </c>
      <c r="G75" s="2"/>
      <c r="H75" s="6"/>
      <c r="I75" s="2"/>
      <c r="J75" s="7">
        <f t="shared" si="32"/>
        <v>0</v>
      </c>
      <c r="K75" s="2"/>
      <c r="L75" s="6">
        <f t="shared" si="33"/>
        <v>0</v>
      </c>
      <c r="M75" s="2"/>
      <c r="N75" s="7">
        <f t="shared" si="34"/>
        <v>0</v>
      </c>
      <c r="O75" s="11"/>
      <c r="P75" s="6"/>
      <c r="Q75" s="2"/>
      <c r="R75" s="7">
        <f t="shared" si="35"/>
        <v>0</v>
      </c>
      <c r="S75" s="2"/>
      <c r="T75" s="6">
        <v>502.29</v>
      </c>
      <c r="U75" s="2"/>
      <c r="V75" s="7">
        <f t="shared" si="36"/>
        <v>4.5839665464350051E-4</v>
      </c>
      <c r="W75" s="2"/>
      <c r="X75" s="6">
        <f t="shared" si="37"/>
        <v>-502.29</v>
      </c>
      <c r="Y75" s="2"/>
      <c r="Z75" s="7">
        <f t="shared" si="38"/>
        <v>-1</v>
      </c>
    </row>
    <row r="76" spans="1:26" s="24" customFormat="1" hidden="1" outlineLevel="2" x14ac:dyDescent="0.3">
      <c r="A76" s="28"/>
      <c r="B76" s="11" t="str">
        <f>CONCATENATE("          ", "6007", " - ", "STUDENT HOURLY")</f>
        <v xml:space="preserve">          6007 - STUDENT HOURLY</v>
      </c>
      <c r="C76" s="11"/>
      <c r="D76" s="6">
        <v>1120.74</v>
      </c>
      <c r="E76" s="2"/>
      <c r="F76" s="7">
        <f t="shared" si="31"/>
        <v>2.2275683898914503E-2</v>
      </c>
      <c r="G76" s="2"/>
      <c r="H76" s="6">
        <v>2829.57</v>
      </c>
      <c r="I76" s="2"/>
      <c r="J76" s="7">
        <f t="shared" si="32"/>
        <v>0.20735785217901734</v>
      </c>
      <c r="K76" s="2"/>
      <c r="L76" s="6">
        <f t="shared" si="33"/>
        <v>-1708.8300000000002</v>
      </c>
      <c r="M76" s="2"/>
      <c r="N76" s="7">
        <f t="shared" si="34"/>
        <v>-0.6039186166095909</v>
      </c>
      <c r="O76" s="11"/>
      <c r="P76" s="6">
        <v>18745.490000000002</v>
      </c>
      <c r="Q76" s="2"/>
      <c r="R76" s="7">
        <f t="shared" si="35"/>
        <v>1.7589639107292429E-2</v>
      </c>
      <c r="S76" s="2"/>
      <c r="T76" s="6">
        <v>16041.85</v>
      </c>
      <c r="U76" s="2"/>
      <c r="V76" s="7">
        <f t="shared" si="36"/>
        <v>1.4640009505052537E-2</v>
      </c>
      <c r="W76" s="2"/>
      <c r="X76" s="6">
        <f t="shared" si="37"/>
        <v>2703.6400000000012</v>
      </c>
      <c r="Y76" s="2"/>
      <c r="Z76" s="7">
        <f t="shared" si="38"/>
        <v>0.16853667126921154</v>
      </c>
    </row>
    <row r="77" spans="1:26" s="24" customFormat="1" hidden="1" outlineLevel="2" x14ac:dyDescent="0.3">
      <c r="A77" s="28"/>
      <c r="B77" s="11" t="str">
        <f>CONCATENATE("          ", "6008", " - ", "STUDENT HOURLY-FICA EXEMPT")</f>
        <v xml:space="preserve">          6008 - STUDENT HOURLY-FICA EXEMPT</v>
      </c>
      <c r="C77" s="11"/>
      <c r="D77" s="6"/>
      <c r="E77" s="2"/>
      <c r="F77" s="7">
        <f t="shared" si="31"/>
        <v>0</v>
      </c>
      <c r="G77" s="2"/>
      <c r="H77" s="6"/>
      <c r="I77" s="2"/>
      <c r="J77" s="7">
        <f t="shared" si="32"/>
        <v>0</v>
      </c>
      <c r="K77" s="2"/>
      <c r="L77" s="6">
        <f t="shared" si="33"/>
        <v>0</v>
      </c>
      <c r="M77" s="2"/>
      <c r="N77" s="7">
        <f t="shared" si="34"/>
        <v>0</v>
      </c>
      <c r="O77" s="11"/>
      <c r="P77" s="6">
        <v>3966.48</v>
      </c>
      <c r="Q77" s="2"/>
      <c r="R77" s="7">
        <f t="shared" si="35"/>
        <v>3.7219060011924607E-3</v>
      </c>
      <c r="S77" s="2"/>
      <c r="T77" s="6"/>
      <c r="U77" s="2"/>
      <c r="V77" s="7">
        <f t="shared" si="36"/>
        <v>0</v>
      </c>
      <c r="W77" s="2"/>
      <c r="X77" s="6">
        <f t="shared" si="37"/>
        <v>3966.48</v>
      </c>
      <c r="Y77" s="2"/>
      <c r="Z77" s="7">
        <f t="shared" si="38"/>
        <v>0</v>
      </c>
    </row>
    <row r="78" spans="1:26" s="29" customFormat="1" outlineLevel="1" collapsed="1" x14ac:dyDescent="0.3">
      <c r="A78" s="27"/>
      <c r="B78" s="14" t="str">
        <f>CONCATENATE("     ","Advertising/Promo                                 ")</f>
        <v xml:space="preserve">     Advertising/Promo                                 </v>
      </c>
      <c r="C78" s="14"/>
      <c r="D78" s="1">
        <f>SUM(OSRRefD22_2x_0)</f>
        <v>563.54</v>
      </c>
      <c r="E78" s="1"/>
      <c r="F78" s="5">
        <f t="shared" ref="F78:F88" si="39">IF(D$12=0,0,D78/D$12)</f>
        <v>1.1200848461190176E-2</v>
      </c>
      <c r="G78" s="1"/>
      <c r="H78" s="1">
        <f>SUM(OSRRefH22_2x_0)</f>
        <v>70.56</v>
      </c>
      <c r="I78" s="1"/>
      <c r="J78" s="5">
        <f t="shared" ref="J78:J88" si="40">IF(H$12=0,0,H78/H$12)</f>
        <v>5.1708104234040727E-3</v>
      </c>
      <c r="K78" s="1"/>
      <c r="L78" s="1">
        <f t="shared" ref="L78:L88" si="41">+D78-H78</f>
        <v>492.97999999999996</v>
      </c>
      <c r="M78" s="1"/>
      <c r="N78" s="5">
        <f t="shared" ref="N78:N88" si="42">IF(H78=0,0,L78/H78)</f>
        <v>6.9866780045351469</v>
      </c>
      <c r="O78" s="14"/>
      <c r="P78" s="1">
        <f>SUM(OSRRefP22_2x_0)</f>
        <v>797.25</v>
      </c>
      <c r="Q78" s="1"/>
      <c r="R78" s="5">
        <f t="shared" ref="R78:R88" si="43">IF(P$12=0,0,P78/P$12)</f>
        <v>7.480913957591339E-4</v>
      </c>
      <c r="S78" s="1"/>
      <c r="T78" s="1">
        <f>SUM(OSRRefT22_2x_0)</f>
        <v>1430.44</v>
      </c>
      <c r="U78" s="1"/>
      <c r="V78" s="5">
        <f t="shared" ref="V78:V88" si="44">IF(T$12=0,0,T78/T$12)</f>
        <v>1.305438911123552E-3</v>
      </c>
      <c r="W78" s="1"/>
      <c r="X78" s="1">
        <f t="shared" ref="X78:X88" si="45">+P78-T78</f>
        <v>-633.19000000000005</v>
      </c>
      <c r="Y78" s="1"/>
      <c r="Z78" s="5">
        <f t="shared" ref="Z78:Z88" si="46">IF(T78=0,0,X78/T78)</f>
        <v>-0.4426540085568077</v>
      </c>
    </row>
    <row r="79" spans="1:26" s="24" customFormat="1" hidden="1" outlineLevel="2" x14ac:dyDescent="0.3">
      <c r="A79" s="28"/>
      <c r="B79" s="11" t="str">
        <f>CONCATENATE("          ", "6362", " - ", "ADVERTISING EXPENSE")</f>
        <v xml:space="preserve">          6362 - ADVERTISING EXPENSE</v>
      </c>
      <c r="C79" s="11"/>
      <c r="D79" s="6">
        <v>563.54</v>
      </c>
      <c r="E79" s="2"/>
      <c r="F79" s="7">
        <f t="shared" si="39"/>
        <v>1.1200848461190176E-2</v>
      </c>
      <c r="G79" s="2"/>
      <c r="H79" s="6">
        <v>70.56</v>
      </c>
      <c r="I79" s="2"/>
      <c r="J79" s="7">
        <f t="shared" si="40"/>
        <v>5.1708104234040727E-3</v>
      </c>
      <c r="K79" s="2"/>
      <c r="L79" s="6">
        <f t="shared" si="41"/>
        <v>492.97999999999996</v>
      </c>
      <c r="M79" s="2"/>
      <c r="N79" s="7">
        <f t="shared" si="42"/>
        <v>6.9866780045351469</v>
      </c>
      <c r="O79" s="11"/>
      <c r="P79" s="6">
        <v>797.25</v>
      </c>
      <c r="Q79" s="2"/>
      <c r="R79" s="7">
        <f t="shared" si="43"/>
        <v>7.480913957591339E-4</v>
      </c>
      <c r="S79" s="2"/>
      <c r="T79" s="6">
        <v>1430.44</v>
      </c>
      <c r="U79" s="2"/>
      <c r="V79" s="7">
        <f t="shared" si="44"/>
        <v>1.305438911123552E-3</v>
      </c>
      <c r="W79" s="2"/>
      <c r="X79" s="6">
        <f t="shared" si="45"/>
        <v>-633.19000000000005</v>
      </c>
      <c r="Y79" s="2"/>
      <c r="Z79" s="7">
        <f t="shared" si="46"/>
        <v>-0.4426540085568077</v>
      </c>
    </row>
    <row r="80" spans="1:26" s="29" customFormat="1" outlineLevel="1" collapsed="1" x14ac:dyDescent="0.3">
      <c r="A80" s="27"/>
      <c r="B80" s="14" t="str">
        <f>CONCATENATE("     ","Discounts and Markdowns                           ")</f>
        <v xml:space="preserve">     Discounts and Markdowns                           </v>
      </c>
      <c r="C80" s="14"/>
      <c r="D80" s="1">
        <f>SUM(OSRRefD22_3x_0)</f>
        <v>0</v>
      </c>
      <c r="E80" s="1"/>
      <c r="F80" s="5">
        <f t="shared" si="39"/>
        <v>0</v>
      </c>
      <c r="G80" s="1"/>
      <c r="H80" s="1">
        <f>SUM(OSRRefH22_3x_0)</f>
        <v>0</v>
      </c>
      <c r="I80" s="1"/>
      <c r="J80" s="5">
        <f t="shared" si="40"/>
        <v>0</v>
      </c>
      <c r="K80" s="1"/>
      <c r="L80" s="1">
        <f t="shared" si="41"/>
        <v>0</v>
      </c>
      <c r="M80" s="1"/>
      <c r="N80" s="5">
        <f t="shared" si="42"/>
        <v>0</v>
      </c>
      <c r="O80" s="14"/>
      <c r="P80" s="1">
        <f>SUM(OSRRefP22_3x_0)</f>
        <v>0</v>
      </c>
      <c r="Q80" s="1"/>
      <c r="R80" s="5">
        <f t="shared" si="43"/>
        <v>0</v>
      </c>
      <c r="S80" s="1"/>
      <c r="T80" s="1">
        <f>SUM(OSRRefT22_3x_0)</f>
        <v>0</v>
      </c>
      <c r="U80" s="1"/>
      <c r="V80" s="5">
        <f t="shared" si="44"/>
        <v>0</v>
      </c>
      <c r="W80" s="1"/>
      <c r="X80" s="1">
        <f t="shared" si="45"/>
        <v>0</v>
      </c>
      <c r="Y80" s="1"/>
      <c r="Z80" s="5">
        <f t="shared" si="46"/>
        <v>0</v>
      </c>
    </row>
    <row r="81" spans="1:26" s="24" customFormat="1" hidden="1" outlineLevel="2" x14ac:dyDescent="0.3">
      <c r="A81" s="28"/>
      <c r="B81" s="11" t="str">
        <f>CONCATENATE("          ", "6382", " - ", "DISCOUNTS/MARK DOWNS")</f>
        <v xml:space="preserve">          6382 - DISCOUNTS/MARK DOWNS</v>
      </c>
      <c r="C81" s="11"/>
      <c r="D81" s="6"/>
      <c r="E81" s="2"/>
      <c r="F81" s="7">
        <f t="shared" si="39"/>
        <v>0</v>
      </c>
      <c r="G81" s="2"/>
      <c r="H81" s="6">
        <v>0</v>
      </c>
      <c r="I81" s="2"/>
      <c r="J81" s="7">
        <f t="shared" si="40"/>
        <v>0</v>
      </c>
      <c r="K81" s="2"/>
      <c r="L81" s="6">
        <f t="shared" si="41"/>
        <v>0</v>
      </c>
      <c r="M81" s="2"/>
      <c r="N81" s="7">
        <f t="shared" si="42"/>
        <v>0</v>
      </c>
      <c r="O81" s="11"/>
      <c r="P81" s="6"/>
      <c r="Q81" s="2"/>
      <c r="R81" s="7">
        <f t="shared" si="43"/>
        <v>0</v>
      </c>
      <c r="S81" s="2"/>
      <c r="T81" s="6">
        <v>0</v>
      </c>
      <c r="U81" s="2"/>
      <c r="V81" s="7">
        <f t="shared" si="44"/>
        <v>0</v>
      </c>
      <c r="W81" s="2"/>
      <c r="X81" s="6">
        <f t="shared" si="45"/>
        <v>0</v>
      </c>
      <c r="Y81" s="2"/>
      <c r="Z81" s="7">
        <f t="shared" si="46"/>
        <v>0</v>
      </c>
    </row>
    <row r="82" spans="1:26" s="29" customFormat="1" outlineLevel="1" collapsed="1" x14ac:dyDescent="0.3">
      <c r="A82" s="27"/>
      <c r="B82" s="14" t="str">
        <f>CONCATENATE("     ","Employees' Appreciation                           ")</f>
        <v xml:space="preserve">     Employees' Appreciation                           </v>
      </c>
      <c r="C82" s="14"/>
      <c r="D82" s="1">
        <f>SUM(OSRRefD22_4x_0)</f>
        <v>0</v>
      </c>
      <c r="E82" s="1"/>
      <c r="F82" s="5">
        <f t="shared" si="39"/>
        <v>0</v>
      </c>
      <c r="G82" s="1"/>
      <c r="H82" s="1">
        <f>SUM(OSRRefH22_4x_0)</f>
        <v>0</v>
      </c>
      <c r="I82" s="1"/>
      <c r="J82" s="5">
        <f t="shared" si="40"/>
        <v>0</v>
      </c>
      <c r="K82" s="1"/>
      <c r="L82" s="1">
        <f t="shared" si="41"/>
        <v>0</v>
      </c>
      <c r="M82" s="1"/>
      <c r="N82" s="5">
        <f t="shared" si="42"/>
        <v>0</v>
      </c>
      <c r="O82" s="14"/>
      <c r="P82" s="1">
        <f>SUM(OSRRefP22_4x_0)</f>
        <v>0</v>
      </c>
      <c r="Q82" s="1"/>
      <c r="R82" s="5">
        <f t="shared" si="43"/>
        <v>0</v>
      </c>
      <c r="S82" s="1"/>
      <c r="T82" s="1">
        <f>SUM(OSRRefT22_4x_0)</f>
        <v>107.7</v>
      </c>
      <c r="U82" s="1"/>
      <c r="V82" s="5">
        <f t="shared" si="44"/>
        <v>9.8288478180144954E-5</v>
      </c>
      <c r="W82" s="1"/>
      <c r="X82" s="1">
        <f t="shared" si="45"/>
        <v>-107.7</v>
      </c>
      <c r="Y82" s="1"/>
      <c r="Z82" s="5">
        <f t="shared" si="46"/>
        <v>-1</v>
      </c>
    </row>
    <row r="83" spans="1:26" s="24" customFormat="1" hidden="1" outlineLevel="2" x14ac:dyDescent="0.3">
      <c r="A83" s="28"/>
      <c r="B83" s="11" t="str">
        <f>CONCATENATE("          ", "6277", " - ", "EMPLOYEE APPRECIATION")</f>
        <v xml:space="preserve">          6277 - EMPLOYEE APPRECIATION</v>
      </c>
      <c r="C83" s="11"/>
      <c r="D83" s="6"/>
      <c r="E83" s="2"/>
      <c r="F83" s="7">
        <f t="shared" si="39"/>
        <v>0</v>
      </c>
      <c r="G83" s="2"/>
      <c r="H83" s="6"/>
      <c r="I83" s="2"/>
      <c r="J83" s="7">
        <f t="shared" si="40"/>
        <v>0</v>
      </c>
      <c r="K83" s="2"/>
      <c r="L83" s="6">
        <f t="shared" si="41"/>
        <v>0</v>
      </c>
      <c r="M83" s="2"/>
      <c r="N83" s="7">
        <f t="shared" si="42"/>
        <v>0</v>
      </c>
      <c r="O83" s="11"/>
      <c r="P83" s="6"/>
      <c r="Q83" s="2"/>
      <c r="R83" s="7">
        <f t="shared" si="43"/>
        <v>0</v>
      </c>
      <c r="S83" s="2"/>
      <c r="T83" s="6">
        <v>107.7</v>
      </c>
      <c r="U83" s="2"/>
      <c r="V83" s="7">
        <f t="shared" si="44"/>
        <v>9.8288478180144954E-5</v>
      </c>
      <c r="W83" s="2"/>
      <c r="X83" s="6">
        <f t="shared" si="45"/>
        <v>-107.7</v>
      </c>
      <c r="Y83" s="2"/>
      <c r="Z83" s="7">
        <f t="shared" si="46"/>
        <v>-1</v>
      </c>
    </row>
    <row r="84" spans="1:26" s="29" customFormat="1" outlineLevel="1" collapsed="1" x14ac:dyDescent="0.3">
      <c r="A84" s="27"/>
      <c r="B84" s="14" t="str">
        <f>CONCATENATE("     ","Equipment Rental                                  ")</f>
        <v xml:space="preserve">     Equipment Rental                                  </v>
      </c>
      <c r="C84" s="14"/>
      <c r="D84" s="1">
        <f>SUM(OSRRefD22_5x_0)</f>
        <v>91.26</v>
      </c>
      <c r="E84" s="1"/>
      <c r="F84" s="5">
        <f t="shared" si="39"/>
        <v>1.8138720065447272E-3</v>
      </c>
      <c r="G84" s="1"/>
      <c r="H84" s="1">
        <f>SUM(OSRRefH22_5x_0)</f>
        <v>0</v>
      </c>
      <c r="I84" s="1"/>
      <c r="J84" s="5">
        <f t="shared" si="40"/>
        <v>0</v>
      </c>
      <c r="K84" s="1"/>
      <c r="L84" s="1">
        <f t="shared" si="41"/>
        <v>91.26</v>
      </c>
      <c r="M84" s="1"/>
      <c r="N84" s="5">
        <f t="shared" si="42"/>
        <v>0</v>
      </c>
      <c r="O84" s="14"/>
      <c r="P84" s="1">
        <f>SUM(OSRRefP22_5x_0)</f>
        <v>547.55999999999995</v>
      </c>
      <c r="Q84" s="1"/>
      <c r="R84" s="5">
        <f t="shared" si="43"/>
        <v>5.1379733416352625E-4</v>
      </c>
      <c r="S84" s="1"/>
      <c r="T84" s="1">
        <f>SUM(OSRRefT22_5x_0)</f>
        <v>547.55999999999995</v>
      </c>
      <c r="U84" s="1"/>
      <c r="V84" s="5">
        <f t="shared" si="44"/>
        <v>4.9971066956657536E-4</v>
      </c>
      <c r="W84" s="1"/>
      <c r="X84" s="1">
        <f t="shared" si="45"/>
        <v>0</v>
      </c>
      <c r="Y84" s="1"/>
      <c r="Z84" s="5">
        <f t="shared" si="46"/>
        <v>0</v>
      </c>
    </row>
    <row r="85" spans="1:26" s="24" customFormat="1" hidden="1" outlineLevel="2" x14ac:dyDescent="0.3">
      <c r="A85" s="28"/>
      <c r="B85" s="11" t="str">
        <f>CONCATENATE("          ", "6351", " - ", "EQUIPMENT RENTAL")</f>
        <v xml:space="preserve">          6351 - EQUIPMENT RENTAL</v>
      </c>
      <c r="C85" s="11"/>
      <c r="D85" s="6">
        <v>91.26</v>
      </c>
      <c r="E85" s="2"/>
      <c r="F85" s="7">
        <f t="shared" si="39"/>
        <v>1.8138720065447272E-3</v>
      </c>
      <c r="G85" s="2"/>
      <c r="H85" s="6">
        <v>0</v>
      </c>
      <c r="I85" s="2"/>
      <c r="J85" s="7">
        <f t="shared" si="40"/>
        <v>0</v>
      </c>
      <c r="K85" s="2"/>
      <c r="L85" s="6">
        <f t="shared" si="41"/>
        <v>91.26</v>
      </c>
      <c r="M85" s="2"/>
      <c r="N85" s="7">
        <f t="shared" si="42"/>
        <v>0</v>
      </c>
      <c r="O85" s="11"/>
      <c r="P85" s="6">
        <v>547.55999999999995</v>
      </c>
      <c r="Q85" s="2"/>
      <c r="R85" s="7">
        <f t="shared" si="43"/>
        <v>5.1379733416352625E-4</v>
      </c>
      <c r="S85" s="2"/>
      <c r="T85" s="6">
        <v>547.55999999999995</v>
      </c>
      <c r="U85" s="2"/>
      <c r="V85" s="7">
        <f t="shared" si="44"/>
        <v>4.9971066956657536E-4</v>
      </c>
      <c r="W85" s="2"/>
      <c r="X85" s="6">
        <f t="shared" si="45"/>
        <v>0</v>
      </c>
      <c r="Y85" s="2"/>
      <c r="Z85" s="7">
        <f t="shared" si="46"/>
        <v>0</v>
      </c>
    </row>
    <row r="86" spans="1:26" s="29" customFormat="1" outlineLevel="1" collapsed="1" x14ac:dyDescent="0.3">
      <c r="A86" s="27"/>
      <c r="B86" s="14" t="str">
        <f>CONCATENATE("     ","Freight out/Postage                               ")</f>
        <v xml:space="preserve">     Freight out/Postage                               </v>
      </c>
      <c r="C86" s="14"/>
      <c r="D86" s="1">
        <f>SUM(OSRRefD22_6x_0)</f>
        <v>1977.93</v>
      </c>
      <c r="E86" s="1"/>
      <c r="F86" s="5">
        <f t="shared" si="39"/>
        <v>3.9313081940664171E-2</v>
      </c>
      <c r="G86" s="1"/>
      <c r="H86" s="1">
        <f>SUM(OSRRefH22_6x_0)</f>
        <v>4167.2</v>
      </c>
      <c r="I86" s="1"/>
      <c r="J86" s="5">
        <f t="shared" si="40"/>
        <v>0.30538267001714076</v>
      </c>
      <c r="K86" s="1"/>
      <c r="L86" s="1">
        <f t="shared" si="41"/>
        <v>-2189.2699999999995</v>
      </c>
      <c r="M86" s="1"/>
      <c r="N86" s="5">
        <f t="shared" si="42"/>
        <v>-0.52535755423305808</v>
      </c>
      <c r="O86" s="14"/>
      <c r="P86" s="1">
        <f>SUM(OSRRefP22_6x_0)</f>
        <v>4490.78</v>
      </c>
      <c r="Q86" s="1"/>
      <c r="R86" s="5">
        <f t="shared" si="43"/>
        <v>4.213877551893638E-3</v>
      </c>
      <c r="S86" s="1"/>
      <c r="T86" s="1">
        <f>SUM(OSRRefT22_6x_0)</f>
        <v>8898.0300000000007</v>
      </c>
      <c r="U86" s="1"/>
      <c r="V86" s="5">
        <f t="shared" si="44"/>
        <v>8.1204626508939205E-3</v>
      </c>
      <c r="W86" s="1"/>
      <c r="X86" s="1">
        <f t="shared" si="45"/>
        <v>-4407.2500000000009</v>
      </c>
      <c r="Y86" s="1"/>
      <c r="Z86" s="5">
        <f t="shared" si="46"/>
        <v>-0.49530626442032682</v>
      </c>
    </row>
    <row r="87" spans="1:26" s="24" customFormat="1" hidden="1" outlineLevel="2" x14ac:dyDescent="0.3">
      <c r="A87" s="28"/>
      <c r="B87" s="11" t="str">
        <f>CONCATENATE("          ", "6305", " - ", "FREIGHT OUT")</f>
        <v xml:space="preserve">          6305 - FREIGHT OUT</v>
      </c>
      <c r="C87" s="11"/>
      <c r="D87" s="6">
        <v>1977.93</v>
      </c>
      <c r="E87" s="2"/>
      <c r="F87" s="7">
        <f t="shared" si="39"/>
        <v>3.9313081940664171E-2</v>
      </c>
      <c r="G87" s="2"/>
      <c r="H87" s="6">
        <v>3867.2</v>
      </c>
      <c r="I87" s="2"/>
      <c r="J87" s="7">
        <f t="shared" si="40"/>
        <v>0.28339793182239553</v>
      </c>
      <c r="K87" s="2"/>
      <c r="L87" s="6">
        <f t="shared" si="41"/>
        <v>-1889.2699999999998</v>
      </c>
      <c r="M87" s="2"/>
      <c r="N87" s="7">
        <f t="shared" si="42"/>
        <v>-0.48853692594124942</v>
      </c>
      <c r="O87" s="11"/>
      <c r="P87" s="6">
        <v>4490.78</v>
      </c>
      <c r="Q87" s="2"/>
      <c r="R87" s="7">
        <f t="shared" si="43"/>
        <v>4.213877551893638E-3</v>
      </c>
      <c r="S87" s="2"/>
      <c r="T87" s="6">
        <v>8598.0300000000007</v>
      </c>
      <c r="U87" s="2"/>
      <c r="V87" s="7">
        <f t="shared" si="44"/>
        <v>7.8466785891107872E-3</v>
      </c>
      <c r="W87" s="2"/>
      <c r="X87" s="6">
        <f t="shared" si="45"/>
        <v>-4107.2500000000009</v>
      </c>
      <c r="Y87" s="2"/>
      <c r="Z87" s="7">
        <f t="shared" si="46"/>
        <v>-0.47769663515944938</v>
      </c>
    </row>
    <row r="88" spans="1:26" s="24" customFormat="1" hidden="1" outlineLevel="2" x14ac:dyDescent="0.3">
      <c r="A88" s="28"/>
      <c r="B88" s="11" t="str">
        <f>CONCATENATE("          ", "6307", " - ", "POSTAGE")</f>
        <v xml:space="preserve">          6307 - POSTAGE</v>
      </c>
      <c r="C88" s="11"/>
      <c r="D88" s="6"/>
      <c r="E88" s="2"/>
      <c r="F88" s="7">
        <f t="shared" si="39"/>
        <v>0</v>
      </c>
      <c r="G88" s="2"/>
      <c r="H88" s="6">
        <v>300</v>
      </c>
      <c r="I88" s="2"/>
      <c r="J88" s="7">
        <f t="shared" si="40"/>
        <v>2.1984738194745206E-2</v>
      </c>
      <c r="K88" s="2"/>
      <c r="L88" s="6">
        <f t="shared" si="41"/>
        <v>-300</v>
      </c>
      <c r="M88" s="2"/>
      <c r="N88" s="7">
        <f t="shared" si="42"/>
        <v>-1</v>
      </c>
      <c r="O88" s="11"/>
      <c r="P88" s="6"/>
      <c r="Q88" s="2"/>
      <c r="R88" s="7">
        <f t="shared" si="43"/>
        <v>0</v>
      </c>
      <c r="S88" s="2"/>
      <c r="T88" s="6">
        <v>300</v>
      </c>
      <c r="U88" s="2"/>
      <c r="V88" s="7">
        <f t="shared" si="44"/>
        <v>2.7378406178313357E-4</v>
      </c>
      <c r="W88" s="2"/>
      <c r="X88" s="6">
        <f t="shared" si="45"/>
        <v>-300</v>
      </c>
      <c r="Y88" s="2"/>
      <c r="Z88" s="7">
        <f t="shared" si="46"/>
        <v>-1</v>
      </c>
    </row>
    <row r="89" spans="1:26" s="29" customFormat="1" outlineLevel="1" collapsed="1" x14ac:dyDescent="0.3">
      <c r="A89" s="27"/>
      <c r="B89" s="14" t="str">
        <f>CONCATENATE("     ","General                                           ")</f>
        <v xml:space="preserve">     General                                           </v>
      </c>
      <c r="C89" s="14"/>
      <c r="D89" s="1">
        <f>SUM(OSRRefD22_7x_0)</f>
        <v>0</v>
      </c>
      <c r="E89" s="1"/>
      <c r="F89" s="5">
        <f t="shared" ref="F89:F96" si="47">IF(D$12=0,0,D89/D$12)</f>
        <v>0</v>
      </c>
      <c r="G89" s="1"/>
      <c r="H89" s="1">
        <f>SUM(OSRRefH22_7x_0)</f>
        <v>-0.99</v>
      </c>
      <c r="I89" s="1"/>
      <c r="J89" s="5">
        <f t="shared" ref="J89:J96" si="48">IF(H$12=0,0,H89/H$12)</f>
        <v>-7.2549636042659187E-5</v>
      </c>
      <c r="K89" s="1"/>
      <c r="L89" s="1">
        <f t="shared" ref="L89:L96" si="49">+D89-H89</f>
        <v>0.99</v>
      </c>
      <c r="M89" s="1"/>
      <c r="N89" s="5">
        <f t="shared" ref="N89:N96" si="50">IF(H89=0,0,L89/H89)</f>
        <v>-1</v>
      </c>
      <c r="O89" s="14"/>
      <c r="P89" s="1">
        <f>SUM(OSRRefP22_7x_0)</f>
        <v>0</v>
      </c>
      <c r="Q89" s="1"/>
      <c r="R89" s="5">
        <f t="shared" ref="R89:R96" si="51">IF(P$12=0,0,P89/P$12)</f>
        <v>0</v>
      </c>
      <c r="S89" s="1"/>
      <c r="T89" s="1">
        <f>SUM(OSRRefT22_7x_0)</f>
        <v>-1042.45</v>
      </c>
      <c r="U89" s="1"/>
      <c r="V89" s="5">
        <f t="shared" ref="V89:V96" si="52">IF(T$12=0,0,T89/T$12)</f>
        <v>-9.5135398401942524E-4</v>
      </c>
      <c r="W89" s="1"/>
      <c r="X89" s="1">
        <f t="shared" ref="X89:X96" si="53">+P89-T89</f>
        <v>1042.45</v>
      </c>
      <c r="Y89" s="1"/>
      <c r="Z89" s="5">
        <f t="shared" ref="Z89:Z96" si="54">IF(T89=0,0,X89/T89)</f>
        <v>-1</v>
      </c>
    </row>
    <row r="90" spans="1:26" s="24" customFormat="1" hidden="1" outlineLevel="2" x14ac:dyDescent="0.3">
      <c r="A90" s="28"/>
      <c r="B90" s="11" t="str">
        <f>CONCATENATE("          ", "6279", " - ", "GENERAL EXPENSE")</f>
        <v xml:space="preserve">          6279 - GENERAL EXPENSE</v>
      </c>
      <c r="C90" s="11"/>
      <c r="D90" s="6"/>
      <c r="E90" s="2"/>
      <c r="F90" s="7">
        <f t="shared" si="47"/>
        <v>0</v>
      </c>
      <c r="G90" s="2"/>
      <c r="H90" s="6">
        <v>-0.99</v>
      </c>
      <c r="I90" s="2"/>
      <c r="J90" s="7">
        <f t="shared" si="48"/>
        <v>-7.2549636042659187E-5</v>
      </c>
      <c r="K90" s="2"/>
      <c r="L90" s="6">
        <f t="shared" si="49"/>
        <v>0.99</v>
      </c>
      <c r="M90" s="2"/>
      <c r="N90" s="7">
        <f t="shared" si="50"/>
        <v>-1</v>
      </c>
      <c r="O90" s="11"/>
      <c r="P90" s="6"/>
      <c r="Q90" s="2"/>
      <c r="R90" s="7">
        <f t="shared" si="51"/>
        <v>0</v>
      </c>
      <c r="S90" s="2"/>
      <c r="T90" s="6">
        <v>-1042.45</v>
      </c>
      <c r="U90" s="2"/>
      <c r="V90" s="7">
        <f t="shared" si="52"/>
        <v>-9.5135398401942524E-4</v>
      </c>
      <c r="W90" s="2"/>
      <c r="X90" s="6">
        <f t="shared" si="53"/>
        <v>1042.45</v>
      </c>
      <c r="Y90" s="2"/>
      <c r="Z90" s="7">
        <f t="shared" si="54"/>
        <v>-1</v>
      </c>
    </row>
    <row r="91" spans="1:26" s="29" customFormat="1" outlineLevel="1" collapsed="1" x14ac:dyDescent="0.3">
      <c r="A91" s="27"/>
      <c r="B91" s="14" t="str">
        <f>CONCATENATE("     ","Inventory Adjustment                              ")</f>
        <v xml:space="preserve">     Inventory Adjustment                              </v>
      </c>
      <c r="C91" s="14"/>
      <c r="D91" s="1">
        <f>SUM(OSRRefD22_8x_0)</f>
        <v>5000</v>
      </c>
      <c r="E91" s="1"/>
      <c r="F91" s="5">
        <f t="shared" si="47"/>
        <v>9.9379356045623882E-2</v>
      </c>
      <c r="G91" s="1"/>
      <c r="H91" s="1">
        <f>SUM(OSRRefH22_8x_0)</f>
        <v>6000</v>
      </c>
      <c r="I91" s="1"/>
      <c r="J91" s="5">
        <f t="shared" si="48"/>
        <v>0.43969476389490414</v>
      </c>
      <c r="K91" s="1"/>
      <c r="L91" s="1">
        <f t="shared" si="49"/>
        <v>-1000</v>
      </c>
      <c r="M91" s="1"/>
      <c r="N91" s="5">
        <f t="shared" si="50"/>
        <v>-0.16666666666666666</v>
      </c>
      <c r="O91" s="14"/>
      <c r="P91" s="1">
        <f>SUM(OSRRefP22_8x_0)</f>
        <v>10000</v>
      </c>
      <c r="Q91" s="1"/>
      <c r="R91" s="5">
        <f t="shared" si="51"/>
        <v>9.3833978771920221E-3</v>
      </c>
      <c r="S91" s="1"/>
      <c r="T91" s="1">
        <f>SUM(OSRRefT22_8x_0)</f>
        <v>11000</v>
      </c>
      <c r="U91" s="1"/>
      <c r="V91" s="5">
        <f t="shared" si="52"/>
        <v>1.003874893204823E-2</v>
      </c>
      <c r="W91" s="1"/>
      <c r="X91" s="1">
        <f t="shared" si="53"/>
        <v>-1000</v>
      </c>
      <c r="Y91" s="1"/>
      <c r="Z91" s="5">
        <f t="shared" si="54"/>
        <v>-9.0909090909090912E-2</v>
      </c>
    </row>
    <row r="92" spans="1:26" s="24" customFormat="1" hidden="1" outlineLevel="2" x14ac:dyDescent="0.3">
      <c r="A92" s="28"/>
      <c r="B92" s="11" t="str">
        <f>CONCATENATE("          ", "6408", " - ", "INVENTORY ADJUSTMENT")</f>
        <v xml:space="preserve">          6408 - INVENTORY ADJUSTMENT</v>
      </c>
      <c r="C92" s="11"/>
      <c r="D92" s="6">
        <v>5000</v>
      </c>
      <c r="E92" s="2"/>
      <c r="F92" s="7">
        <f t="shared" si="47"/>
        <v>9.9379356045623882E-2</v>
      </c>
      <c r="G92" s="2"/>
      <c r="H92" s="6">
        <v>6000</v>
      </c>
      <c r="I92" s="2"/>
      <c r="J92" s="7">
        <f t="shared" si="48"/>
        <v>0.43969476389490414</v>
      </c>
      <c r="K92" s="2"/>
      <c r="L92" s="6">
        <f t="shared" si="49"/>
        <v>-1000</v>
      </c>
      <c r="M92" s="2"/>
      <c r="N92" s="7">
        <f t="shared" si="50"/>
        <v>-0.16666666666666666</v>
      </c>
      <c r="O92" s="11"/>
      <c r="P92" s="6">
        <v>10000</v>
      </c>
      <c r="Q92" s="2"/>
      <c r="R92" s="7">
        <f t="shared" si="51"/>
        <v>9.3833978771920221E-3</v>
      </c>
      <c r="S92" s="2"/>
      <c r="T92" s="6">
        <v>11000</v>
      </c>
      <c r="U92" s="2"/>
      <c r="V92" s="7">
        <f t="shared" si="52"/>
        <v>1.003874893204823E-2</v>
      </c>
      <c r="W92" s="2"/>
      <c r="X92" s="6">
        <f t="shared" si="53"/>
        <v>-1000</v>
      </c>
      <c r="Y92" s="2"/>
      <c r="Z92" s="7">
        <f t="shared" si="54"/>
        <v>-9.0909090909090912E-2</v>
      </c>
    </row>
    <row r="93" spans="1:26" s="29" customFormat="1" outlineLevel="1" collapsed="1" x14ac:dyDescent="0.3">
      <c r="A93" s="27"/>
      <c r="B93" s="14" t="str">
        <f>CONCATENATE("     ","Repair and Maintenance                            ")</f>
        <v xml:space="preserve">     Repair and Maintenance                            </v>
      </c>
      <c r="C93" s="14"/>
      <c r="D93" s="1">
        <f>SUM(OSRRefD22_9x_0)</f>
        <v>14.62</v>
      </c>
      <c r="E93" s="1"/>
      <c r="F93" s="5">
        <f t="shared" si="47"/>
        <v>2.905852370774042E-4</v>
      </c>
      <c r="G93" s="1"/>
      <c r="H93" s="1">
        <f>SUM(OSRRefH22_9x_0)</f>
        <v>15.84</v>
      </c>
      <c r="I93" s="1"/>
      <c r="J93" s="5">
        <f t="shared" si="48"/>
        <v>1.160794176682547E-3</v>
      </c>
      <c r="K93" s="1"/>
      <c r="L93" s="1">
        <f t="shared" si="49"/>
        <v>-1.2200000000000006</v>
      </c>
      <c r="M93" s="1"/>
      <c r="N93" s="5">
        <f t="shared" si="50"/>
        <v>-7.7020202020202058E-2</v>
      </c>
      <c r="O93" s="14"/>
      <c r="P93" s="1">
        <f>SUM(OSRRefP22_9x_0)</f>
        <v>5869.06</v>
      </c>
      <c r="Q93" s="1"/>
      <c r="R93" s="5">
        <f t="shared" si="51"/>
        <v>5.5071725145112611E-3</v>
      </c>
      <c r="S93" s="1"/>
      <c r="T93" s="1">
        <f>SUM(OSRRefT22_9x_0)</f>
        <v>149.47</v>
      </c>
      <c r="U93" s="1"/>
      <c r="V93" s="5">
        <f t="shared" si="52"/>
        <v>1.3640834571574992E-4</v>
      </c>
      <c r="W93" s="1"/>
      <c r="X93" s="1">
        <f t="shared" si="53"/>
        <v>5719.59</v>
      </c>
      <c r="Y93" s="1"/>
      <c r="Z93" s="5">
        <f t="shared" si="54"/>
        <v>38.265805847327222</v>
      </c>
    </row>
    <row r="94" spans="1:26" s="24" customFormat="1" hidden="1" outlineLevel="2" x14ac:dyDescent="0.3">
      <c r="A94" s="28"/>
      <c r="B94" s="11" t="str">
        <f>CONCATENATE("          ", "6371", " - ", "COMPUTER SOFTWARE MAINTENANCE")</f>
        <v xml:space="preserve">          6371 - COMPUTER SOFTWARE MAINTENANCE</v>
      </c>
      <c r="C94" s="11"/>
      <c r="D94" s="6"/>
      <c r="E94" s="2"/>
      <c r="F94" s="7">
        <f t="shared" si="47"/>
        <v>0</v>
      </c>
      <c r="G94" s="2"/>
      <c r="H94" s="6"/>
      <c r="I94" s="2"/>
      <c r="J94" s="7">
        <f t="shared" si="48"/>
        <v>0</v>
      </c>
      <c r="K94" s="2"/>
      <c r="L94" s="6">
        <f t="shared" si="49"/>
        <v>0</v>
      </c>
      <c r="M94" s="2"/>
      <c r="N94" s="7">
        <f t="shared" si="50"/>
        <v>0</v>
      </c>
      <c r="O94" s="11"/>
      <c r="P94" s="6">
        <v>5775</v>
      </c>
      <c r="Q94" s="2"/>
      <c r="R94" s="7">
        <f t="shared" si="51"/>
        <v>5.4189122740783925E-3</v>
      </c>
      <c r="S94" s="2"/>
      <c r="T94" s="6"/>
      <c r="U94" s="2"/>
      <c r="V94" s="7">
        <f t="shared" si="52"/>
        <v>0</v>
      </c>
      <c r="W94" s="2"/>
      <c r="X94" s="6">
        <f t="shared" si="53"/>
        <v>5775</v>
      </c>
      <c r="Y94" s="2"/>
      <c r="Z94" s="7">
        <f t="shared" si="54"/>
        <v>0</v>
      </c>
    </row>
    <row r="95" spans="1:26" s="24" customFormat="1" hidden="1" outlineLevel="2" x14ac:dyDescent="0.3">
      <c r="A95" s="28"/>
      <c r="B95" s="11" t="str">
        <f>CONCATENATE("          ", "6373", " - ", "MAINTENANCE CONTRACTS")</f>
        <v xml:space="preserve">          6373 - MAINTENANCE CONTRACTS</v>
      </c>
      <c r="C95" s="11"/>
      <c r="D95" s="6">
        <v>14.62</v>
      </c>
      <c r="E95" s="2"/>
      <c r="F95" s="7">
        <f t="shared" si="47"/>
        <v>2.905852370774042E-4</v>
      </c>
      <c r="G95" s="2"/>
      <c r="H95" s="6">
        <v>15.84</v>
      </c>
      <c r="I95" s="2"/>
      <c r="J95" s="7">
        <f t="shared" si="48"/>
        <v>1.160794176682547E-3</v>
      </c>
      <c r="K95" s="2"/>
      <c r="L95" s="6">
        <f t="shared" si="49"/>
        <v>-1.2200000000000006</v>
      </c>
      <c r="M95" s="2"/>
      <c r="N95" s="7">
        <f t="shared" si="50"/>
        <v>-7.7020202020202058E-2</v>
      </c>
      <c r="O95" s="11"/>
      <c r="P95" s="6">
        <v>94.06</v>
      </c>
      <c r="Q95" s="2"/>
      <c r="R95" s="7">
        <f t="shared" si="51"/>
        <v>8.8260240432868153E-5</v>
      </c>
      <c r="S95" s="2"/>
      <c r="T95" s="6">
        <v>124.36</v>
      </c>
      <c r="U95" s="2"/>
      <c r="V95" s="7">
        <f t="shared" si="52"/>
        <v>1.1349261974450163E-4</v>
      </c>
      <c r="W95" s="2"/>
      <c r="X95" s="6">
        <f t="shared" si="53"/>
        <v>-30.299999999999997</v>
      </c>
      <c r="Y95" s="2"/>
      <c r="Z95" s="7">
        <f t="shared" si="54"/>
        <v>-0.24364747507237053</v>
      </c>
    </row>
    <row r="96" spans="1:26" s="24" customFormat="1" hidden="1" outlineLevel="2" x14ac:dyDescent="0.3">
      <c r="A96" s="28"/>
      <c r="B96" s="11" t="str">
        <f>CONCATENATE("          ", "6375", " - ", "OUTSIDE REPAIRS &amp; MAINTENANCE")</f>
        <v xml:space="preserve">          6375 - OUTSIDE REPAIRS &amp; MAINTENANCE</v>
      </c>
      <c r="C96" s="11"/>
      <c r="D96" s="6"/>
      <c r="E96" s="2"/>
      <c r="F96" s="7">
        <f t="shared" si="47"/>
        <v>0</v>
      </c>
      <c r="G96" s="2"/>
      <c r="H96" s="6"/>
      <c r="I96" s="2"/>
      <c r="J96" s="7">
        <f t="shared" si="48"/>
        <v>0</v>
      </c>
      <c r="K96" s="2"/>
      <c r="L96" s="6">
        <f t="shared" si="49"/>
        <v>0</v>
      </c>
      <c r="M96" s="2"/>
      <c r="N96" s="7">
        <f t="shared" si="50"/>
        <v>0</v>
      </c>
      <c r="O96" s="11"/>
      <c r="P96" s="6"/>
      <c r="Q96" s="2"/>
      <c r="R96" s="7">
        <f t="shared" si="51"/>
        <v>0</v>
      </c>
      <c r="S96" s="2"/>
      <c r="T96" s="6">
        <v>25.11</v>
      </c>
      <c r="U96" s="2"/>
      <c r="V96" s="7">
        <f t="shared" si="52"/>
        <v>2.2915725971248279E-5</v>
      </c>
      <c r="W96" s="2"/>
      <c r="X96" s="6">
        <f t="shared" si="53"/>
        <v>-25.11</v>
      </c>
      <c r="Y96" s="2"/>
      <c r="Z96" s="7">
        <f t="shared" si="54"/>
        <v>-1</v>
      </c>
    </row>
    <row r="97" spans="1:26" s="29" customFormat="1" outlineLevel="1" collapsed="1" x14ac:dyDescent="0.3">
      <c r="A97" s="27"/>
      <c r="B97" s="14" t="str">
        <f>CONCATENATE("     ","Subscriptions &amp; Dues                              ")</f>
        <v xml:space="preserve">     Subscriptions &amp; Dues                              </v>
      </c>
      <c r="C97" s="14"/>
      <c r="D97" s="1">
        <f>SUM(OSRRefD22_10x_0)</f>
        <v>286.24</v>
      </c>
      <c r="E97" s="1"/>
      <c r="F97" s="5">
        <f t="shared" ref="F97:F101" si="55">IF(D$12=0,0,D97/D$12)</f>
        <v>5.6892693748998762E-3</v>
      </c>
      <c r="G97" s="1"/>
      <c r="H97" s="1">
        <f>SUM(OSRRefH22_10x_0)</f>
        <v>141.16</v>
      </c>
      <c r="I97" s="1"/>
      <c r="J97" s="5">
        <f t="shared" ref="J97:J101" si="56">IF(H$12=0,0,H97/H$12)</f>
        <v>1.0344552145234111E-2</v>
      </c>
      <c r="K97" s="1"/>
      <c r="L97" s="1">
        <f t="shared" ref="L97:L101" si="57">+D97-H97</f>
        <v>145.08000000000001</v>
      </c>
      <c r="M97" s="1"/>
      <c r="N97" s="5">
        <f t="shared" ref="N97:N101" si="58">IF(H97=0,0,L97/H97)</f>
        <v>1.0277699064890906</v>
      </c>
      <c r="O97" s="14"/>
      <c r="P97" s="1">
        <f>SUM(OSRRefP22_10x_0)</f>
        <v>1511.74</v>
      </c>
      <c r="Q97" s="1"/>
      <c r="R97" s="5">
        <f t="shared" ref="R97:R101" si="59">IF(P$12=0,0,P97/P$12)</f>
        <v>1.4185257906866265E-3</v>
      </c>
      <c r="S97" s="1"/>
      <c r="T97" s="1">
        <f>SUM(OSRRefT22_10x_0)</f>
        <v>1731.44</v>
      </c>
      <c r="U97" s="1"/>
      <c r="V97" s="5">
        <f t="shared" ref="V97:V101" si="60">IF(T$12=0,0,T97/T$12)</f>
        <v>1.5801355864459626E-3</v>
      </c>
      <c r="W97" s="1"/>
      <c r="X97" s="1">
        <f t="shared" ref="X97:X101" si="61">+P97-T97</f>
        <v>-219.70000000000005</v>
      </c>
      <c r="Y97" s="1"/>
      <c r="Z97" s="5">
        <f t="shared" ref="Z97:Z101" si="62">IF(T97=0,0,X97/T97)</f>
        <v>-0.12688860139537034</v>
      </c>
    </row>
    <row r="98" spans="1:26" s="24" customFormat="1" hidden="1" outlineLevel="2" x14ac:dyDescent="0.3">
      <c r="A98" s="28"/>
      <c r="B98" s="11" t="str">
        <f>CONCATENATE("          ", "6258", " - ", "MEMBERSHIP DUES")</f>
        <v xml:space="preserve">          6258 - MEMBERSHIP DUES</v>
      </c>
      <c r="C98" s="11"/>
      <c r="D98" s="6">
        <v>286.24</v>
      </c>
      <c r="E98" s="2"/>
      <c r="F98" s="7">
        <f t="shared" si="55"/>
        <v>5.6892693748998762E-3</v>
      </c>
      <c r="G98" s="2"/>
      <c r="H98" s="6">
        <v>141.16</v>
      </c>
      <c r="I98" s="2"/>
      <c r="J98" s="7">
        <f t="shared" si="56"/>
        <v>1.0344552145234111E-2</v>
      </c>
      <c r="K98" s="2"/>
      <c r="L98" s="6">
        <f t="shared" si="57"/>
        <v>145.08000000000001</v>
      </c>
      <c r="M98" s="2"/>
      <c r="N98" s="7">
        <f t="shared" si="58"/>
        <v>1.0277699064890906</v>
      </c>
      <c r="O98" s="11"/>
      <c r="P98" s="6">
        <v>1511.74</v>
      </c>
      <c r="Q98" s="2"/>
      <c r="R98" s="7">
        <f t="shared" si="59"/>
        <v>1.4185257906866265E-3</v>
      </c>
      <c r="S98" s="2"/>
      <c r="T98" s="6">
        <v>1731.44</v>
      </c>
      <c r="U98" s="2"/>
      <c r="V98" s="7">
        <f t="shared" si="60"/>
        <v>1.5801355864459626E-3</v>
      </c>
      <c r="W98" s="2"/>
      <c r="X98" s="6">
        <f t="shared" si="61"/>
        <v>-219.70000000000005</v>
      </c>
      <c r="Y98" s="2"/>
      <c r="Z98" s="7">
        <f t="shared" si="62"/>
        <v>-0.12688860139537034</v>
      </c>
    </row>
    <row r="99" spans="1:26" s="29" customFormat="1" outlineLevel="1" collapsed="1" x14ac:dyDescent="0.3">
      <c r="A99" s="27"/>
      <c r="B99" s="14" t="str">
        <f>CONCATENATE("     ","Supplies                                          ")</f>
        <v xml:space="preserve">     Supplies                                          </v>
      </c>
      <c r="C99" s="14"/>
      <c r="D99" s="1">
        <f>SUM(OSRRefD22_11x_0)</f>
        <v>131.44</v>
      </c>
      <c r="E99" s="1"/>
      <c r="F99" s="5">
        <f t="shared" si="55"/>
        <v>2.6124845117273606E-3</v>
      </c>
      <c r="G99" s="1"/>
      <c r="H99" s="1">
        <f>SUM(OSRRefH22_11x_0)</f>
        <v>522.95000000000005</v>
      </c>
      <c r="I99" s="1"/>
      <c r="J99" s="5">
        <f t="shared" si="56"/>
        <v>3.8323062796473358E-2</v>
      </c>
      <c r="K99" s="1"/>
      <c r="L99" s="1">
        <f t="shared" si="57"/>
        <v>-391.51000000000005</v>
      </c>
      <c r="M99" s="1"/>
      <c r="N99" s="5">
        <f t="shared" si="58"/>
        <v>-0.74865665933645664</v>
      </c>
      <c r="O99" s="14"/>
      <c r="P99" s="1">
        <f>SUM(OSRRefP22_11x_0)</f>
        <v>1075.77</v>
      </c>
      <c r="Q99" s="1"/>
      <c r="R99" s="5">
        <f t="shared" si="59"/>
        <v>1.009437793434686E-3</v>
      </c>
      <c r="S99" s="1"/>
      <c r="T99" s="1">
        <f>SUM(OSRRefT22_11x_0)</f>
        <v>2069.64</v>
      </c>
      <c r="U99" s="1"/>
      <c r="V99" s="5">
        <f t="shared" si="60"/>
        <v>1.8887814854294815E-3</v>
      </c>
      <c r="W99" s="1"/>
      <c r="X99" s="1">
        <f t="shared" si="61"/>
        <v>-993.86999999999989</v>
      </c>
      <c r="Y99" s="1"/>
      <c r="Z99" s="5">
        <f t="shared" si="62"/>
        <v>-0.48021395025221775</v>
      </c>
    </row>
    <row r="100" spans="1:26" s="24" customFormat="1" hidden="1" outlineLevel="2" x14ac:dyDescent="0.3">
      <c r="A100" s="28"/>
      <c r="B100" s="11" t="str">
        <f>CONCATENATE("          ", "6241", " - ", "OFFICE EXPENSE")</f>
        <v xml:space="preserve">          6241 - OFFICE EXPENSE</v>
      </c>
      <c r="C100" s="11"/>
      <c r="D100" s="6">
        <v>131.44</v>
      </c>
      <c r="E100" s="2"/>
      <c r="F100" s="7">
        <f t="shared" si="55"/>
        <v>2.6124845117273606E-3</v>
      </c>
      <c r="G100" s="2"/>
      <c r="H100" s="6">
        <v>210.77</v>
      </c>
      <c r="I100" s="2"/>
      <c r="J100" s="7">
        <f t="shared" si="56"/>
        <v>1.5445744231021493E-2</v>
      </c>
      <c r="K100" s="2"/>
      <c r="L100" s="6">
        <f t="shared" si="57"/>
        <v>-79.330000000000013</v>
      </c>
      <c r="M100" s="2"/>
      <c r="N100" s="7">
        <f t="shared" si="58"/>
        <v>-0.37638183802248903</v>
      </c>
      <c r="O100" s="11"/>
      <c r="P100" s="6">
        <v>1075.77</v>
      </c>
      <c r="Q100" s="2"/>
      <c r="R100" s="7">
        <f t="shared" si="59"/>
        <v>1.009437793434686E-3</v>
      </c>
      <c r="S100" s="2"/>
      <c r="T100" s="6">
        <v>1124.3599999999999</v>
      </c>
      <c r="U100" s="2"/>
      <c r="V100" s="7">
        <f t="shared" si="60"/>
        <v>1.0261061590216133E-3</v>
      </c>
      <c r="W100" s="2"/>
      <c r="X100" s="6">
        <f t="shared" si="61"/>
        <v>-48.589999999999918</v>
      </c>
      <c r="Y100" s="2"/>
      <c r="Z100" s="7">
        <f t="shared" si="62"/>
        <v>-4.3215696040414031E-2</v>
      </c>
    </row>
    <row r="101" spans="1:26" s="24" customFormat="1" hidden="1" outlineLevel="2" x14ac:dyDescent="0.3">
      <c r="A101" s="28"/>
      <c r="B101" s="11" t="str">
        <f>CONCATENATE("          ", "6247", " - ", "STORE SUPPLIES")</f>
        <v xml:space="preserve">          6247 - STORE SUPPLIES</v>
      </c>
      <c r="C101" s="11"/>
      <c r="D101" s="6"/>
      <c r="E101" s="2"/>
      <c r="F101" s="7">
        <f t="shared" si="55"/>
        <v>0</v>
      </c>
      <c r="G101" s="2"/>
      <c r="H101" s="6">
        <v>312.18</v>
      </c>
      <c r="I101" s="2"/>
      <c r="J101" s="7">
        <f t="shared" si="56"/>
        <v>2.2877318565451863E-2</v>
      </c>
      <c r="K101" s="2"/>
      <c r="L101" s="6">
        <f t="shared" si="57"/>
        <v>-312.18</v>
      </c>
      <c r="M101" s="2"/>
      <c r="N101" s="7">
        <f t="shared" si="58"/>
        <v>-1</v>
      </c>
      <c r="O101" s="11"/>
      <c r="P101" s="6"/>
      <c r="Q101" s="2"/>
      <c r="R101" s="7">
        <f t="shared" si="59"/>
        <v>0</v>
      </c>
      <c r="S101" s="2"/>
      <c r="T101" s="6">
        <v>945.28</v>
      </c>
      <c r="U101" s="2"/>
      <c r="V101" s="7">
        <f t="shared" si="60"/>
        <v>8.6267532640786821E-4</v>
      </c>
      <c r="W101" s="2"/>
      <c r="X101" s="6">
        <f t="shared" si="61"/>
        <v>-945.28</v>
      </c>
      <c r="Y101" s="2"/>
      <c r="Z101" s="7">
        <f t="shared" si="62"/>
        <v>-1</v>
      </c>
    </row>
    <row r="102" spans="1:26" s="29" customFormat="1" outlineLevel="1" collapsed="1" x14ac:dyDescent="0.3">
      <c r="A102" s="27"/>
      <c r="B102" s="14" t="str">
        <f>CONCATENATE("     ","Telephone/Data Lines                              ")</f>
        <v xml:space="preserve">     Telephone/Data Lines                              </v>
      </c>
      <c r="C102" s="14"/>
      <c r="D102" s="1">
        <f>SUM(OSRRefD22_12x_0)</f>
        <v>61.5</v>
      </c>
      <c r="E102" s="1"/>
      <c r="F102" s="5">
        <f t="shared" ref="F102:F104" si="63">IF(D$12=0,0,D102/D$12)</f>
        <v>1.2223660793611738E-3</v>
      </c>
      <c r="G102" s="1"/>
      <c r="H102" s="1">
        <f>SUM(OSRRefH22_12x_0)</f>
        <v>462</v>
      </c>
      <c r="I102" s="1"/>
      <c r="J102" s="5">
        <f t="shared" ref="J102:J104" si="64">IF(H$12=0,0,H102/H$12)</f>
        <v>3.3856496819907621E-2</v>
      </c>
      <c r="K102" s="1"/>
      <c r="L102" s="1">
        <f t="shared" ref="L102:L104" si="65">+D102-H102</f>
        <v>-400.5</v>
      </c>
      <c r="M102" s="1"/>
      <c r="N102" s="5">
        <f t="shared" ref="N102:N104" si="66">IF(H102=0,0,L102/H102)</f>
        <v>-0.86688311688311692</v>
      </c>
      <c r="O102" s="14"/>
      <c r="P102" s="1">
        <f>SUM(OSRRefP22_12x_0)</f>
        <v>3078.85</v>
      </c>
      <c r="Q102" s="1"/>
      <c r="R102" s="5">
        <f t="shared" ref="R102:R104" si="67">IF(P$12=0,0,P102/P$12)</f>
        <v>2.8890074554192655E-3</v>
      </c>
      <c r="S102" s="1"/>
      <c r="T102" s="1">
        <f>SUM(OSRRefT22_12x_0)</f>
        <v>5042.5</v>
      </c>
      <c r="U102" s="1"/>
      <c r="V102" s="5">
        <f t="shared" ref="V102:V104" si="68">IF(T$12=0,0,T102/T$12)</f>
        <v>4.6018537718048366E-3</v>
      </c>
      <c r="W102" s="1"/>
      <c r="X102" s="1">
        <f t="shared" ref="X102:X104" si="69">+P102-T102</f>
        <v>-1963.65</v>
      </c>
      <c r="Y102" s="1"/>
      <c r="Z102" s="5">
        <f t="shared" ref="Z102:Z104" si="70">IF(T102=0,0,X102/T102)</f>
        <v>-0.38941993058998514</v>
      </c>
    </row>
    <row r="103" spans="1:26" s="24" customFormat="1" hidden="1" outlineLevel="2" x14ac:dyDescent="0.3">
      <c r="A103" s="28"/>
      <c r="B103" s="11" t="str">
        <f>CONCATENATE("          ", "6303", " - ", "DATA PHONE LINES")</f>
        <v xml:space="preserve">          6303 - DATA PHONE LINES</v>
      </c>
      <c r="C103" s="11"/>
      <c r="D103" s="6"/>
      <c r="E103" s="2"/>
      <c r="F103" s="7">
        <f t="shared" si="63"/>
        <v>0</v>
      </c>
      <c r="G103" s="2"/>
      <c r="H103" s="6"/>
      <c r="I103" s="2"/>
      <c r="J103" s="7">
        <f t="shared" si="64"/>
        <v>0</v>
      </c>
      <c r="K103" s="2"/>
      <c r="L103" s="6">
        <f t="shared" si="65"/>
        <v>0</v>
      </c>
      <c r="M103" s="2"/>
      <c r="N103" s="7">
        <f t="shared" si="66"/>
        <v>0</v>
      </c>
      <c r="O103" s="11"/>
      <c r="P103" s="6">
        <v>295</v>
      </c>
      <c r="Q103" s="2"/>
      <c r="R103" s="7">
        <f t="shared" si="67"/>
        <v>2.7681023737716464E-4</v>
      </c>
      <c r="S103" s="2"/>
      <c r="T103" s="6">
        <v>2065</v>
      </c>
      <c r="U103" s="2"/>
      <c r="V103" s="7">
        <f t="shared" si="68"/>
        <v>1.8845469586072359E-3</v>
      </c>
      <c r="W103" s="2"/>
      <c r="X103" s="6">
        <f t="shared" si="69"/>
        <v>-1770</v>
      </c>
      <c r="Y103" s="2"/>
      <c r="Z103" s="7">
        <f t="shared" si="70"/>
        <v>-0.8571428571428571</v>
      </c>
    </row>
    <row r="104" spans="1:26" s="24" customFormat="1" hidden="1" outlineLevel="2" x14ac:dyDescent="0.3">
      <c r="A104" s="28"/>
      <c r="B104" s="11" t="str">
        <f>CONCATENATE("          ", "6309", " - ", "TELEPHONE")</f>
        <v xml:space="preserve">          6309 - TELEPHONE</v>
      </c>
      <c r="C104" s="11"/>
      <c r="D104" s="6">
        <v>61.5</v>
      </c>
      <c r="E104" s="2"/>
      <c r="F104" s="7">
        <f t="shared" si="63"/>
        <v>1.2223660793611738E-3</v>
      </c>
      <c r="G104" s="2"/>
      <c r="H104" s="6">
        <v>462</v>
      </c>
      <c r="I104" s="2"/>
      <c r="J104" s="7">
        <f t="shared" si="64"/>
        <v>3.3856496819907621E-2</v>
      </c>
      <c r="K104" s="2"/>
      <c r="L104" s="6">
        <f t="shared" si="65"/>
        <v>-400.5</v>
      </c>
      <c r="M104" s="2"/>
      <c r="N104" s="7">
        <f t="shared" si="66"/>
        <v>-0.86688311688311692</v>
      </c>
      <c r="O104" s="11"/>
      <c r="P104" s="6">
        <v>2783.85</v>
      </c>
      <c r="Q104" s="2"/>
      <c r="R104" s="7">
        <f t="shared" si="67"/>
        <v>2.6121972180421006E-3</v>
      </c>
      <c r="S104" s="2"/>
      <c r="T104" s="6">
        <v>2977.5</v>
      </c>
      <c r="U104" s="2"/>
      <c r="V104" s="7">
        <f t="shared" si="68"/>
        <v>2.7173068131976005E-3</v>
      </c>
      <c r="W104" s="2"/>
      <c r="X104" s="6">
        <f t="shared" si="69"/>
        <v>-193.65000000000009</v>
      </c>
      <c r="Y104" s="2"/>
      <c r="Z104" s="7">
        <f t="shared" si="70"/>
        <v>-6.5037783375314892E-2</v>
      </c>
    </row>
    <row r="105" spans="1:26" s="29" customFormat="1" outlineLevel="1" collapsed="1" x14ac:dyDescent="0.3">
      <c r="A105" s="27"/>
      <c r="B105" s="14" t="str">
        <f>CONCATENATE("     ","Travel                                            ")</f>
        <v xml:space="preserve">     Travel                                            </v>
      </c>
      <c r="C105" s="14"/>
      <c r="D105" s="1">
        <f>SUM(OSRRefD22_13x_0)</f>
        <v>0</v>
      </c>
      <c r="E105" s="1"/>
      <c r="F105" s="5">
        <f t="shared" ref="F105:F106" si="71">IF(D$12=0,0,D105/D$12)</f>
        <v>0</v>
      </c>
      <c r="G105" s="1"/>
      <c r="H105" s="1">
        <f>SUM(OSRRefH22_13x_0)</f>
        <v>0</v>
      </c>
      <c r="I105" s="1"/>
      <c r="J105" s="5">
        <f t="shared" ref="J105:J106" si="72">IF(H$12=0,0,H105/H$12)</f>
        <v>0</v>
      </c>
      <c r="K105" s="1"/>
      <c r="L105" s="1">
        <f t="shared" ref="L105:L106" si="73">+D105-H105</f>
        <v>0</v>
      </c>
      <c r="M105" s="1"/>
      <c r="N105" s="5">
        <f t="shared" ref="N105:N106" si="74">IF(H105=0,0,L105/H105)</f>
        <v>0</v>
      </c>
      <c r="O105" s="14"/>
      <c r="P105" s="1">
        <f>SUM(OSRRefP22_13x_0)</f>
        <v>0</v>
      </c>
      <c r="Q105" s="1"/>
      <c r="R105" s="5">
        <f t="shared" ref="R105:R106" si="75">IF(P$12=0,0,P105/P$12)</f>
        <v>0</v>
      </c>
      <c r="S105" s="1"/>
      <c r="T105" s="1">
        <f>SUM(OSRRefT22_13x_0)</f>
        <v>0.16</v>
      </c>
      <c r="U105" s="1"/>
      <c r="V105" s="5">
        <f t="shared" ref="V105:V106" si="76">IF(T$12=0,0,T105/T$12)</f>
        <v>1.4601816628433789E-7</v>
      </c>
      <c r="W105" s="1"/>
      <c r="X105" s="1">
        <f t="shared" ref="X105:X106" si="77">+P105-T105</f>
        <v>-0.16</v>
      </c>
      <c r="Y105" s="1"/>
      <c r="Z105" s="5">
        <f t="shared" ref="Z105:Z106" si="78">IF(T105=0,0,X105/T105)</f>
        <v>-1</v>
      </c>
    </row>
    <row r="106" spans="1:26" s="24" customFormat="1" hidden="1" outlineLevel="2" x14ac:dyDescent="0.3">
      <c r="A106" s="28"/>
      <c r="B106" s="11" t="str">
        <f>CONCATENATE("          ", "6292", " - ", "TRAVEL/CONFERENCE")</f>
        <v xml:space="preserve">          6292 - TRAVEL/CONFERENCE</v>
      </c>
      <c r="C106" s="11"/>
      <c r="D106" s="6"/>
      <c r="E106" s="2"/>
      <c r="F106" s="7">
        <f t="shared" si="71"/>
        <v>0</v>
      </c>
      <c r="G106" s="2"/>
      <c r="H106" s="6"/>
      <c r="I106" s="2"/>
      <c r="J106" s="7">
        <f t="shared" si="72"/>
        <v>0</v>
      </c>
      <c r="K106" s="2"/>
      <c r="L106" s="6">
        <f t="shared" si="73"/>
        <v>0</v>
      </c>
      <c r="M106" s="2"/>
      <c r="N106" s="7">
        <f t="shared" si="74"/>
        <v>0</v>
      </c>
      <c r="O106" s="11"/>
      <c r="P106" s="6"/>
      <c r="Q106" s="2"/>
      <c r="R106" s="7">
        <f t="shared" si="75"/>
        <v>0</v>
      </c>
      <c r="S106" s="2"/>
      <c r="T106" s="6">
        <v>0.16</v>
      </c>
      <c r="U106" s="2"/>
      <c r="V106" s="7">
        <f t="shared" si="76"/>
        <v>1.4601816628433789E-7</v>
      </c>
      <c r="W106" s="2"/>
      <c r="X106" s="6">
        <f t="shared" si="77"/>
        <v>-0.16</v>
      </c>
      <c r="Y106" s="2"/>
      <c r="Z106" s="7">
        <f t="shared" si="78"/>
        <v>-1</v>
      </c>
    </row>
    <row r="107" spans="1:26" s="53" customFormat="1" x14ac:dyDescent="0.3">
      <c r="A107" s="37"/>
      <c r="B107" s="37"/>
      <c r="C107" s="37"/>
      <c r="D107" s="1"/>
      <c r="E107" s="1"/>
      <c r="F107" s="5"/>
      <c r="G107" s="1"/>
      <c r="H107" s="1"/>
      <c r="I107" s="1"/>
      <c r="J107" s="5"/>
      <c r="K107" s="1"/>
      <c r="L107" s="1"/>
      <c r="M107" s="1"/>
      <c r="N107" s="5"/>
      <c r="O107" s="37"/>
      <c r="P107" s="1"/>
      <c r="Q107" s="1"/>
      <c r="R107" s="5"/>
      <c r="S107" s="1"/>
      <c r="T107" s="1"/>
      <c r="U107" s="1"/>
      <c r="V107" s="5"/>
      <c r="W107" s="1"/>
      <c r="X107" s="1"/>
      <c r="Y107" s="1"/>
      <c r="Z107" s="5"/>
    </row>
    <row r="108" spans="1:26" s="23" customFormat="1" collapsed="1" x14ac:dyDescent="0.3">
      <c r="A108" s="10"/>
      <c r="B108" s="25" t="s">
        <v>292</v>
      </c>
      <c r="C108" s="10"/>
      <c r="D108" s="4">
        <f>SUM(OSRRefD25x_0)</f>
        <v>931.69</v>
      </c>
      <c r="E108" s="4"/>
      <c r="F108" s="12">
        <f t="shared" ref="F108:F111" si="79">IF(D$12=0,0,D108/D$12)</f>
        <v>1.8518150446829463E-2</v>
      </c>
      <c r="G108" s="4"/>
      <c r="H108" s="4">
        <f>SUM(OSRRefH25x_0)</f>
        <v>11680.240000000002</v>
      </c>
      <c r="I108" s="4"/>
      <c r="J108" s="12">
        <f t="shared" ref="J108:J111" si="80">IF(H$12=0,0,H108/H$12)</f>
        <v>0.85595672817263602</v>
      </c>
      <c r="K108" s="4"/>
      <c r="L108" s="4">
        <f t="shared" ref="L108:L111" si="81">+D108-H108</f>
        <v>-10748.550000000001</v>
      </c>
      <c r="M108" s="4"/>
      <c r="N108" s="12">
        <f t="shared" ref="N108:N111" si="82">IF(H108=0,0,L108/H108)</f>
        <v>-0.92023365958233727</v>
      </c>
      <c r="O108" s="10"/>
      <c r="P108" s="4">
        <f>SUM(OSRRefP25x_0)</f>
        <v>190903.72</v>
      </c>
      <c r="Q108" s="4"/>
      <c r="R108" s="12">
        <f t="shared" ref="R108:R111" si="83">IF(P$12=0,0,P108/P$12)</f>
        <v>0.17913255609960602</v>
      </c>
      <c r="S108" s="4"/>
      <c r="T108" s="4">
        <f>SUM(OSRRefT25x_0)</f>
        <v>173765.81</v>
      </c>
      <c r="U108" s="4"/>
      <c r="V108" s="12">
        <f t="shared" ref="V108:V111" si="84">IF(T$12=0,0,T108/T$12)</f>
        <v>0.15858103086945416</v>
      </c>
      <c r="W108" s="4"/>
      <c r="X108" s="4">
        <f t="shared" ref="X108:X111" si="85">+P108-T108</f>
        <v>17137.910000000003</v>
      </c>
      <c r="Y108" s="4"/>
      <c r="Z108" s="12">
        <f t="shared" ref="Z108:Z111" si="86">IF(T108=0,0,X108/T108)</f>
        <v>9.862647893736981E-2</v>
      </c>
    </row>
    <row r="109" spans="1:26" s="24" customFormat="1" hidden="1" outlineLevel="1" x14ac:dyDescent="0.3">
      <c r="A109" s="44"/>
      <c r="B109" s="11" t="str">
        <f>CONCATENATE("          ", "9150", " - ", "MISC. INCOME")</f>
        <v xml:space="preserve">          9150 - MISC. INCOME</v>
      </c>
      <c r="C109" s="11"/>
      <c r="D109" s="2">
        <f t="shared" ref="D109:D110" si="87">0</f>
        <v>0</v>
      </c>
      <c r="E109" s="2"/>
      <c r="F109" s="19">
        <f t="shared" si="79"/>
        <v>0</v>
      </c>
      <c r="G109" s="2"/>
      <c r="H109" s="2">
        <f>--11200.54</f>
        <v>11200.54</v>
      </c>
      <c r="I109" s="2"/>
      <c r="J109" s="19">
        <f t="shared" si="80"/>
        <v>0.82080313179923836</v>
      </c>
      <c r="K109" s="2"/>
      <c r="L109" s="2">
        <f t="shared" si="81"/>
        <v>-11200.54</v>
      </c>
      <c r="M109" s="2"/>
      <c r="N109" s="19">
        <f t="shared" si="82"/>
        <v>-1</v>
      </c>
      <c r="O109" s="11"/>
      <c r="P109" s="2">
        <f>--19313.26</f>
        <v>19313.259999999998</v>
      </c>
      <c r="Q109" s="2"/>
      <c r="R109" s="19">
        <f t="shared" si="83"/>
        <v>1.8122400288565755E-2</v>
      </c>
      <c r="S109" s="2"/>
      <c r="T109" s="2">
        <f>--23394.49</f>
        <v>23394.49</v>
      </c>
      <c r="U109" s="2"/>
      <c r="V109" s="19">
        <f t="shared" si="84"/>
        <v>2.1350128318483E-2</v>
      </c>
      <c r="W109" s="2"/>
      <c r="X109" s="2">
        <f t="shared" si="85"/>
        <v>-4081.2300000000032</v>
      </c>
      <c r="Y109" s="2"/>
      <c r="Z109" s="19">
        <f t="shared" si="86"/>
        <v>-0.17445261683413499</v>
      </c>
    </row>
    <row r="110" spans="1:26" s="24" customFormat="1" hidden="1" outlineLevel="1" x14ac:dyDescent="0.3">
      <c r="A110" s="44"/>
      <c r="B110" s="11" t="str">
        <f>CONCATENATE("          ", "9151", " - ", "MISC. INCOME")</f>
        <v xml:space="preserve">          9151 - MISC. INCOME</v>
      </c>
      <c r="C110" s="11"/>
      <c r="D110" s="2">
        <f t="shared" si="87"/>
        <v>0</v>
      </c>
      <c r="E110" s="2"/>
      <c r="F110" s="19">
        <f t="shared" si="79"/>
        <v>0</v>
      </c>
      <c r="G110" s="2"/>
      <c r="H110" s="2">
        <f>0</f>
        <v>0</v>
      </c>
      <c r="I110" s="2"/>
      <c r="J110" s="19">
        <f t="shared" si="80"/>
        <v>0</v>
      </c>
      <c r="K110" s="2"/>
      <c r="L110" s="2">
        <f t="shared" si="81"/>
        <v>0</v>
      </c>
      <c r="M110" s="2"/>
      <c r="N110" s="19">
        <f t="shared" si="82"/>
        <v>0</v>
      </c>
      <c r="O110" s="11"/>
      <c r="P110" s="2">
        <f>--168463.36</f>
        <v>168463.35999999999</v>
      </c>
      <c r="Q110" s="2"/>
      <c r="R110" s="19">
        <f t="shared" si="83"/>
        <v>0.15807587346086352</v>
      </c>
      <c r="S110" s="2"/>
      <c r="T110" s="2">
        <f>--147285.39</f>
        <v>147285.39000000001</v>
      </c>
      <c r="U110" s="2"/>
      <c r="V110" s="19">
        <f t="shared" si="84"/>
        <v>0.13441464105170975</v>
      </c>
      <c r="W110" s="2"/>
      <c r="X110" s="2">
        <f t="shared" si="85"/>
        <v>21177.969999999972</v>
      </c>
      <c r="Y110" s="2"/>
      <c r="Z110" s="19">
        <f t="shared" si="86"/>
        <v>0.14378866770152809</v>
      </c>
    </row>
    <row r="111" spans="1:26" s="24" customFormat="1" hidden="1" outlineLevel="1" x14ac:dyDescent="0.3">
      <c r="A111" s="44"/>
      <c r="B111" s="11" t="str">
        <f>CONCATENATE("          ", "9152", " - ", "MISC. INCOME")</f>
        <v xml:space="preserve">          9152 - MISC. INCOME</v>
      </c>
      <c r="C111" s="11"/>
      <c r="D111" s="2">
        <f>--931.69</f>
        <v>931.69</v>
      </c>
      <c r="E111" s="2"/>
      <c r="F111" s="19">
        <f t="shared" si="79"/>
        <v>1.8518150446829463E-2</v>
      </c>
      <c r="G111" s="2"/>
      <c r="H111" s="2">
        <f>--479.7</f>
        <v>479.7</v>
      </c>
      <c r="I111" s="2"/>
      <c r="J111" s="19">
        <f t="shared" si="80"/>
        <v>3.5153596373397586E-2</v>
      </c>
      <c r="K111" s="2"/>
      <c r="L111" s="2">
        <f t="shared" si="81"/>
        <v>451.99000000000007</v>
      </c>
      <c r="M111" s="2"/>
      <c r="N111" s="19">
        <f t="shared" si="82"/>
        <v>0.94223473003960823</v>
      </c>
      <c r="O111" s="11"/>
      <c r="P111" s="2">
        <f>--3127.1</f>
        <v>3127.1</v>
      </c>
      <c r="Q111" s="2"/>
      <c r="R111" s="19">
        <f t="shared" si="83"/>
        <v>2.9342823501767169E-3</v>
      </c>
      <c r="S111" s="2"/>
      <c r="T111" s="2">
        <f>--3085.93</f>
        <v>3085.93</v>
      </c>
      <c r="U111" s="2"/>
      <c r="V111" s="19">
        <f t="shared" si="84"/>
        <v>2.8162614992614174E-3</v>
      </c>
      <c r="W111" s="2"/>
      <c r="X111" s="2">
        <f t="shared" si="85"/>
        <v>41.170000000000073</v>
      </c>
      <c r="Y111" s="2"/>
      <c r="Z111" s="19">
        <f t="shared" si="86"/>
        <v>1.3341196981136991E-2</v>
      </c>
    </row>
    <row r="112" spans="1:26" x14ac:dyDescent="0.3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x14ac:dyDescent="0.3">
      <c r="A113" s="10"/>
      <c r="B113" s="26" t="s">
        <v>276</v>
      </c>
      <c r="C113" s="26"/>
      <c r="D113" s="20">
        <f>+D57-D59+D108</f>
        <v>-36499.48000000001</v>
      </c>
      <c r="E113" s="13"/>
      <c r="F113" s="21">
        <f>IF(D$12=0,0,D113/D$12)</f>
        <v>-0.72545896368002583</v>
      </c>
      <c r="G113" s="13"/>
      <c r="H113" s="20">
        <f>+H57-H59+H108</f>
        <v>-36465.069999999978</v>
      </c>
      <c r="I113" s="13"/>
      <c r="J113" s="21">
        <f>IF(H$12=0,0,H113/H$12)</f>
        <v>-2.6722500573435237</v>
      </c>
      <c r="K113" s="15"/>
      <c r="L113" s="20">
        <f>+D113-H113</f>
        <v>-34.410000000032596</v>
      </c>
      <c r="M113" s="15"/>
      <c r="N113" s="21">
        <f>IF(H113=0,0,L113/H113)</f>
        <v>9.4364277924141148E-4</v>
      </c>
      <c r="O113" s="25"/>
      <c r="P113" s="20">
        <f>+P57-P59+P108</f>
        <v>87429.000000000146</v>
      </c>
      <c r="Q113" s="13"/>
      <c r="R113" s="21">
        <f>IF(P$12=0,0,P113/P$12)</f>
        <v>8.203810930050226E-2</v>
      </c>
      <c r="S113" s="13"/>
      <c r="T113" s="20">
        <f>+T57-T59+T108</f>
        <v>225718.37000000011</v>
      </c>
      <c r="U113" s="13"/>
      <c r="V113" s="21">
        <f>IF(T$12=0,0,T113/T$12)</f>
        <v>0.20599364052556077</v>
      </c>
      <c r="W113" s="15"/>
      <c r="X113" s="20">
        <f>+P113-T113</f>
        <v>-138289.36999999997</v>
      </c>
      <c r="Y113" s="15"/>
      <c r="Z113" s="21">
        <f>IF(T113=0,0,X113/T113)</f>
        <v>-0.61266333794630845</v>
      </c>
    </row>
    <row r="114" spans="1:26" x14ac:dyDescent="0.3">
      <c r="A114" s="9"/>
      <c r="B114" s="10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3">
      <c r="A115" s="51"/>
      <c r="B115" s="10" t="s">
        <v>127</v>
      </c>
      <c r="C115" s="10"/>
      <c r="D115" s="4">
        <v>7334.58</v>
      </c>
      <c r="E115" s="4"/>
      <c r="F115" s="12">
        <f>IF(D$12=0,0,D115/D$12)</f>
        <v>0.14578116745302239</v>
      </c>
      <c r="G115" s="4"/>
      <c r="H115" s="4">
        <v>25054.06</v>
      </c>
      <c r="I115" s="4"/>
      <c r="J115" s="12">
        <f>IF(H$12=0,0,H115/H$12)</f>
        <v>1.8360231660514605</v>
      </c>
      <c r="K115" s="4"/>
      <c r="L115" s="4">
        <f>+D115-H115</f>
        <v>-17719.480000000003</v>
      </c>
      <c r="M115" s="4"/>
      <c r="N115" s="12">
        <f>IF(H115=0,0,L115/H115)</f>
        <v>-0.70724984293962745</v>
      </c>
      <c r="O115" s="10"/>
      <c r="P115" s="4">
        <v>128280.61</v>
      </c>
      <c r="Q115" s="4"/>
      <c r="R115" s="12">
        <f>IF(P$12=0,0,P115/P$12)</f>
        <v>0.12037080035588976</v>
      </c>
      <c r="S115" s="4"/>
      <c r="T115" s="4">
        <v>197001.08</v>
      </c>
      <c r="U115" s="4"/>
      <c r="V115" s="12">
        <f>IF(T$12=0,0,T115/T$12)</f>
        <v>0.17978585286021345</v>
      </c>
      <c r="W115" s="4"/>
      <c r="X115" s="4">
        <f>+P115-T115</f>
        <v>-68720.469999999987</v>
      </c>
      <c r="Y115" s="4"/>
      <c r="Z115" s="12">
        <f>IF(T115=0,0,X115/T115)</f>
        <v>-0.34883296071270264</v>
      </c>
    </row>
    <row r="116" spans="1:26" x14ac:dyDescent="0.3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" thickBot="1" x14ac:dyDescent="0.35">
      <c r="A117" s="10"/>
      <c r="B117" s="26" t="s">
        <v>125</v>
      </c>
      <c r="C117" s="26"/>
      <c r="D117" s="32">
        <f>+D113-D115</f>
        <v>-43834.060000000012</v>
      </c>
      <c r="E117" s="13"/>
      <c r="F117" s="35">
        <f>IF(D$12=0,0,D117/D$12)</f>
        <v>-0.87124013113304821</v>
      </c>
      <c r="G117" s="13"/>
      <c r="H117" s="32">
        <f>+H113-H115</f>
        <v>-61519.129999999976</v>
      </c>
      <c r="I117" s="13"/>
      <c r="J117" s="35">
        <f>IF(H$12=0,0,H117/H$12)</f>
        <v>-4.5082732233949843</v>
      </c>
      <c r="K117" s="15"/>
      <c r="L117" s="32">
        <f>D117-H117</f>
        <v>17685.069999999963</v>
      </c>
      <c r="M117" s="15"/>
      <c r="N117" s="35">
        <f>IF(H117=0,0,L117/H117)</f>
        <v>-0.28747269345323917</v>
      </c>
      <c r="O117" s="25"/>
      <c r="P117" s="32">
        <f>+P113-P115</f>
        <v>-40851.609999999855</v>
      </c>
      <c r="Q117" s="13"/>
      <c r="R117" s="35">
        <f>IF(P$12=0,0,P117/P$12)</f>
        <v>-3.8332691055387502E-2</v>
      </c>
      <c r="S117" s="13"/>
      <c r="T117" s="32">
        <f>+T113-T115</f>
        <v>28717.290000000125</v>
      </c>
      <c r="U117" s="13"/>
      <c r="V117" s="35">
        <f>IF(T$12=0,0,T117/T$12)</f>
        <v>2.6207787665347326E-2</v>
      </c>
      <c r="W117" s="15"/>
      <c r="X117" s="32">
        <f>P117-T117</f>
        <v>-69568.89999999998</v>
      </c>
      <c r="Y117" s="15"/>
      <c r="Z117" s="35">
        <f>IF(T117=0,0,X117/T117)</f>
        <v>-2.4225440492469756</v>
      </c>
    </row>
    <row r="118" spans="1:26" ht="15" thickTop="1" x14ac:dyDescent="0.3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x14ac:dyDescent="0.3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ht="15" thickBot="1" x14ac:dyDescent="0.35">
      <c r="A120" s="10"/>
      <c r="B120" s="26" t="s">
        <v>293</v>
      </c>
      <c r="C120" s="26"/>
      <c r="D120" s="31">
        <f>SUM(D117:D119)</f>
        <v>-43834.060000000012</v>
      </c>
      <c r="E120" s="13"/>
      <c r="F120" s="33">
        <f>IF(D$12=0,0,D120/D$12)</f>
        <v>-0.87124013113304821</v>
      </c>
      <c r="G120" s="13"/>
      <c r="H120" s="31">
        <f>SUM(H117:H119)</f>
        <v>-61519.129999999976</v>
      </c>
      <c r="I120" s="13"/>
      <c r="J120" s="33">
        <f>IF(H$12=0,0,H120/H$12)</f>
        <v>-4.5082732233949843</v>
      </c>
      <c r="K120" s="15"/>
      <c r="L120" s="31">
        <f>+D120-H120</f>
        <v>17685.069999999963</v>
      </c>
      <c r="M120" s="15"/>
      <c r="N120" s="33">
        <f>IF(H120=0,0,L120/H120)</f>
        <v>-0.28747269345323917</v>
      </c>
      <c r="O120" s="25"/>
      <c r="P120" s="31">
        <f>SUM(P117:P119)</f>
        <v>-40851.609999999855</v>
      </c>
      <c r="Q120" s="13"/>
      <c r="R120" s="33">
        <f>IF(P$12=0,0,P120/P$12)</f>
        <v>-3.8332691055387502E-2</v>
      </c>
      <c r="S120" s="13"/>
      <c r="T120" s="31">
        <f>SUM(T117:T119)</f>
        <v>28717.290000000125</v>
      </c>
      <c r="U120" s="13"/>
      <c r="V120" s="33">
        <f>IF(T$12=0,0,T120/T$12)</f>
        <v>2.6207787665347326E-2</v>
      </c>
      <c r="W120" s="15"/>
      <c r="X120" s="31">
        <f>+P120-T120</f>
        <v>-69568.89999999998</v>
      </c>
      <c r="Y120" s="15"/>
      <c r="Z120" s="33">
        <f>IF(T120=0,0,X120/T120)</f>
        <v>-2.4225440492469756</v>
      </c>
    </row>
    <row r="121" spans="1:26" ht="15" thickTop="1" x14ac:dyDescent="0.3">
      <c r="A121" s="9"/>
      <c r="C121" s="9"/>
      <c r="D121" s="17"/>
      <c r="E121" s="17"/>
      <c r="G121" s="17"/>
      <c r="H121" s="17"/>
      <c r="I121" s="17"/>
      <c r="J121" s="43"/>
      <c r="K121" s="17"/>
      <c r="L121" s="17"/>
      <c r="M121" s="17"/>
      <c r="P121" s="17"/>
      <c r="Q121" s="17"/>
      <c r="R121" s="43"/>
      <c r="S121" s="17"/>
      <c r="T121" s="17"/>
      <c r="U121" s="17"/>
      <c r="V121" s="43"/>
      <c r="W121" s="17"/>
      <c r="X121" s="17"/>
    </row>
    <row r="122" spans="1:26" x14ac:dyDescent="0.3">
      <c r="A122" s="9"/>
      <c r="B122" s="60">
        <v>44575.854680405093</v>
      </c>
      <c r="D122" s="17"/>
      <c r="E122" s="17"/>
      <c r="G122" s="17"/>
      <c r="H122" s="17"/>
      <c r="I122" s="17"/>
      <c r="J122" s="43"/>
      <c r="K122" s="17"/>
      <c r="L122" s="17"/>
      <c r="M122" s="17"/>
      <c r="P122" s="17"/>
      <c r="Q122" s="17"/>
      <c r="R122" s="43"/>
      <c r="S122" s="17"/>
      <c r="T122" s="17"/>
      <c r="U122" s="17"/>
      <c r="V122" s="43"/>
      <c r="W122" s="17"/>
      <c r="X122" s="17"/>
    </row>
    <row r="123" spans="1:26" x14ac:dyDescent="0.3">
      <c r="A123" s="9"/>
      <c r="B123" s="57" t="s">
        <v>56</v>
      </c>
      <c r="D123" s="17"/>
      <c r="E123" s="17"/>
      <c r="G123" s="17"/>
      <c r="H123" s="17"/>
      <c r="I123" s="17"/>
      <c r="J123" s="43"/>
      <c r="K123" s="17"/>
      <c r="L123" s="17"/>
      <c r="M123" s="17"/>
      <c r="P123" s="17"/>
      <c r="Q123" s="17"/>
      <c r="R123" s="43"/>
      <c r="S123" s="17"/>
      <c r="T123" s="17"/>
      <c r="U123" s="17"/>
      <c r="V123" s="43"/>
      <c r="W123" s="17"/>
      <c r="X123" s="17"/>
    </row>
    <row r="124" spans="1:26" x14ac:dyDescent="0.3">
      <c r="A124" s="9"/>
      <c r="B124" s="59"/>
      <c r="D124" s="17"/>
      <c r="E124" s="17"/>
      <c r="G124" s="17"/>
      <c r="H124" s="17"/>
      <c r="I124" s="17"/>
      <c r="J124" s="43"/>
      <c r="K124" s="17"/>
      <c r="L124" s="17"/>
      <c r="M124" s="17"/>
      <c r="P124" s="17"/>
      <c r="Q124" s="17"/>
      <c r="R124" s="43"/>
      <c r="S124" s="17"/>
      <c r="T124" s="17"/>
      <c r="U124" s="17"/>
      <c r="V124" s="43"/>
      <c r="W124" s="17"/>
      <c r="X124" s="17"/>
    </row>
    <row r="125" spans="1:26" x14ac:dyDescent="0.3">
      <c r="D125" s="17"/>
      <c r="E125" s="17"/>
      <c r="G125" s="17"/>
      <c r="H125" s="17"/>
      <c r="I125" s="17"/>
      <c r="J125" s="43"/>
      <c r="K125" s="17"/>
      <c r="L125" s="17"/>
      <c r="M125" s="17"/>
      <c r="P125" s="17"/>
      <c r="Q125" s="17"/>
      <c r="R125" s="43"/>
      <c r="S125" s="17"/>
      <c r="T125" s="17"/>
      <c r="U125" s="17"/>
      <c r="V125" s="43"/>
      <c r="W125" s="17"/>
      <c r="X125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1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","324", " - ", "Textbook Rental")</f>
        <v>Department 324 - Textbook Rental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-2339.54</v>
      </c>
      <c r="E12" s="4"/>
      <c r="F12" s="12"/>
      <c r="G12" s="4"/>
      <c r="H12" s="4">
        <f>SUM(OSRRefH13x_0)</f>
        <v>4076.46</v>
      </c>
      <c r="I12" s="4"/>
      <c r="J12" s="12"/>
      <c r="K12" s="4"/>
      <c r="L12" s="4">
        <f t="shared" ref="L12:L16" si="0">+D12-H12</f>
        <v>-6416</v>
      </c>
      <c r="M12" s="4"/>
      <c r="N12" s="12">
        <f t="shared" ref="N12:N16" si="1">IF(H12=0,0,L12/H12)</f>
        <v>-1.5739146220004612</v>
      </c>
      <c r="O12" s="10"/>
      <c r="P12" s="4">
        <f>SUM(OSRRefP13x_0)</f>
        <v>333897.84000000003</v>
      </c>
      <c r="Q12" s="4"/>
      <c r="R12" s="12"/>
      <c r="S12" s="4"/>
      <c r="T12" s="4">
        <f>SUM(OSRRefT13x_0)</f>
        <v>476198.40000000002</v>
      </c>
      <c r="U12" s="4"/>
      <c r="V12" s="12"/>
      <c r="W12" s="4"/>
      <c r="X12" s="4">
        <f t="shared" ref="X12:X16" si="2">+P12-T12</f>
        <v>-142300.56</v>
      </c>
      <c r="Y12" s="4"/>
      <c r="Z12" s="12">
        <f t="shared" ref="Z12:Z16" si="3">IF(T12=0,0,X12/T12)</f>
        <v>-0.2988262035319732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-1226.58</f>
        <v>-1226.58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-1226.58</v>
      </c>
      <c r="M13" s="2"/>
      <c r="N13" s="19">
        <f t="shared" si="1"/>
        <v>0</v>
      </c>
      <c r="O13" s="11"/>
      <c r="P13" s="2">
        <f>--210130.57</f>
        <v>210130.57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210130.57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15" si="4">0</f>
        <v>0</v>
      </c>
      <c r="E14" s="2"/>
      <c r="F14" s="19"/>
      <c r="G14" s="2"/>
      <c r="H14" s="2">
        <f>--3109.21</f>
        <v>3109.21</v>
      </c>
      <c r="I14" s="2"/>
      <c r="J14" s="19"/>
      <c r="K14" s="2"/>
      <c r="L14" s="2">
        <f t="shared" si="0"/>
        <v>-3109.21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--175819.22</f>
        <v>175819.22</v>
      </c>
      <c r="U14" s="2"/>
      <c r="V14" s="19"/>
      <c r="W14" s="2"/>
      <c r="X14" s="2">
        <f t="shared" si="2"/>
        <v>-175819.22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--1193</f>
        <v>1193</v>
      </c>
      <c r="I15" s="2"/>
      <c r="J15" s="19"/>
      <c r="K15" s="2"/>
      <c r="L15" s="2">
        <f t="shared" si="0"/>
        <v>-1193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--134791.51</f>
        <v>134791.51</v>
      </c>
      <c r="U15" s="2"/>
      <c r="V15" s="19"/>
      <c r="W15" s="2"/>
      <c r="X15" s="2">
        <f t="shared" si="2"/>
        <v>-134791.51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-1112.96</f>
        <v>-1112.96</v>
      </c>
      <c r="E16" s="2"/>
      <c r="F16" s="19"/>
      <c r="G16" s="2"/>
      <c r="H16" s="2">
        <f>-225.75</f>
        <v>-225.75</v>
      </c>
      <c r="I16" s="2"/>
      <c r="J16" s="19"/>
      <c r="K16" s="2"/>
      <c r="L16" s="2">
        <f t="shared" si="0"/>
        <v>-887.21</v>
      </c>
      <c r="M16" s="2"/>
      <c r="N16" s="19">
        <f t="shared" si="1"/>
        <v>3.9300553709856039</v>
      </c>
      <c r="O16" s="11"/>
      <c r="P16" s="2">
        <f>--123767.27</f>
        <v>123767.27</v>
      </c>
      <c r="Q16" s="2"/>
      <c r="R16" s="19"/>
      <c r="S16" s="2"/>
      <c r="T16" s="2">
        <f>--165587.67</f>
        <v>165587.67000000001</v>
      </c>
      <c r="U16" s="2"/>
      <c r="V16" s="19"/>
      <c r="W16" s="2"/>
      <c r="X16" s="2">
        <f t="shared" si="2"/>
        <v>-41820.400000000009</v>
      </c>
      <c r="Y16" s="2"/>
      <c r="Z16" s="19">
        <f t="shared" si="3"/>
        <v>-0.25255745189240242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256</v>
      </c>
      <c r="C18" s="10"/>
      <c r="D18" s="4">
        <f>SUM(OSRRefD16x_0)</f>
        <v>-2535.46</v>
      </c>
      <c r="E18" s="4"/>
      <c r="F18" s="12">
        <f t="shared" ref="F18:F21" si="6">IF(D$12=0,0,D18/D$12)</f>
        <v>1.0837429580173881</v>
      </c>
      <c r="G18" s="4"/>
      <c r="H18" s="4">
        <f>SUM(OSRRefH16x_0)</f>
        <v>-1154.68</v>
      </c>
      <c r="I18" s="4"/>
      <c r="J18" s="12">
        <f t="shared" ref="J18:J21" si="7">IF(H$12=0,0,H18/H$12)</f>
        <v>-0.28325556978358674</v>
      </c>
      <c r="K18" s="4"/>
      <c r="L18" s="4">
        <f t="shared" ref="L18:L21" si="8">+D18-H18</f>
        <v>-1380.78</v>
      </c>
      <c r="M18" s="4"/>
      <c r="N18" s="12">
        <f t="shared" ref="N18:N21" si="9">IF(H18=0,0,L18/H18)</f>
        <v>1.1958118266532718</v>
      </c>
      <c r="O18" s="10"/>
      <c r="P18" s="4">
        <f>SUM(OSRRefP16x_0)</f>
        <v>251202.91</v>
      </c>
      <c r="Q18" s="4"/>
      <c r="R18" s="12">
        <f t="shared" ref="R18:R21" si="10">IF(P$12=0,0,P18/P$12)</f>
        <v>0.75233463624682329</v>
      </c>
      <c r="S18" s="4"/>
      <c r="T18" s="4">
        <f>SUM(OSRRefT16x_0)</f>
        <v>343007.15</v>
      </c>
      <c r="U18" s="4"/>
      <c r="V18" s="12">
        <f t="shared" ref="V18:V21" si="11">IF(T$12=0,0,T18/T$12)</f>
        <v>0.72030302915759481</v>
      </c>
      <c r="W18" s="4"/>
      <c r="X18" s="4">
        <f t="shared" ref="X18:X21" si="12">+P18-T18</f>
        <v>-91804.24000000002</v>
      </c>
      <c r="Y18" s="4"/>
      <c r="Z18" s="12">
        <f t="shared" ref="Z18:Z21" si="13">IF(T18=0,0,X18/T18)</f>
        <v>-0.26764526628672319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-2535.46</v>
      </c>
      <c r="E19" s="2"/>
      <c r="F19" s="19">
        <f t="shared" si="6"/>
        <v>1.0837429580173881</v>
      </c>
      <c r="G19" s="2"/>
      <c r="H19" s="2"/>
      <c r="I19" s="2"/>
      <c r="J19" s="19">
        <f t="shared" si="7"/>
        <v>0</v>
      </c>
      <c r="K19" s="2"/>
      <c r="L19" s="2">
        <f t="shared" si="8"/>
        <v>-2535.46</v>
      </c>
      <c r="M19" s="2"/>
      <c r="N19" s="19">
        <f t="shared" si="9"/>
        <v>0</v>
      </c>
      <c r="O19" s="11"/>
      <c r="P19" s="2">
        <v>251202.91</v>
      </c>
      <c r="Q19" s="2"/>
      <c r="R19" s="19">
        <f t="shared" si="10"/>
        <v>0.75233463624682329</v>
      </c>
      <c r="S19" s="2"/>
      <c r="T19" s="2"/>
      <c r="U19" s="2"/>
      <c r="V19" s="19">
        <f t="shared" si="11"/>
        <v>0</v>
      </c>
      <c r="W19" s="2"/>
      <c r="X19" s="2">
        <f t="shared" si="12"/>
        <v>251202.91</v>
      </c>
      <c r="Y19" s="2"/>
      <c r="Z19" s="19">
        <f t="shared" si="13"/>
        <v>0</v>
      </c>
    </row>
    <row r="20" spans="1:26" s="24" customFormat="1" hidden="1" outlineLevel="1" x14ac:dyDescent="0.3">
      <c r="A20" s="44"/>
      <c r="B20" s="11" t="str">
        <f>CONCATENATE("          ", "5001", " - ", "PURCHASES @ COST-NEW TEXT")</f>
        <v xml:space="preserve">          5001 - PURCHASES @ COST-NEW TEXT</v>
      </c>
      <c r="C20" s="11"/>
      <c r="D20" s="2"/>
      <c r="E20" s="2"/>
      <c r="F20" s="19">
        <f t="shared" si="6"/>
        <v>0</v>
      </c>
      <c r="G20" s="2"/>
      <c r="H20" s="2">
        <v>-8.68</v>
      </c>
      <c r="I20" s="2"/>
      <c r="J20" s="19">
        <f t="shared" si="7"/>
        <v>-2.1292984599382797E-3</v>
      </c>
      <c r="K20" s="2"/>
      <c r="L20" s="2">
        <f t="shared" si="8"/>
        <v>8.68</v>
      </c>
      <c r="M20" s="2"/>
      <c r="N20" s="19">
        <f t="shared" si="9"/>
        <v>-1</v>
      </c>
      <c r="O20" s="11"/>
      <c r="P20" s="2"/>
      <c r="Q20" s="2"/>
      <c r="R20" s="19">
        <f t="shared" si="10"/>
        <v>0</v>
      </c>
      <c r="S20" s="2"/>
      <c r="T20" s="2">
        <v>204371.36</v>
      </c>
      <c r="U20" s="2"/>
      <c r="V20" s="19">
        <f t="shared" si="11"/>
        <v>0.42917271456602957</v>
      </c>
      <c r="W20" s="2"/>
      <c r="X20" s="2">
        <f t="shared" si="12"/>
        <v>-204371.36</v>
      </c>
      <c r="Y20" s="2"/>
      <c r="Z20" s="19">
        <f t="shared" si="13"/>
        <v>-1</v>
      </c>
    </row>
    <row r="21" spans="1:26" s="24" customFormat="1" hidden="1" outlineLevel="1" x14ac:dyDescent="0.3">
      <c r="A21" s="44"/>
      <c r="B21" s="11" t="str">
        <f>CONCATENATE("          ", "5002", " - ", "PURCHASES @ COST-USED TEXT")</f>
        <v xml:space="preserve">          5002 - PURCHASES @ COST-USED TEXT</v>
      </c>
      <c r="C21" s="11"/>
      <c r="D21" s="2"/>
      <c r="E21" s="2"/>
      <c r="F21" s="19">
        <f t="shared" si="6"/>
        <v>0</v>
      </c>
      <c r="G21" s="2"/>
      <c r="H21" s="2">
        <v>-1146</v>
      </c>
      <c r="I21" s="2"/>
      <c r="J21" s="19">
        <f t="shared" si="7"/>
        <v>-0.28112627132364848</v>
      </c>
      <c r="K21" s="2"/>
      <c r="L21" s="2">
        <f t="shared" si="8"/>
        <v>1146</v>
      </c>
      <c r="M21" s="2"/>
      <c r="N21" s="19">
        <f t="shared" si="9"/>
        <v>-1</v>
      </c>
      <c r="O21" s="11"/>
      <c r="P21" s="2"/>
      <c r="Q21" s="2"/>
      <c r="R21" s="19">
        <f t="shared" si="10"/>
        <v>0</v>
      </c>
      <c r="S21" s="2"/>
      <c r="T21" s="2">
        <v>138635.79</v>
      </c>
      <c r="U21" s="2"/>
      <c r="V21" s="19">
        <f t="shared" si="11"/>
        <v>0.29113031459156519</v>
      </c>
      <c r="W21" s="2"/>
      <c r="X21" s="2">
        <f t="shared" si="12"/>
        <v>-138635.79</v>
      </c>
      <c r="Y21" s="2"/>
      <c r="Z21" s="19">
        <f t="shared" si="13"/>
        <v>-1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107</v>
      </c>
      <c r="C23" s="26"/>
      <c r="D23" s="20">
        <f>D12-D18</f>
        <v>195.92000000000007</v>
      </c>
      <c r="E23" s="13"/>
      <c r="F23" s="21">
        <f>IF(D$12=0,0,D23/D$12)</f>
        <v>-8.3742958017388069E-2</v>
      </c>
      <c r="G23" s="13"/>
      <c r="H23" s="20">
        <f>H12-H18</f>
        <v>5231.1400000000003</v>
      </c>
      <c r="I23" s="13"/>
      <c r="J23" s="21">
        <f>IF(H$12=0,0,H23/H$12)</f>
        <v>1.2832555697835868</v>
      </c>
      <c r="K23" s="15"/>
      <c r="L23" s="20">
        <f>+D23-H23</f>
        <v>-5035.22</v>
      </c>
      <c r="M23" s="15"/>
      <c r="N23" s="21">
        <f>IF(H23=0,0,L23/H23)</f>
        <v>-0.9625473606135565</v>
      </c>
      <c r="O23" s="25"/>
      <c r="P23" s="20">
        <f>P12-P18</f>
        <v>82694.930000000022</v>
      </c>
      <c r="Q23" s="13"/>
      <c r="R23" s="21">
        <f>IF(P$12=0,0,P23/P$12)</f>
        <v>0.24766536375317677</v>
      </c>
      <c r="S23" s="13"/>
      <c r="T23" s="20">
        <f>T12-T18</f>
        <v>133191.25</v>
      </c>
      <c r="U23" s="13"/>
      <c r="V23" s="21">
        <f>IF(T$12=0,0,T23/T$12)</f>
        <v>0.27969697084240519</v>
      </c>
      <c r="W23" s="15"/>
      <c r="X23" s="20">
        <f>+P23-T23</f>
        <v>-50496.319999999978</v>
      </c>
      <c r="Y23" s="15"/>
      <c r="Z23" s="21">
        <f>IF(T23=0,0,X23/T23)</f>
        <v>-0.37912640657700847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294</v>
      </c>
      <c r="C25" s="10"/>
      <c r="D25" s="22">
        <f>SUM(0)</f>
        <v>0</v>
      </c>
      <c r="E25" s="22"/>
      <c r="F25" s="34">
        <f>IF(D$12=0,0,D25/D$12)</f>
        <v>0</v>
      </c>
      <c r="G25" s="22"/>
      <c r="H25" s="22">
        <f>SUM(0)</f>
        <v>0</v>
      </c>
      <c r="I25" s="22"/>
      <c r="J25" s="34">
        <f>IF(H$12=0,0,H25/H$12)</f>
        <v>0</v>
      </c>
      <c r="K25" s="4"/>
      <c r="L25" s="22">
        <f>+D25-H25</f>
        <v>0</v>
      </c>
      <c r="M25" s="4"/>
      <c r="N25" s="34">
        <f>IF(H25=0,0,L25/H25)</f>
        <v>0</v>
      </c>
      <c r="O25" s="10"/>
      <c r="P25" s="22">
        <f>SUM(0)</f>
        <v>0</v>
      </c>
      <c r="Q25" s="22"/>
      <c r="R25" s="34">
        <f>IF(P$12=0,0,P25/P$12)</f>
        <v>0</v>
      </c>
      <c r="S25" s="22"/>
      <c r="T25" s="22">
        <f>SUM(0)</f>
        <v>0</v>
      </c>
      <c r="U25" s="22"/>
      <c r="V25" s="34">
        <f>IF(T$12=0,0,T25/T$12)</f>
        <v>0</v>
      </c>
      <c r="W25" s="4"/>
      <c r="X25" s="22">
        <f>+P25-T25</f>
        <v>0</v>
      </c>
      <c r="Y25" s="4"/>
      <c r="Z25" s="34">
        <f>IF(T25=0,0,X25/T25)</f>
        <v>0</v>
      </c>
    </row>
    <row r="26" spans="1:26" s="53" customFormat="1" x14ac:dyDescent="0.3">
      <c r="A26" s="37"/>
      <c r="B26" s="37"/>
      <c r="C26" s="37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3">
      <c r="A27" s="10"/>
      <c r="B27" s="25" t="s">
        <v>292</v>
      </c>
      <c r="C27" s="10"/>
      <c r="D27" s="4">
        <f>SUM(0)</f>
        <v>0</v>
      </c>
      <c r="E27" s="4"/>
      <c r="F27" s="12">
        <f>IF(D$12=0,0,D27/D$12)</f>
        <v>0</v>
      </c>
      <c r="G27" s="4"/>
      <c r="H27" s="4">
        <f>SUM(0)</f>
        <v>0</v>
      </c>
      <c r="I27" s="4"/>
      <c r="J27" s="12">
        <f>IF(H$12=0,0,H27/H$12)</f>
        <v>0</v>
      </c>
      <c r="K27" s="4"/>
      <c r="L27" s="4">
        <f>+D27-H27</f>
        <v>0</v>
      </c>
      <c r="M27" s="4"/>
      <c r="N27" s="12">
        <f>IF(H27=0,0,L27/H27)</f>
        <v>0</v>
      </c>
      <c r="O27" s="10"/>
      <c r="P27" s="4">
        <f>SUM(0)</f>
        <v>0</v>
      </c>
      <c r="Q27" s="4"/>
      <c r="R27" s="12">
        <f>IF(P$12=0,0,P27/P$12)</f>
        <v>0</v>
      </c>
      <c r="S27" s="4"/>
      <c r="T27" s="4">
        <f>SUM(0)</f>
        <v>0</v>
      </c>
      <c r="U27" s="4"/>
      <c r="V27" s="12">
        <f>IF(T$12=0,0,T27/T$12)</f>
        <v>0</v>
      </c>
      <c r="W27" s="4"/>
      <c r="X27" s="4">
        <f>+P27-T27</f>
        <v>0</v>
      </c>
      <c r="Y27" s="4"/>
      <c r="Z27" s="12">
        <f>IF(T27=0,0,X27/T27)</f>
        <v>0</v>
      </c>
    </row>
    <row r="28" spans="1:26" x14ac:dyDescent="0.3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10"/>
      <c r="B29" s="26" t="s">
        <v>276</v>
      </c>
      <c r="C29" s="26"/>
      <c r="D29" s="20">
        <f>+D23-D25+D27</f>
        <v>195.92000000000007</v>
      </c>
      <c r="E29" s="13"/>
      <c r="F29" s="21">
        <f>IF(D$12=0,0,D29/D$12)</f>
        <v>-8.3742958017388069E-2</v>
      </c>
      <c r="G29" s="13"/>
      <c r="H29" s="20">
        <f>+H23-H25+H27</f>
        <v>5231.1400000000003</v>
      </c>
      <c r="I29" s="13"/>
      <c r="J29" s="21">
        <f>IF(H$12=0,0,H29/H$12)</f>
        <v>1.2832555697835868</v>
      </c>
      <c r="K29" s="15"/>
      <c r="L29" s="20">
        <f>+D29-H29</f>
        <v>-5035.22</v>
      </c>
      <c r="M29" s="15"/>
      <c r="N29" s="21">
        <f>IF(H29=0,0,L29/H29)</f>
        <v>-0.9625473606135565</v>
      </c>
      <c r="O29" s="25"/>
      <c r="P29" s="20">
        <f>+P23-P25+P27</f>
        <v>82694.930000000022</v>
      </c>
      <c r="Q29" s="13"/>
      <c r="R29" s="21">
        <f>IF(P$12=0,0,P29/P$12)</f>
        <v>0.24766536375317677</v>
      </c>
      <c r="S29" s="13"/>
      <c r="T29" s="20">
        <f>+T23-T25+T27</f>
        <v>133191.25</v>
      </c>
      <c r="U29" s="13"/>
      <c r="V29" s="21">
        <f>IF(T$12=0,0,T29/T$12)</f>
        <v>0.27969697084240519</v>
      </c>
      <c r="W29" s="15"/>
      <c r="X29" s="20">
        <f>+P29-T29</f>
        <v>-50496.319999999978</v>
      </c>
      <c r="Y29" s="15"/>
      <c r="Z29" s="21">
        <f>IF(T29=0,0,X29/T29)</f>
        <v>-0.37912640657700847</v>
      </c>
    </row>
    <row r="30" spans="1:26" x14ac:dyDescent="0.3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51"/>
      <c r="B31" s="10" t="s">
        <v>127</v>
      </c>
      <c r="C31" s="10"/>
      <c r="D31" s="4">
        <v>141.72999999999999</v>
      </c>
      <c r="E31" s="4"/>
      <c r="F31" s="12">
        <f>IF(D$12=0,0,D31/D$12)</f>
        <v>-6.0580285013293211E-2</v>
      </c>
      <c r="G31" s="4"/>
      <c r="H31" s="4">
        <v>13092.95</v>
      </c>
      <c r="I31" s="4"/>
      <c r="J31" s="12">
        <f>IF(H$12=0,0,H31/H$12)</f>
        <v>3.2118431187844356</v>
      </c>
      <c r="K31" s="4"/>
      <c r="L31" s="4">
        <f>+D31-H31</f>
        <v>-12951.220000000001</v>
      </c>
      <c r="M31" s="4"/>
      <c r="N31" s="12">
        <f>IF(H31=0,0,L31/H31)</f>
        <v>-0.98917509041125184</v>
      </c>
      <c r="O31" s="10"/>
      <c r="P31" s="4">
        <v>40191.550000000003</v>
      </c>
      <c r="Q31" s="4"/>
      <c r="R31" s="12">
        <f>IF(P$12=0,0,P31/P$12)</f>
        <v>0.12037079964338793</v>
      </c>
      <c r="S31" s="4"/>
      <c r="T31" s="4">
        <v>88106.79</v>
      </c>
      <c r="U31" s="4"/>
      <c r="V31" s="12">
        <f>IF(T$12=0,0,T31/T$12)</f>
        <v>0.18502118024756065</v>
      </c>
      <c r="W31" s="4"/>
      <c r="X31" s="4">
        <f>+P31-T31</f>
        <v>-47915.239999999991</v>
      </c>
      <c r="Y31" s="4"/>
      <c r="Z31" s="12">
        <f>IF(T31=0,0,X31/T31)</f>
        <v>-0.54383141185826878</v>
      </c>
    </row>
    <row r="32" spans="1:26" x14ac:dyDescent="0.3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" thickBot="1" x14ac:dyDescent="0.35">
      <c r="A33" s="10"/>
      <c r="B33" s="26" t="s">
        <v>125</v>
      </c>
      <c r="C33" s="26"/>
      <c r="D33" s="32">
        <f>+D29-D31</f>
        <v>54.190000000000083</v>
      </c>
      <c r="E33" s="13"/>
      <c r="F33" s="35">
        <f>IF(D$12=0,0,D33/D$12)</f>
        <v>-2.3162673004094858E-2</v>
      </c>
      <c r="G33" s="13"/>
      <c r="H33" s="32">
        <f>+H29-H31</f>
        <v>-7861.81</v>
      </c>
      <c r="I33" s="13"/>
      <c r="J33" s="35">
        <f>IF(H$12=0,0,H33/H$12)</f>
        <v>-1.9285875490008488</v>
      </c>
      <c r="K33" s="15"/>
      <c r="L33" s="32">
        <f>D33-H33</f>
        <v>7916.0000000000009</v>
      </c>
      <c r="M33" s="15"/>
      <c r="N33" s="35">
        <f>IF(H33=0,0,L33/H33)</f>
        <v>-1.0068928147589424</v>
      </c>
      <c r="O33" s="25"/>
      <c r="P33" s="32">
        <f>+P29-P31</f>
        <v>42503.380000000019</v>
      </c>
      <c r="Q33" s="13"/>
      <c r="R33" s="35">
        <f>IF(P$12=0,0,P33/P$12)</f>
        <v>0.12729456410978884</v>
      </c>
      <c r="S33" s="13"/>
      <c r="T33" s="32">
        <f>+T29-T31</f>
        <v>45084.460000000006</v>
      </c>
      <c r="U33" s="13"/>
      <c r="V33" s="35">
        <f>IF(T$12=0,0,T33/T$12)</f>
        <v>9.4675790594844517E-2</v>
      </c>
      <c r="W33" s="15"/>
      <c r="X33" s="32">
        <f>P33-T33</f>
        <v>-2581.0799999999872</v>
      </c>
      <c r="Y33" s="15"/>
      <c r="Z33" s="35">
        <f>IF(T33=0,0,X33/T33)</f>
        <v>-5.72498816665429E-2</v>
      </c>
    </row>
    <row r="34" spans="1:26" ht="15" thickTop="1" x14ac:dyDescent="0.3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>
        <f>SUM(D33:D35)</f>
        <v>54.190000000000083</v>
      </c>
      <c r="E36" s="13"/>
      <c r="F36" s="33">
        <f>IF(D$12=0,0,D36/D$12)</f>
        <v>-2.3162673004094858E-2</v>
      </c>
      <c r="G36" s="13"/>
      <c r="H36" s="31">
        <f>SUM(H33:H35)</f>
        <v>-7861.81</v>
      </c>
      <c r="I36" s="13"/>
      <c r="J36" s="33">
        <f>IF(H$12=0,0,H36/H$12)</f>
        <v>-1.9285875490008488</v>
      </c>
      <c r="K36" s="15"/>
      <c r="L36" s="31">
        <f>+D36-H36</f>
        <v>7916.0000000000009</v>
      </c>
      <c r="M36" s="15"/>
      <c r="N36" s="33">
        <f>IF(H36=0,0,L36/H36)</f>
        <v>-1.0068928147589424</v>
      </c>
      <c r="O36" s="25"/>
      <c r="P36" s="31">
        <f>SUM(P33:P35)</f>
        <v>42503.380000000019</v>
      </c>
      <c r="Q36" s="13"/>
      <c r="R36" s="33">
        <f>IF(P$12=0,0,P36/P$12)</f>
        <v>0.12729456410978884</v>
      </c>
      <c r="S36" s="13"/>
      <c r="T36" s="31">
        <f>SUM(T33:T35)</f>
        <v>45084.460000000006</v>
      </c>
      <c r="U36" s="13"/>
      <c r="V36" s="33">
        <f>IF(T$12=0,0,T36/T$12)</f>
        <v>9.4675790594844517E-2</v>
      </c>
      <c r="W36" s="15"/>
      <c r="X36" s="31">
        <f>+P36-T36</f>
        <v>-2581.0799999999872</v>
      </c>
      <c r="Y36" s="15"/>
      <c r="Z36" s="33">
        <f>IF(T36=0,0,X36/T36)</f>
        <v>-5.72498816665429E-2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>
        <v>44575.854680405093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s">
        <v>56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outlinePr summaryBelow="0" summaryRight="0"/>
  </sheetPr>
  <dimension ref="A2:Z17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430899.16</v>
      </c>
      <c r="E12" s="4"/>
      <c r="F12" s="12"/>
      <c r="G12" s="4"/>
      <c r="H12" s="4">
        <f>SUM(OSRRefH13x_0)</f>
        <v>214652.63999999996</v>
      </c>
      <c r="I12" s="4"/>
      <c r="J12" s="12"/>
      <c r="K12" s="4"/>
      <c r="L12" s="4">
        <f t="shared" ref="L12:L54" si="0">+D12-H12</f>
        <v>216246.52000000002</v>
      </c>
      <c r="M12" s="4"/>
      <c r="N12" s="12">
        <f t="shared" ref="N12:N54" si="1">IF(H12=0,0,L12/H12)</f>
        <v>1.0074253920194043</v>
      </c>
      <c r="O12" s="10"/>
      <c r="P12" s="4">
        <f>SUM(OSRRefP13x_0)</f>
        <v>2068633.4899999998</v>
      </c>
      <c r="Q12" s="4"/>
      <c r="R12" s="12"/>
      <c r="S12" s="4"/>
      <c r="T12" s="4">
        <f>SUM(OSRRefT13x_0)</f>
        <v>1030520.55</v>
      </c>
      <c r="U12" s="4"/>
      <c r="V12" s="12"/>
      <c r="W12" s="4"/>
      <c r="X12" s="4">
        <f t="shared" ref="X12:X54" si="2">+P12-T12</f>
        <v>1038112.9399999997</v>
      </c>
      <c r="Y12" s="4"/>
      <c r="Z12" s="12">
        <f t="shared" ref="Z12:Z54" si="3">IF(T12=0,0,X12/T12)</f>
        <v>1.007367528963881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--449868.85</f>
        <v>449868.85</v>
      </c>
      <c r="E13" s="2"/>
      <c r="F13" s="19"/>
      <c r="G13" s="2"/>
      <c r="H13" s="2">
        <f>-31504.58</f>
        <v>-31504.58</v>
      </c>
      <c r="I13" s="2"/>
      <c r="J13" s="19"/>
      <c r="K13" s="2"/>
      <c r="L13" s="2">
        <f t="shared" si="0"/>
        <v>481373.43</v>
      </c>
      <c r="M13" s="2"/>
      <c r="N13" s="19">
        <f t="shared" si="1"/>
        <v>-15.279474603375128</v>
      </c>
      <c r="O13" s="11"/>
      <c r="P13" s="2">
        <f>--1959501.16</f>
        <v>1959501.16</v>
      </c>
      <c r="Q13" s="2"/>
      <c r="R13" s="19"/>
      <c r="S13" s="2"/>
      <c r="T13" s="2">
        <f>-80798.27</f>
        <v>-80798.27</v>
      </c>
      <c r="U13" s="2"/>
      <c r="V13" s="19"/>
      <c r="W13" s="2"/>
      <c r="X13" s="2">
        <f t="shared" si="2"/>
        <v>2040299.43</v>
      </c>
      <c r="Y13" s="2"/>
      <c r="Z13" s="19">
        <f t="shared" si="3"/>
        <v>-25.251771232230588</v>
      </c>
    </row>
    <row r="14" spans="1:26" s="24" customFormat="1" hidden="1" outlineLevel="1" x14ac:dyDescent="0.3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24" si="4">0</f>
        <v>0</v>
      </c>
      <c r="E14" s="2"/>
      <c r="F14" s="19"/>
      <c r="G14" s="2"/>
      <c r="H14" s="2">
        <f>--75.18</f>
        <v>75.180000000000007</v>
      </c>
      <c r="I14" s="2"/>
      <c r="J14" s="19"/>
      <c r="K14" s="2"/>
      <c r="L14" s="2">
        <f t="shared" si="0"/>
        <v>-75.180000000000007</v>
      </c>
      <c r="M14" s="2"/>
      <c r="N14" s="19">
        <f t="shared" si="1"/>
        <v>-1</v>
      </c>
      <c r="O14" s="11"/>
      <c r="P14" s="2">
        <f t="shared" ref="P14:P24" si="5">0</f>
        <v>0</v>
      </c>
      <c r="Q14" s="2"/>
      <c r="R14" s="19"/>
      <c r="S14" s="2"/>
      <c r="T14" s="2">
        <f>--354.87</f>
        <v>354.87</v>
      </c>
      <c r="U14" s="2"/>
      <c r="V14" s="19"/>
      <c r="W14" s="2"/>
      <c r="X14" s="2">
        <f t="shared" si="2"/>
        <v>-354.87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>--3253.96</f>
        <v>3253.96</v>
      </c>
      <c r="I15" s="2"/>
      <c r="J15" s="19"/>
      <c r="K15" s="2"/>
      <c r="L15" s="2">
        <f t="shared" si="0"/>
        <v>-3253.96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--31984.11</f>
        <v>31984.11</v>
      </c>
      <c r="U15" s="2"/>
      <c r="V15" s="19"/>
      <c r="W15" s="2"/>
      <c r="X15" s="2">
        <f t="shared" si="2"/>
        <v>-31984.11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>
        <f>--1179.23</f>
        <v>1179.23</v>
      </c>
      <c r="I16" s="2"/>
      <c r="J16" s="19"/>
      <c r="K16" s="2"/>
      <c r="L16" s="2">
        <f t="shared" si="0"/>
        <v>-1179.23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--4699.76</f>
        <v>4699.76</v>
      </c>
      <c r="U16" s="2"/>
      <c r="V16" s="19"/>
      <c r="W16" s="2"/>
      <c r="X16" s="2">
        <f t="shared" si="2"/>
        <v>-4699.76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>
        <f>--247.04</f>
        <v>247.04</v>
      </c>
      <c r="I17" s="2"/>
      <c r="J17" s="19"/>
      <c r="K17" s="2"/>
      <c r="L17" s="2">
        <f t="shared" si="0"/>
        <v>-247.04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--1735.1</f>
        <v>1735.1</v>
      </c>
      <c r="U17" s="2"/>
      <c r="V17" s="19"/>
      <c r="W17" s="2"/>
      <c r="X17" s="2">
        <f t="shared" si="2"/>
        <v>-1735.1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>
        <f>--6.78</f>
        <v>6.78</v>
      </c>
      <c r="U18" s="2"/>
      <c r="V18" s="19"/>
      <c r="W18" s="2"/>
      <c r="X18" s="2">
        <f t="shared" si="2"/>
        <v>-6.78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 t="shared" si="4"/>
        <v>0</v>
      </c>
      <c r="E19" s="2"/>
      <c r="F19" s="19"/>
      <c r="G19" s="2"/>
      <c r="H19" s="2">
        <f>--84378.29</f>
        <v>84378.29</v>
      </c>
      <c r="I19" s="2"/>
      <c r="J19" s="19"/>
      <c r="K19" s="2"/>
      <c r="L19" s="2">
        <f t="shared" si="0"/>
        <v>-84378.29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--508110.99</f>
        <v>508110.99</v>
      </c>
      <c r="U19" s="2"/>
      <c r="V19" s="19"/>
      <c r="W19" s="2"/>
      <c r="X19" s="2">
        <f t="shared" si="2"/>
        <v>-508110.99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 t="shared" si="4"/>
        <v>0</v>
      </c>
      <c r="E20" s="2"/>
      <c r="F20" s="19"/>
      <c r="G20" s="2"/>
      <c r="H20" s="2">
        <f>--31965.93</f>
        <v>31965.93</v>
      </c>
      <c r="I20" s="2"/>
      <c r="J20" s="19"/>
      <c r="K20" s="2"/>
      <c r="L20" s="2">
        <f t="shared" si="0"/>
        <v>-31965.93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--136674.05</f>
        <v>136674.04999999999</v>
      </c>
      <c r="U20" s="2"/>
      <c r="V20" s="19"/>
      <c r="W20" s="2"/>
      <c r="X20" s="2">
        <f t="shared" si="2"/>
        <v>-136674.04999999999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 t="shared" si="4"/>
        <v>0</v>
      </c>
      <c r="E21" s="2"/>
      <c r="F21" s="19"/>
      <c r="G21" s="2"/>
      <c r="H21" s="2">
        <f>--7054.55</f>
        <v>7054.55</v>
      </c>
      <c r="I21" s="2"/>
      <c r="J21" s="19"/>
      <c r="K21" s="2"/>
      <c r="L21" s="2">
        <f t="shared" si="0"/>
        <v>-7054.55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--52043.85</f>
        <v>52043.85</v>
      </c>
      <c r="U21" s="2"/>
      <c r="V21" s="19"/>
      <c r="W21" s="2"/>
      <c r="X21" s="2">
        <f t="shared" si="2"/>
        <v>-52043.85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 t="shared" si="4"/>
        <v>0</v>
      </c>
      <c r="E22" s="2"/>
      <c r="F22" s="19"/>
      <c r="G22" s="2"/>
      <c r="H22" s="2">
        <f>--35922.95</f>
        <v>35922.949999999997</v>
      </c>
      <c r="I22" s="2"/>
      <c r="J22" s="19"/>
      <c r="K22" s="2"/>
      <c r="L22" s="2">
        <f t="shared" si="0"/>
        <v>-35922.949999999997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--93093.19</f>
        <v>93093.19</v>
      </c>
      <c r="U22" s="2"/>
      <c r="V22" s="19"/>
      <c r="W22" s="2"/>
      <c r="X22" s="2">
        <f t="shared" si="2"/>
        <v>-93093.19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 t="shared" si="4"/>
        <v>0</v>
      </c>
      <c r="E23" s="2"/>
      <c r="F23" s="19"/>
      <c r="G23" s="2"/>
      <c r="H23" s="2">
        <f>--11267.16</f>
        <v>11267.16</v>
      </c>
      <c r="I23" s="2"/>
      <c r="J23" s="19"/>
      <c r="K23" s="2"/>
      <c r="L23" s="2">
        <f t="shared" si="0"/>
        <v>-11267.16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--26273.67</f>
        <v>26273.67</v>
      </c>
      <c r="U23" s="2"/>
      <c r="V23" s="19"/>
      <c r="W23" s="2"/>
      <c r="X23" s="2">
        <f t="shared" si="2"/>
        <v>-26273.67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 t="shared" si="4"/>
        <v>0</v>
      </c>
      <c r="E24" s="2"/>
      <c r="F24" s="19"/>
      <c r="G24" s="2"/>
      <c r="H24" s="2">
        <f>--13848.98</f>
        <v>13848.98</v>
      </c>
      <c r="I24" s="2"/>
      <c r="J24" s="19"/>
      <c r="K24" s="2"/>
      <c r="L24" s="2">
        <f t="shared" si="0"/>
        <v>-13848.98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--122061.15</f>
        <v>122061.15</v>
      </c>
      <c r="U24" s="2"/>
      <c r="V24" s="19"/>
      <c r="W24" s="2"/>
      <c r="X24" s="2">
        <f t="shared" si="2"/>
        <v>-122061.15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"4100", " - ", "NON-TAXABLE SALES")</f>
        <v xml:space="preserve">          4100 - NON-TAXABLE SALES</v>
      </c>
      <c r="C25" s="11"/>
      <c r="D25" s="2">
        <f>--43641.56</f>
        <v>43641.56</v>
      </c>
      <c r="E25" s="2"/>
      <c r="F25" s="19"/>
      <c r="G25" s="2"/>
      <c r="H25" s="2">
        <f t="shared" ref="H25:H26" si="6">0</f>
        <v>0</v>
      </c>
      <c r="I25" s="2"/>
      <c r="J25" s="19"/>
      <c r="K25" s="2"/>
      <c r="L25" s="2">
        <f t="shared" si="0"/>
        <v>43641.56</v>
      </c>
      <c r="M25" s="2"/>
      <c r="N25" s="19">
        <f t="shared" si="1"/>
        <v>0</v>
      </c>
      <c r="O25" s="11"/>
      <c r="P25" s="2">
        <f>--228183.95</f>
        <v>228183.95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228183.95</v>
      </c>
      <c r="Y25" s="2"/>
      <c r="Z25" s="19">
        <f t="shared" si="3"/>
        <v>0</v>
      </c>
    </row>
    <row r="26" spans="1:26" s="24" customFormat="1" hidden="1" outlineLevel="1" x14ac:dyDescent="0.3">
      <c r="A26" s="44"/>
      <c r="B26" s="11" t="str">
        <f>CONCATENATE("          ", "4126", " - ", "NON-TAXABLE SALES-WRITING INST")</f>
        <v xml:space="preserve">          4126 - NON-TAXABLE SALES-WRITING INST</v>
      </c>
      <c r="C26" s="11"/>
      <c r="D26" s="2">
        <f t="shared" ref="D26:D39" si="7">0</f>
        <v>0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39" si="8">0</f>
        <v>0</v>
      </c>
      <c r="Q26" s="2"/>
      <c r="R26" s="19"/>
      <c r="S26" s="2"/>
      <c r="T26" s="2">
        <f>--52.68</f>
        <v>52.68</v>
      </c>
      <c r="U26" s="2"/>
      <c r="V26" s="19"/>
      <c r="W26" s="2"/>
      <c r="X26" s="2">
        <f t="shared" si="2"/>
        <v>-52.68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"4127", " - ", "NON-TAXABLE SALES-SCHOOL SUPPL")</f>
        <v xml:space="preserve">          4127 - NON-TAXABLE SALES-SCHOOL SUPPL</v>
      </c>
      <c r="C27" s="11"/>
      <c r="D27" s="2">
        <f t="shared" si="7"/>
        <v>0</v>
      </c>
      <c r="E27" s="2"/>
      <c r="F27" s="19"/>
      <c r="G27" s="2"/>
      <c r="H27" s="2">
        <f>--259.53</f>
        <v>259.52999999999997</v>
      </c>
      <c r="I27" s="2"/>
      <c r="J27" s="19"/>
      <c r="K27" s="2"/>
      <c r="L27" s="2">
        <f t="shared" si="0"/>
        <v>-259.52999999999997</v>
      </c>
      <c r="M27" s="2"/>
      <c r="N27" s="19">
        <f t="shared" si="1"/>
        <v>-1</v>
      </c>
      <c r="O27" s="11"/>
      <c r="P27" s="2">
        <f t="shared" si="8"/>
        <v>0</v>
      </c>
      <c r="Q27" s="2"/>
      <c r="R27" s="19"/>
      <c r="S27" s="2"/>
      <c r="T27" s="2">
        <f>--3206.11</f>
        <v>3206.11</v>
      </c>
      <c r="U27" s="2"/>
      <c r="V27" s="19"/>
      <c r="W27" s="2"/>
      <c r="X27" s="2">
        <f t="shared" si="2"/>
        <v>-3206.11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"4128", " - ", "NON-TAXABLE SALES-ART/TECH")</f>
        <v xml:space="preserve">          4128 - NON-TAXABLE SALES-ART/TECH</v>
      </c>
      <c r="C28" s="11"/>
      <c r="D28" s="2">
        <f t="shared" si="7"/>
        <v>0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 t="shared" si="8"/>
        <v>0</v>
      </c>
      <c r="Q28" s="2"/>
      <c r="R28" s="19"/>
      <c r="S28" s="2"/>
      <c r="T28" s="2">
        <f>--24.78</f>
        <v>24.78</v>
      </c>
      <c r="U28" s="2"/>
      <c r="V28" s="19"/>
      <c r="W28" s="2"/>
      <c r="X28" s="2">
        <f t="shared" si="2"/>
        <v>-24.78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"4131", " - ", "NON-TAXABLE SALES-FOOD")</f>
        <v xml:space="preserve">          4131 - NON-TAXABLE SALES-FOOD</v>
      </c>
      <c r="C29" s="11"/>
      <c r="D29" s="2">
        <f t="shared" si="7"/>
        <v>0</v>
      </c>
      <c r="E29" s="2"/>
      <c r="F29" s="19"/>
      <c r="G29" s="2"/>
      <c r="H29" s="2">
        <f>--1032.82</f>
        <v>1032.82</v>
      </c>
      <c r="I29" s="2"/>
      <c r="J29" s="19"/>
      <c r="K29" s="2"/>
      <c r="L29" s="2">
        <f t="shared" si="0"/>
        <v>-1032.82</v>
      </c>
      <c r="M29" s="2"/>
      <c r="N29" s="19">
        <f t="shared" si="1"/>
        <v>-1</v>
      </c>
      <c r="O29" s="11"/>
      <c r="P29" s="2">
        <f t="shared" si="8"/>
        <v>0</v>
      </c>
      <c r="Q29" s="2"/>
      <c r="R29" s="19"/>
      <c r="S29" s="2"/>
      <c r="T29" s="2">
        <f>--5694.99</f>
        <v>5694.99</v>
      </c>
      <c r="U29" s="2"/>
      <c r="V29" s="19"/>
      <c r="W29" s="2"/>
      <c r="X29" s="2">
        <f t="shared" si="2"/>
        <v>-5694.99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"4132", " - ", "NON-TAXABLE SALES-JUICE")</f>
        <v xml:space="preserve">          4132 - NON-TAXABLE SALES-JUICE</v>
      </c>
      <c r="C30" s="11"/>
      <c r="D30" s="2">
        <f t="shared" si="7"/>
        <v>0</v>
      </c>
      <c r="E30" s="2"/>
      <c r="F30" s="19"/>
      <c r="G30" s="2"/>
      <c r="H30" s="2">
        <f t="shared" ref="H30:H33" si="9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 t="shared" si="8"/>
        <v>0</v>
      </c>
      <c r="Q30" s="2"/>
      <c r="R30" s="19"/>
      <c r="S30" s="2"/>
      <c r="T30" s="2">
        <f>--22.49</f>
        <v>22.49</v>
      </c>
      <c r="U30" s="2"/>
      <c r="V30" s="19"/>
      <c r="W30" s="2"/>
      <c r="X30" s="2">
        <f t="shared" si="2"/>
        <v>-22.49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"4133", " - ", "NON-TAXABLE SALES-CANDY")</f>
        <v xml:space="preserve">          4133 - NON-TAXABLE SALES-CANDY</v>
      </c>
      <c r="C31" s="11"/>
      <c r="D31" s="2">
        <f t="shared" si="7"/>
        <v>0</v>
      </c>
      <c r="E31" s="2"/>
      <c r="F31" s="19"/>
      <c r="G31" s="2"/>
      <c r="H31" s="2">
        <f t="shared" si="9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 t="shared" si="8"/>
        <v>0</v>
      </c>
      <c r="Q31" s="2"/>
      <c r="R31" s="19"/>
      <c r="S31" s="2"/>
      <c r="T31" s="2">
        <f>--80.71</f>
        <v>80.709999999999994</v>
      </c>
      <c r="U31" s="2"/>
      <c r="V31" s="19"/>
      <c r="W31" s="2"/>
      <c r="X31" s="2">
        <f t="shared" si="2"/>
        <v>-80.709999999999994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"4134", " - ", "NON-TAXABLE SALES-SODA")</f>
        <v xml:space="preserve">          4134 - NON-TAXABLE SALES-SODA</v>
      </c>
      <c r="C32" s="11"/>
      <c r="D32" s="2">
        <f t="shared" si="7"/>
        <v>0</v>
      </c>
      <c r="E32" s="2"/>
      <c r="F32" s="19"/>
      <c r="G32" s="2"/>
      <c r="H32" s="2">
        <f t="shared" si="9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8"/>
        <v>0</v>
      </c>
      <c r="Q32" s="2"/>
      <c r="R32" s="19"/>
      <c r="S32" s="2"/>
      <c r="T32" s="2">
        <f>--45.53</f>
        <v>45.53</v>
      </c>
      <c r="U32" s="2"/>
      <c r="V32" s="19"/>
      <c r="W32" s="2"/>
      <c r="X32" s="2">
        <f t="shared" si="2"/>
        <v>-45.53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"4137", " - ", "NON-TAXABLE SALES-WATER")</f>
        <v xml:space="preserve">          4137 - NON-TAXABLE SALES-WATER</v>
      </c>
      <c r="C33" s="11"/>
      <c r="D33" s="2">
        <f t="shared" si="7"/>
        <v>0</v>
      </c>
      <c r="E33" s="2"/>
      <c r="F33" s="19"/>
      <c r="G33" s="2"/>
      <c r="H33" s="2">
        <f t="shared" si="9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 t="shared" si="8"/>
        <v>0</v>
      </c>
      <c r="Q33" s="2"/>
      <c r="R33" s="19"/>
      <c r="S33" s="2"/>
      <c r="T33" s="2">
        <f>--68.25</f>
        <v>68.25</v>
      </c>
      <c r="U33" s="2"/>
      <c r="V33" s="19"/>
      <c r="W33" s="2"/>
      <c r="X33" s="2">
        <f t="shared" si="2"/>
        <v>-68.25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"4140", " - ", "NON-TAXABLE SALES-LOGO CLOTHIN")</f>
        <v xml:space="preserve">          4140 - NON-TAXABLE SALES-LOGO CLOTHIN</v>
      </c>
      <c r="C34" s="11"/>
      <c r="D34" s="2">
        <f t="shared" si="7"/>
        <v>0</v>
      </c>
      <c r="E34" s="2"/>
      <c r="F34" s="19"/>
      <c r="G34" s="2"/>
      <c r="H34" s="2">
        <f>--53650.7</f>
        <v>53650.7</v>
      </c>
      <c r="I34" s="2"/>
      <c r="J34" s="19"/>
      <c r="K34" s="2"/>
      <c r="L34" s="2">
        <f t="shared" si="0"/>
        <v>-53650.7</v>
      </c>
      <c r="M34" s="2"/>
      <c r="N34" s="19">
        <f t="shared" si="1"/>
        <v>-1</v>
      </c>
      <c r="O34" s="11"/>
      <c r="P34" s="2">
        <f t="shared" si="8"/>
        <v>0</v>
      </c>
      <c r="Q34" s="2"/>
      <c r="R34" s="19"/>
      <c r="S34" s="2"/>
      <c r="T34" s="2">
        <f>--103970.97</f>
        <v>103970.97</v>
      </c>
      <c r="U34" s="2"/>
      <c r="V34" s="19"/>
      <c r="W34" s="2"/>
      <c r="X34" s="2">
        <f t="shared" si="2"/>
        <v>-103970.97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"4141", " - ", "NON-TAXABLE SALES-LOGO GIFTS")</f>
        <v xml:space="preserve">          4141 - NON-TAXABLE SALES-LOGO GIFTS</v>
      </c>
      <c r="C35" s="11"/>
      <c r="D35" s="2">
        <f t="shared" si="7"/>
        <v>0</v>
      </c>
      <c r="E35" s="2"/>
      <c r="F35" s="19"/>
      <c r="G35" s="2"/>
      <c r="H35" s="2">
        <f>--1772.08</f>
        <v>1772.08</v>
      </c>
      <c r="I35" s="2"/>
      <c r="J35" s="19"/>
      <c r="K35" s="2"/>
      <c r="L35" s="2">
        <f t="shared" si="0"/>
        <v>-1772.08</v>
      </c>
      <c r="M35" s="2"/>
      <c r="N35" s="19">
        <f t="shared" si="1"/>
        <v>-1</v>
      </c>
      <c r="O35" s="11"/>
      <c r="P35" s="2">
        <f t="shared" si="8"/>
        <v>0</v>
      </c>
      <c r="Q35" s="2"/>
      <c r="R35" s="19"/>
      <c r="S35" s="2"/>
      <c r="T35" s="2">
        <f>--5449.6</f>
        <v>5449.6</v>
      </c>
      <c r="U35" s="2"/>
      <c r="V35" s="19"/>
      <c r="W35" s="2"/>
      <c r="X35" s="2">
        <f t="shared" si="2"/>
        <v>-5449.6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"4142", " - ", "NON-TAXABLE SALES-EVERYDAY GIF")</f>
        <v xml:space="preserve">          4142 - NON-TAXABLE SALES-EVERYDAY GIF</v>
      </c>
      <c r="C36" s="11"/>
      <c r="D36" s="2">
        <f t="shared" si="7"/>
        <v>0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 t="shared" si="8"/>
        <v>0</v>
      </c>
      <c r="Q36" s="2"/>
      <c r="R36" s="19"/>
      <c r="S36" s="2"/>
      <c r="T36" s="2">
        <f>--1097.6</f>
        <v>1097.5999999999999</v>
      </c>
      <c r="U36" s="2"/>
      <c r="V36" s="19"/>
      <c r="W36" s="2"/>
      <c r="X36" s="2">
        <f t="shared" si="2"/>
        <v>-1097.5999999999999</v>
      </c>
      <c r="Y36" s="2"/>
      <c r="Z36" s="19">
        <f t="shared" si="3"/>
        <v>-1</v>
      </c>
    </row>
    <row r="37" spans="1:26" s="24" customFormat="1" hidden="1" outlineLevel="1" x14ac:dyDescent="0.3">
      <c r="A37" s="44"/>
      <c r="B37" s="11" t="str">
        <f>CONCATENATE("          ", "4143", " - ", "NON-TAXABLE SALES-CARDS")</f>
        <v xml:space="preserve">          4143 - NON-TAXABLE SALES-CARDS</v>
      </c>
      <c r="C37" s="11"/>
      <c r="D37" s="2">
        <f t="shared" si="7"/>
        <v>0</v>
      </c>
      <c r="E37" s="2"/>
      <c r="F37" s="19"/>
      <c r="G37" s="2"/>
      <c r="H37" s="2">
        <f>--1697.07</f>
        <v>1697.07</v>
      </c>
      <c r="I37" s="2"/>
      <c r="J37" s="19"/>
      <c r="K37" s="2"/>
      <c r="L37" s="2">
        <f t="shared" si="0"/>
        <v>-1697.07</v>
      </c>
      <c r="M37" s="2"/>
      <c r="N37" s="19">
        <f t="shared" si="1"/>
        <v>-1</v>
      </c>
      <c r="O37" s="11"/>
      <c r="P37" s="2">
        <f t="shared" si="8"/>
        <v>0</v>
      </c>
      <c r="Q37" s="2"/>
      <c r="R37" s="19"/>
      <c r="S37" s="2"/>
      <c r="T37" s="2">
        <f>--1737.03</f>
        <v>1737.03</v>
      </c>
      <c r="U37" s="2"/>
      <c r="V37" s="19"/>
      <c r="W37" s="2"/>
      <c r="X37" s="2">
        <f t="shared" si="2"/>
        <v>-1737.03</v>
      </c>
      <c r="Y37" s="2"/>
      <c r="Z37" s="19">
        <f t="shared" si="3"/>
        <v>-1</v>
      </c>
    </row>
    <row r="38" spans="1:26" s="24" customFormat="1" hidden="1" outlineLevel="1" x14ac:dyDescent="0.3">
      <c r="A38" s="44"/>
      <c r="B38" s="11" t="str">
        <f>CONCATENATE("          ", "4144", " - ", "NON-TAXABLE SALES-ACCESSORIES")</f>
        <v xml:space="preserve">          4144 - NON-TAXABLE SALES-ACCESSORIES</v>
      </c>
      <c r="C38" s="11"/>
      <c r="D38" s="2">
        <f t="shared" si="7"/>
        <v>0</v>
      </c>
      <c r="E38" s="2"/>
      <c r="F38" s="19"/>
      <c r="G38" s="2"/>
      <c r="H38" s="2">
        <f>--99.8</f>
        <v>99.8</v>
      </c>
      <c r="I38" s="2"/>
      <c r="J38" s="19"/>
      <c r="K38" s="2"/>
      <c r="L38" s="2">
        <f t="shared" si="0"/>
        <v>-99.8</v>
      </c>
      <c r="M38" s="2"/>
      <c r="N38" s="19">
        <f t="shared" si="1"/>
        <v>-1</v>
      </c>
      <c r="O38" s="11"/>
      <c r="P38" s="2">
        <f t="shared" si="8"/>
        <v>0</v>
      </c>
      <c r="Q38" s="2"/>
      <c r="R38" s="19"/>
      <c r="S38" s="2"/>
      <c r="T38" s="2">
        <f>--489.5</f>
        <v>489.5</v>
      </c>
      <c r="U38" s="2"/>
      <c r="V38" s="19"/>
      <c r="W38" s="2"/>
      <c r="X38" s="2">
        <f t="shared" si="2"/>
        <v>-489.5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"4145", " - ", "NON-TAXABLE SALES-SPECIAL ORDE")</f>
        <v xml:space="preserve">          4145 - NON-TAXABLE SALES-SPECIAL ORDE</v>
      </c>
      <c r="C39" s="11"/>
      <c r="D39" s="2">
        <f t="shared" si="7"/>
        <v>0</v>
      </c>
      <c r="E39" s="2"/>
      <c r="F39" s="19"/>
      <c r="G39" s="2"/>
      <c r="H39" s="2">
        <f>--16747.77</f>
        <v>16747.77</v>
      </c>
      <c r="I39" s="2"/>
      <c r="J39" s="19"/>
      <c r="K39" s="2"/>
      <c r="L39" s="2">
        <f t="shared" si="0"/>
        <v>-16747.77</v>
      </c>
      <c r="M39" s="2"/>
      <c r="N39" s="19">
        <f t="shared" si="1"/>
        <v>-1</v>
      </c>
      <c r="O39" s="11"/>
      <c r="P39" s="2">
        <f t="shared" si="8"/>
        <v>0</v>
      </c>
      <c r="Q39" s="2"/>
      <c r="R39" s="19"/>
      <c r="S39" s="2"/>
      <c r="T39" s="2">
        <f>--55393.77</f>
        <v>55393.77</v>
      </c>
      <c r="U39" s="2"/>
      <c r="V39" s="19"/>
      <c r="W39" s="2"/>
      <c r="X39" s="2">
        <f t="shared" si="2"/>
        <v>-55393.77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"4200", " - ", "TAXABLE RETURNS")</f>
        <v xml:space="preserve">          4200 - TAXABLE RETURNS</v>
      </c>
      <c r="C40" s="11"/>
      <c r="D40" s="2">
        <f>-14419.4</f>
        <v>-14419.4</v>
      </c>
      <c r="E40" s="2"/>
      <c r="F40" s="19"/>
      <c r="G40" s="2"/>
      <c r="H40" s="2">
        <f t="shared" ref="H40:H41" si="10">0</f>
        <v>0</v>
      </c>
      <c r="I40" s="2"/>
      <c r="J40" s="19"/>
      <c r="K40" s="2"/>
      <c r="L40" s="2">
        <f t="shared" si="0"/>
        <v>-14419.4</v>
      </c>
      <c r="M40" s="2"/>
      <c r="N40" s="19">
        <f t="shared" si="1"/>
        <v>0</v>
      </c>
      <c r="O40" s="11"/>
      <c r="P40" s="2">
        <f>-56596.3</f>
        <v>-56596.3</v>
      </c>
      <c r="Q40" s="2"/>
      <c r="R40" s="19"/>
      <c r="S40" s="2"/>
      <c r="T40" s="2">
        <f>0</f>
        <v>0</v>
      </c>
      <c r="U40" s="2"/>
      <c r="V40" s="19"/>
      <c r="W40" s="2"/>
      <c r="X40" s="2">
        <f t="shared" si="2"/>
        <v>-56596.3</v>
      </c>
      <c r="Y40" s="2"/>
      <c r="Z40" s="19">
        <f t="shared" si="3"/>
        <v>0</v>
      </c>
    </row>
    <row r="41" spans="1:26" s="24" customFormat="1" hidden="1" outlineLevel="1" x14ac:dyDescent="0.3">
      <c r="A41" s="44"/>
      <c r="B41" s="11" t="str">
        <f>CONCATENATE("          ", "4226", " - ", "SALES RETURN TAXABLE-WRITING I")</f>
        <v xml:space="preserve">          4226 - SALES RETURN TAXABLE-WRITING I</v>
      </c>
      <c r="C41" s="11"/>
      <c r="D41" s="2">
        <f t="shared" ref="D41:D49" si="11">0</f>
        <v>0</v>
      </c>
      <c r="E41" s="2"/>
      <c r="F41" s="19"/>
      <c r="G41" s="2"/>
      <c r="H41" s="2">
        <f t="shared" si="10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 t="shared" ref="P41:P49" si="12">0</f>
        <v>0</v>
      </c>
      <c r="Q41" s="2"/>
      <c r="R41" s="19"/>
      <c r="S41" s="2"/>
      <c r="T41" s="2">
        <f>-34.23</f>
        <v>-34.229999999999997</v>
      </c>
      <c r="U41" s="2"/>
      <c r="V41" s="19"/>
      <c r="W41" s="2"/>
      <c r="X41" s="2">
        <f t="shared" si="2"/>
        <v>34.229999999999997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"4227", " - ", "SALES RETURN TAXABLE-SCHOOL SU")</f>
        <v xml:space="preserve">          4227 - SALES RETURN TAXABLE-SCHOOL SU</v>
      </c>
      <c r="C42" s="11"/>
      <c r="D42" s="2">
        <f t="shared" si="11"/>
        <v>0</v>
      </c>
      <c r="E42" s="2"/>
      <c r="F42" s="19"/>
      <c r="G42" s="2"/>
      <c r="H42" s="2">
        <f>-25.82</f>
        <v>-25.82</v>
      </c>
      <c r="I42" s="2"/>
      <c r="J42" s="19"/>
      <c r="K42" s="2"/>
      <c r="L42" s="2">
        <f t="shared" si="0"/>
        <v>25.82</v>
      </c>
      <c r="M42" s="2"/>
      <c r="N42" s="19">
        <f t="shared" si="1"/>
        <v>-1</v>
      </c>
      <c r="O42" s="11"/>
      <c r="P42" s="2">
        <f t="shared" si="12"/>
        <v>0</v>
      </c>
      <c r="Q42" s="2"/>
      <c r="R42" s="19"/>
      <c r="S42" s="2"/>
      <c r="T42" s="2">
        <f>-476.49</f>
        <v>-476.49</v>
      </c>
      <c r="U42" s="2"/>
      <c r="V42" s="19"/>
      <c r="W42" s="2"/>
      <c r="X42" s="2">
        <f t="shared" si="2"/>
        <v>476.49</v>
      </c>
      <c r="Y42" s="2"/>
      <c r="Z42" s="19">
        <f t="shared" si="3"/>
        <v>-1</v>
      </c>
    </row>
    <row r="43" spans="1:26" s="24" customFormat="1" hidden="1" outlineLevel="1" x14ac:dyDescent="0.3">
      <c r="A43" s="44"/>
      <c r="B43" s="11" t="str">
        <f>CONCATENATE("          ", "4228", " - ", "SALES RETURN TAXABLE-ART/TECH")</f>
        <v xml:space="preserve">          4228 - SALES RETURN TAXABLE-ART/TECH</v>
      </c>
      <c r="C43" s="11"/>
      <c r="D43" s="2">
        <f t="shared" si="11"/>
        <v>0</v>
      </c>
      <c r="E43" s="2"/>
      <c r="F43" s="19"/>
      <c r="G43" s="2"/>
      <c r="H43" s="2">
        <f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 t="shared" si="12"/>
        <v>0</v>
      </c>
      <c r="Q43" s="2"/>
      <c r="R43" s="19"/>
      <c r="S43" s="2"/>
      <c r="T43" s="2">
        <f>-32.49</f>
        <v>-32.49</v>
      </c>
      <c r="U43" s="2"/>
      <c r="V43" s="19"/>
      <c r="W43" s="2"/>
      <c r="X43" s="2">
        <f t="shared" si="2"/>
        <v>32.49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"4240", " - ", "SALES RETURN TAXABLE-LOGO CLOT")</f>
        <v xml:space="preserve">          4240 - SALES RETURN TAXABLE-LOGO CLOT</v>
      </c>
      <c r="C44" s="11"/>
      <c r="D44" s="2">
        <f t="shared" si="11"/>
        <v>0</v>
      </c>
      <c r="E44" s="2"/>
      <c r="F44" s="19"/>
      <c r="G44" s="2"/>
      <c r="H44" s="2">
        <f>-4840.17</f>
        <v>-4840.17</v>
      </c>
      <c r="I44" s="2"/>
      <c r="J44" s="19"/>
      <c r="K44" s="2"/>
      <c r="L44" s="2">
        <f t="shared" si="0"/>
        <v>4840.17</v>
      </c>
      <c r="M44" s="2"/>
      <c r="N44" s="19">
        <f t="shared" si="1"/>
        <v>-1</v>
      </c>
      <c r="O44" s="11"/>
      <c r="P44" s="2">
        <f t="shared" si="12"/>
        <v>0</v>
      </c>
      <c r="Q44" s="2"/>
      <c r="R44" s="19"/>
      <c r="S44" s="2"/>
      <c r="T44" s="2">
        <f>-20418.84</f>
        <v>-20418.84</v>
      </c>
      <c r="U44" s="2"/>
      <c r="V44" s="19"/>
      <c r="W44" s="2"/>
      <c r="X44" s="2">
        <f t="shared" si="2"/>
        <v>20418.84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"4241", " - ", "SALES RETURN TAXABLE-LOGO GIFT")</f>
        <v xml:space="preserve">          4241 - SALES RETURN TAXABLE-LOGO GIFT</v>
      </c>
      <c r="C45" s="11"/>
      <c r="D45" s="2">
        <f t="shared" si="11"/>
        <v>0</v>
      </c>
      <c r="E45" s="2"/>
      <c r="F45" s="19"/>
      <c r="G45" s="2"/>
      <c r="H45" s="2">
        <f>-747.01</f>
        <v>-747.01</v>
      </c>
      <c r="I45" s="2"/>
      <c r="J45" s="19"/>
      <c r="K45" s="2"/>
      <c r="L45" s="2">
        <f t="shared" si="0"/>
        <v>747.01</v>
      </c>
      <c r="M45" s="2"/>
      <c r="N45" s="19">
        <f t="shared" si="1"/>
        <v>-1</v>
      </c>
      <c r="O45" s="11"/>
      <c r="P45" s="2">
        <f t="shared" si="12"/>
        <v>0</v>
      </c>
      <c r="Q45" s="2"/>
      <c r="R45" s="19"/>
      <c r="S45" s="2"/>
      <c r="T45" s="2">
        <f>-2721.66</f>
        <v>-2721.66</v>
      </c>
      <c r="U45" s="2"/>
      <c r="V45" s="19"/>
      <c r="W45" s="2"/>
      <c r="X45" s="2">
        <f t="shared" si="2"/>
        <v>2721.66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"4242", " - ", "SALES RETURN TAXABLE-EVERYDAY")</f>
        <v xml:space="preserve">          4242 - SALES RETURN TAXABLE-EVERYDAY</v>
      </c>
      <c r="C46" s="11"/>
      <c r="D46" s="2">
        <f t="shared" si="11"/>
        <v>0</v>
      </c>
      <c r="E46" s="2"/>
      <c r="F46" s="19"/>
      <c r="G46" s="2"/>
      <c r="H46" s="2">
        <f>-287.93</f>
        <v>-287.93</v>
      </c>
      <c r="I46" s="2"/>
      <c r="J46" s="19"/>
      <c r="K46" s="2"/>
      <c r="L46" s="2">
        <f t="shared" si="0"/>
        <v>287.93</v>
      </c>
      <c r="M46" s="2"/>
      <c r="N46" s="19">
        <f t="shared" si="1"/>
        <v>-1</v>
      </c>
      <c r="O46" s="11"/>
      <c r="P46" s="2">
        <f t="shared" si="12"/>
        <v>0</v>
      </c>
      <c r="Q46" s="2"/>
      <c r="R46" s="19"/>
      <c r="S46" s="2"/>
      <c r="T46" s="2">
        <f>-1616.92</f>
        <v>-1616.92</v>
      </c>
      <c r="U46" s="2"/>
      <c r="V46" s="19"/>
      <c r="W46" s="2"/>
      <c r="X46" s="2">
        <f t="shared" si="2"/>
        <v>1616.92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"4243", " - ", "SALES RETURN TAXABLE-CARDS")</f>
        <v xml:space="preserve">          4243 - SALES RETURN TAXABLE-CARDS</v>
      </c>
      <c r="C47" s="11"/>
      <c r="D47" s="2">
        <f t="shared" si="11"/>
        <v>0</v>
      </c>
      <c r="E47" s="2"/>
      <c r="F47" s="19"/>
      <c r="G47" s="2"/>
      <c r="H47" s="2">
        <f>-1765.08</f>
        <v>-1765.08</v>
      </c>
      <c r="I47" s="2"/>
      <c r="J47" s="19"/>
      <c r="K47" s="2"/>
      <c r="L47" s="2">
        <f t="shared" si="0"/>
        <v>1765.08</v>
      </c>
      <c r="M47" s="2"/>
      <c r="N47" s="19">
        <f t="shared" si="1"/>
        <v>-1</v>
      </c>
      <c r="O47" s="11"/>
      <c r="P47" s="2">
        <f t="shared" si="12"/>
        <v>0</v>
      </c>
      <c r="Q47" s="2"/>
      <c r="R47" s="19"/>
      <c r="S47" s="2"/>
      <c r="T47" s="2">
        <f>-3577.54</f>
        <v>-3577.54</v>
      </c>
      <c r="U47" s="2"/>
      <c r="V47" s="19"/>
      <c r="W47" s="2"/>
      <c r="X47" s="2">
        <f t="shared" si="2"/>
        <v>3577.54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"4244", " - ", "SALES RETURN TAXABLE-ACCESSORI")</f>
        <v xml:space="preserve">          4244 - SALES RETURN TAXABLE-ACCESSORI</v>
      </c>
      <c r="C48" s="11"/>
      <c r="D48" s="2">
        <f t="shared" si="11"/>
        <v>0</v>
      </c>
      <c r="E48" s="2"/>
      <c r="F48" s="19"/>
      <c r="G48" s="2"/>
      <c r="H48" s="2">
        <f>-299.93</f>
        <v>-299.93</v>
      </c>
      <c r="I48" s="2"/>
      <c r="J48" s="19"/>
      <c r="K48" s="2"/>
      <c r="L48" s="2">
        <f t="shared" si="0"/>
        <v>299.93</v>
      </c>
      <c r="M48" s="2"/>
      <c r="N48" s="19">
        <f t="shared" si="1"/>
        <v>-1</v>
      </c>
      <c r="O48" s="11"/>
      <c r="P48" s="2">
        <f t="shared" si="12"/>
        <v>0</v>
      </c>
      <c r="Q48" s="2"/>
      <c r="R48" s="19"/>
      <c r="S48" s="2"/>
      <c r="T48" s="2">
        <f>-890.87</f>
        <v>-890.87</v>
      </c>
      <c r="U48" s="2"/>
      <c r="V48" s="19"/>
      <c r="W48" s="2"/>
      <c r="X48" s="2">
        <f t="shared" si="2"/>
        <v>890.87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"4245", " - ", "SALES RETURN TAXABLE-SPECIAL O")</f>
        <v xml:space="preserve">          4245 - SALES RETURN TAXABLE-SPECIAL O</v>
      </c>
      <c r="C49" s="11"/>
      <c r="D49" s="2">
        <f t="shared" si="11"/>
        <v>0</v>
      </c>
      <c r="E49" s="2"/>
      <c r="F49" s="19"/>
      <c r="G49" s="2"/>
      <c r="H49" s="2">
        <f>-9752.79</f>
        <v>-9752.7900000000009</v>
      </c>
      <c r="I49" s="2"/>
      <c r="J49" s="19"/>
      <c r="K49" s="2"/>
      <c r="L49" s="2">
        <f t="shared" si="0"/>
        <v>9752.7900000000009</v>
      </c>
      <c r="M49" s="2"/>
      <c r="N49" s="19">
        <f t="shared" si="1"/>
        <v>-1</v>
      </c>
      <c r="O49" s="11"/>
      <c r="P49" s="2">
        <f t="shared" si="12"/>
        <v>0</v>
      </c>
      <c r="Q49" s="2"/>
      <c r="R49" s="19"/>
      <c r="S49" s="2"/>
      <c r="T49" s="2">
        <f>-11345.61</f>
        <v>-11345.61</v>
      </c>
      <c r="U49" s="2"/>
      <c r="V49" s="19"/>
      <c r="W49" s="2"/>
      <c r="X49" s="2">
        <f t="shared" si="2"/>
        <v>11345.61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"4300", " - ", "NON-TAX RETURNS")</f>
        <v xml:space="preserve">          4300 - NON-TAX RETURNS</v>
      </c>
      <c r="C50" s="11"/>
      <c r="D50" s="2">
        <f>-168.79</f>
        <v>-168.79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-168.79</v>
      </c>
      <c r="M50" s="2"/>
      <c r="N50" s="19">
        <f t="shared" si="1"/>
        <v>0</v>
      </c>
      <c r="O50" s="11"/>
      <c r="P50" s="2">
        <f>-1276.2</f>
        <v>-1276.2</v>
      </c>
      <c r="Q50" s="2"/>
      <c r="R50" s="19"/>
      <c r="S50" s="2"/>
      <c r="T50" s="2">
        <f>0</f>
        <v>0</v>
      </c>
      <c r="U50" s="2"/>
      <c r="V50" s="19"/>
      <c r="W50" s="2"/>
      <c r="X50" s="2">
        <f t="shared" si="2"/>
        <v>-1276.2</v>
      </c>
      <c r="Y50" s="2"/>
      <c r="Z50" s="19">
        <f t="shared" si="3"/>
        <v>0</v>
      </c>
    </row>
    <row r="51" spans="1:26" s="24" customFormat="1" hidden="1" outlineLevel="1" x14ac:dyDescent="0.3">
      <c r="A51" s="44"/>
      <c r="B51" s="11" t="str">
        <f>CONCATENATE("          ", "4340", " - ", "SALES RETURN NON TAXABLE-LOGO")</f>
        <v xml:space="preserve">          4340 - SALES RETURN NON TAXABLE-LOGO</v>
      </c>
      <c r="C51" s="11"/>
      <c r="D51" s="2">
        <f t="shared" ref="D51:D53" si="13">0</f>
        <v>0</v>
      </c>
      <c r="E51" s="2"/>
      <c r="F51" s="19"/>
      <c r="G51" s="2"/>
      <c r="H51" s="2">
        <f>-543.24</f>
        <v>-543.24</v>
      </c>
      <c r="I51" s="2"/>
      <c r="J51" s="19"/>
      <c r="K51" s="2"/>
      <c r="L51" s="2">
        <f t="shared" si="0"/>
        <v>543.24</v>
      </c>
      <c r="M51" s="2"/>
      <c r="N51" s="19">
        <f t="shared" si="1"/>
        <v>-1</v>
      </c>
      <c r="O51" s="11"/>
      <c r="P51" s="2">
        <f t="shared" ref="P51:P53" si="14">0</f>
        <v>0</v>
      </c>
      <c r="Q51" s="2"/>
      <c r="R51" s="19"/>
      <c r="S51" s="2"/>
      <c r="T51" s="2">
        <f>-1483.72</f>
        <v>-1483.72</v>
      </c>
      <c r="U51" s="2"/>
      <c r="V51" s="19"/>
      <c r="W51" s="2"/>
      <c r="X51" s="2">
        <f t="shared" si="2"/>
        <v>1483.72</v>
      </c>
      <c r="Y51" s="2"/>
      <c r="Z51" s="19">
        <f t="shared" si="3"/>
        <v>-1</v>
      </c>
    </row>
    <row r="52" spans="1:26" s="24" customFormat="1" hidden="1" outlineLevel="1" x14ac:dyDescent="0.3">
      <c r="A52" s="44"/>
      <c r="B52" s="11" t="str">
        <f>CONCATENATE("          ", "4341", " - ", "SALES RETURN NON TAXABLE-LOGO")</f>
        <v xml:space="preserve">          4341 - SALES RETURN NON TAXABLE-LOGO</v>
      </c>
      <c r="C52" s="11"/>
      <c r="D52" s="2">
        <f t="shared" si="13"/>
        <v>0</v>
      </c>
      <c r="E52" s="2"/>
      <c r="F52" s="19"/>
      <c r="G52" s="2"/>
      <c r="H52" s="2">
        <f>-33.85</f>
        <v>-33.85</v>
      </c>
      <c r="I52" s="2"/>
      <c r="J52" s="19"/>
      <c r="K52" s="2"/>
      <c r="L52" s="2">
        <f t="shared" si="0"/>
        <v>33.85</v>
      </c>
      <c r="M52" s="2"/>
      <c r="N52" s="19">
        <f t="shared" si="1"/>
        <v>-1</v>
      </c>
      <c r="O52" s="11"/>
      <c r="P52" s="2">
        <f t="shared" si="14"/>
        <v>0</v>
      </c>
      <c r="Q52" s="2"/>
      <c r="R52" s="19"/>
      <c r="S52" s="2"/>
      <c r="T52" s="2">
        <f>-335.64</f>
        <v>-335.64</v>
      </c>
      <c r="U52" s="2"/>
      <c r="V52" s="19"/>
      <c r="W52" s="2"/>
      <c r="X52" s="2">
        <f t="shared" si="2"/>
        <v>335.64</v>
      </c>
      <c r="Y52" s="2"/>
      <c r="Z52" s="19">
        <f t="shared" si="3"/>
        <v>-1</v>
      </c>
    </row>
    <row r="53" spans="1:26" s="24" customFormat="1" hidden="1" outlineLevel="1" x14ac:dyDescent="0.3">
      <c r="A53" s="44"/>
      <c r="B53" s="11" t="str">
        <f>CONCATENATE("          ", "4342", " - ", "SALES RETURN NON TAXABLE-EVERY")</f>
        <v xml:space="preserve">          4342 - SALES RETURN NON TAXABLE-EVERY</v>
      </c>
      <c r="C53" s="11"/>
      <c r="D53" s="2">
        <f t="shared" si="13"/>
        <v>0</v>
      </c>
      <c r="E53" s="2"/>
      <c r="F53" s="19"/>
      <c r="G53" s="2"/>
      <c r="H53" s="2">
        <f t="shared" ref="H53:H54" si="15"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 t="shared" si="14"/>
        <v>0</v>
      </c>
      <c r="Q53" s="2"/>
      <c r="R53" s="19"/>
      <c r="S53" s="2"/>
      <c r="T53" s="2">
        <f>-118.7</f>
        <v>-118.7</v>
      </c>
      <c r="U53" s="2"/>
      <c r="V53" s="19"/>
      <c r="W53" s="2"/>
      <c r="X53" s="2">
        <f t="shared" si="2"/>
        <v>118.7</v>
      </c>
      <c r="Y53" s="2"/>
      <c r="Z53" s="19">
        <f t="shared" si="3"/>
        <v>-1</v>
      </c>
    </row>
    <row r="54" spans="1:26" s="24" customFormat="1" hidden="1" outlineLevel="1" x14ac:dyDescent="0.3">
      <c r="A54" s="44"/>
      <c r="B54" s="11" t="str">
        <f>CONCATENATE("          ", "4500", " - ", "SALES DISCOUNT")</f>
        <v xml:space="preserve">          4500 - SALES DISCOUNT</v>
      </c>
      <c r="C54" s="11"/>
      <c r="D54" s="2">
        <f>-48023.06</f>
        <v>-48023.06</v>
      </c>
      <c r="E54" s="2"/>
      <c r="F54" s="19"/>
      <c r="G54" s="2"/>
      <c r="H54" s="2">
        <f t="shared" si="15"/>
        <v>0</v>
      </c>
      <c r="I54" s="2"/>
      <c r="J54" s="19"/>
      <c r="K54" s="2"/>
      <c r="L54" s="2">
        <f t="shared" si="0"/>
        <v>-48023.06</v>
      </c>
      <c r="M54" s="2"/>
      <c r="N54" s="19">
        <f t="shared" si="1"/>
        <v>0</v>
      </c>
      <c r="O54" s="11"/>
      <c r="P54" s="2">
        <f>-61179.12</f>
        <v>-61179.12</v>
      </c>
      <c r="Q54" s="2"/>
      <c r="R54" s="19"/>
      <c r="S54" s="2"/>
      <c r="T54" s="2">
        <f>0</f>
        <v>0</v>
      </c>
      <c r="U54" s="2"/>
      <c r="V54" s="19"/>
      <c r="W54" s="2"/>
      <c r="X54" s="2">
        <f t="shared" si="2"/>
        <v>-61179.12</v>
      </c>
      <c r="Y54" s="2"/>
      <c r="Z54" s="19">
        <f t="shared" si="3"/>
        <v>0</v>
      </c>
    </row>
    <row r="55" spans="1:26" x14ac:dyDescent="0.3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collapsed="1" x14ac:dyDescent="0.3">
      <c r="A56" s="10"/>
      <c r="B56" s="25" t="s">
        <v>256</v>
      </c>
      <c r="C56" s="10"/>
      <c r="D56" s="4">
        <f>SUM(OSRRefD16x_0)</f>
        <v>212397.71999999997</v>
      </c>
      <c r="E56" s="4"/>
      <c r="F56" s="12">
        <f t="shared" ref="F56:F81" si="16">IF(D$12=0,0,D56/D$12)</f>
        <v>0.49291746124545704</v>
      </c>
      <c r="G56" s="4"/>
      <c r="H56" s="4">
        <f>SUM(OSRRefH16x_0)</f>
        <v>123873.99999999999</v>
      </c>
      <c r="I56" s="4"/>
      <c r="J56" s="12">
        <f t="shared" ref="J56:J81" si="17">IF(H$12=0,0,H56/H$12)</f>
        <v>0.57709050305647303</v>
      </c>
      <c r="K56" s="4"/>
      <c r="L56" s="4">
        <f t="shared" ref="L56:L81" si="18">+D56-H56</f>
        <v>88523.719999999987</v>
      </c>
      <c r="M56" s="4"/>
      <c r="N56" s="12">
        <f t="shared" ref="N56:N81" si="19">IF(H56=0,0,L56/H56)</f>
        <v>0.71462712110693116</v>
      </c>
      <c r="O56" s="10"/>
      <c r="P56" s="4">
        <f>SUM(OSRRefP16x_0)</f>
        <v>1017450.85</v>
      </c>
      <c r="Q56" s="4"/>
      <c r="R56" s="12">
        <f t="shared" ref="R56:R81" si="20">IF(P$12=0,0,P56/P$12)</f>
        <v>0.49184684233261644</v>
      </c>
      <c r="S56" s="4"/>
      <c r="T56" s="4">
        <f>SUM(OSRRefT16x_0)</f>
        <v>598207.53999999992</v>
      </c>
      <c r="U56" s="4"/>
      <c r="V56" s="12">
        <f t="shared" ref="V56:V81" si="21">IF(T$12=0,0,T56/T$12)</f>
        <v>0.58049064620787993</v>
      </c>
      <c r="W56" s="4"/>
      <c r="X56" s="4">
        <f t="shared" ref="X56:X81" si="22">+P56-T56</f>
        <v>419243.31000000006</v>
      </c>
      <c r="Y56" s="4"/>
      <c r="Z56" s="12">
        <f t="shared" ref="Z56:Z81" si="23">IF(T56=0,0,X56/T56)</f>
        <v>0.70083254049255228</v>
      </c>
    </row>
    <row r="57" spans="1:26" s="24" customFormat="1" hidden="1" outlineLevel="1" x14ac:dyDescent="0.3">
      <c r="A57" s="44"/>
      <c r="B57" s="11" t="str">
        <f>CONCATENATE("          ", "5000", " - ", "PURCHASES @ COST")</f>
        <v xml:space="preserve">          5000 - PURCHASES @ COST</v>
      </c>
      <c r="C57" s="11"/>
      <c r="D57" s="2">
        <v>211156.58</v>
      </c>
      <c r="E57" s="2"/>
      <c r="F57" s="19">
        <f t="shared" si="16"/>
        <v>0.49003711216331913</v>
      </c>
      <c r="G57" s="2"/>
      <c r="H57" s="2"/>
      <c r="I57" s="2"/>
      <c r="J57" s="19">
        <f t="shared" si="17"/>
        <v>0</v>
      </c>
      <c r="K57" s="2"/>
      <c r="L57" s="2">
        <f t="shared" si="18"/>
        <v>211156.58</v>
      </c>
      <c r="M57" s="2"/>
      <c r="N57" s="19">
        <f t="shared" si="19"/>
        <v>0</v>
      </c>
      <c r="O57" s="11"/>
      <c r="P57" s="2">
        <v>1045215.4</v>
      </c>
      <c r="Q57" s="2"/>
      <c r="R57" s="19">
        <f t="shared" si="20"/>
        <v>0.50526852874261463</v>
      </c>
      <c r="S57" s="2"/>
      <c r="T57" s="2"/>
      <c r="U57" s="2"/>
      <c r="V57" s="19">
        <f t="shared" si="21"/>
        <v>0</v>
      </c>
      <c r="W57" s="2"/>
      <c r="X57" s="2">
        <f t="shared" si="22"/>
        <v>1045215.4</v>
      </c>
      <c r="Y57" s="2"/>
      <c r="Z57" s="19">
        <f t="shared" si="23"/>
        <v>0</v>
      </c>
    </row>
    <row r="58" spans="1:26" s="24" customFormat="1" hidden="1" outlineLevel="1" x14ac:dyDescent="0.3">
      <c r="A58" s="44"/>
      <c r="B58" s="11" t="str">
        <f>CONCATENATE("          ", "5025", " - ", "PURCHASES @ COST-TEST FORMS")</f>
        <v xml:space="preserve">          5025 - PURCHASES @ COST-TEST FORMS</v>
      </c>
      <c r="C58" s="11"/>
      <c r="D58" s="2"/>
      <c r="E58" s="2"/>
      <c r="F58" s="19">
        <f t="shared" si="16"/>
        <v>0</v>
      </c>
      <c r="G58" s="2"/>
      <c r="H58" s="2"/>
      <c r="I58" s="2"/>
      <c r="J58" s="19">
        <f t="shared" si="17"/>
        <v>0</v>
      </c>
      <c r="K58" s="2"/>
      <c r="L58" s="2">
        <f t="shared" si="18"/>
        <v>0</v>
      </c>
      <c r="M58" s="2"/>
      <c r="N58" s="19">
        <f t="shared" si="19"/>
        <v>0</v>
      </c>
      <c r="O58" s="11"/>
      <c r="P58" s="2"/>
      <c r="Q58" s="2"/>
      <c r="R58" s="19">
        <f t="shared" si="20"/>
        <v>0</v>
      </c>
      <c r="S58" s="2"/>
      <c r="T58" s="2">
        <v>599.29</v>
      </c>
      <c r="U58" s="2"/>
      <c r="V58" s="19">
        <f t="shared" si="21"/>
        <v>5.8154104738619716E-4</v>
      </c>
      <c r="W58" s="2"/>
      <c r="X58" s="2">
        <f t="shared" si="22"/>
        <v>-599.29</v>
      </c>
      <c r="Y58" s="2"/>
      <c r="Z58" s="19">
        <f t="shared" si="23"/>
        <v>-1</v>
      </c>
    </row>
    <row r="59" spans="1:26" s="24" customFormat="1" hidden="1" outlineLevel="1" x14ac:dyDescent="0.3">
      <c r="A59" s="44"/>
      <c r="B59" s="11" t="str">
        <f>CONCATENATE("          ", "5026", " - ", "PURCHASES @ COST-WRITING INSTR")</f>
        <v xml:space="preserve">          5026 - PURCHASES @ COST-WRITING INSTR</v>
      </c>
      <c r="C59" s="11"/>
      <c r="D59" s="2"/>
      <c r="E59" s="2"/>
      <c r="F59" s="19">
        <f t="shared" si="16"/>
        <v>0</v>
      </c>
      <c r="G59" s="2"/>
      <c r="H59" s="2"/>
      <c r="I59" s="2"/>
      <c r="J59" s="19">
        <f t="shared" si="17"/>
        <v>0</v>
      </c>
      <c r="K59" s="2"/>
      <c r="L59" s="2">
        <f t="shared" si="18"/>
        <v>0</v>
      </c>
      <c r="M59" s="2"/>
      <c r="N59" s="19">
        <f t="shared" si="19"/>
        <v>0</v>
      </c>
      <c r="O59" s="11"/>
      <c r="P59" s="2"/>
      <c r="Q59" s="2"/>
      <c r="R59" s="19">
        <f t="shared" si="20"/>
        <v>0</v>
      </c>
      <c r="S59" s="2"/>
      <c r="T59" s="2">
        <v>10</v>
      </c>
      <c r="U59" s="2"/>
      <c r="V59" s="19">
        <f t="shared" si="21"/>
        <v>9.7038336596004807E-6</v>
      </c>
      <c r="W59" s="2"/>
      <c r="X59" s="2">
        <f t="shared" si="22"/>
        <v>-10</v>
      </c>
      <c r="Y59" s="2"/>
      <c r="Z59" s="19">
        <f t="shared" si="23"/>
        <v>-1</v>
      </c>
    </row>
    <row r="60" spans="1:26" s="24" customFormat="1" hidden="1" outlineLevel="1" x14ac:dyDescent="0.3">
      <c r="A60" s="44"/>
      <c r="B60" s="11" t="str">
        <f>CONCATENATE("          ", "5027", " - ", "PURCHASES @ COST-SCHOOL SUPPLI")</f>
        <v xml:space="preserve">          5027 - PURCHASES @ COST-SCHOOL SUPPLI</v>
      </c>
      <c r="C60" s="11"/>
      <c r="D60" s="2"/>
      <c r="E60" s="2"/>
      <c r="F60" s="19">
        <f t="shared" si="16"/>
        <v>0</v>
      </c>
      <c r="G60" s="2"/>
      <c r="H60" s="2"/>
      <c r="I60" s="2"/>
      <c r="J60" s="19">
        <f t="shared" si="17"/>
        <v>0</v>
      </c>
      <c r="K60" s="2"/>
      <c r="L60" s="2">
        <f t="shared" si="18"/>
        <v>0</v>
      </c>
      <c r="M60" s="2"/>
      <c r="N60" s="19">
        <f t="shared" si="19"/>
        <v>0</v>
      </c>
      <c r="O60" s="11"/>
      <c r="P60" s="2">
        <v>0</v>
      </c>
      <c r="Q60" s="2"/>
      <c r="R60" s="19">
        <f t="shared" si="20"/>
        <v>0</v>
      </c>
      <c r="S60" s="2"/>
      <c r="T60" s="2">
        <v>18175.88</v>
      </c>
      <c r="U60" s="2"/>
      <c r="V60" s="19">
        <f t="shared" si="21"/>
        <v>1.7637571613685919E-2</v>
      </c>
      <c r="W60" s="2"/>
      <c r="X60" s="2">
        <f t="shared" si="22"/>
        <v>-18175.88</v>
      </c>
      <c r="Y60" s="2"/>
      <c r="Z60" s="19">
        <f t="shared" si="23"/>
        <v>-1</v>
      </c>
    </row>
    <row r="61" spans="1:26" s="24" customFormat="1" hidden="1" outlineLevel="1" x14ac:dyDescent="0.3">
      <c r="A61" s="44"/>
      <c r="B61" s="11" t="str">
        <f>CONCATENATE("          ", "5028", " - ", "PURCHASES @ COST-ART/TECH")</f>
        <v xml:space="preserve">          5028 - PURCHASES @ COST-ART/TECH</v>
      </c>
      <c r="C61" s="11"/>
      <c r="D61" s="2"/>
      <c r="E61" s="2"/>
      <c r="F61" s="19">
        <f t="shared" si="16"/>
        <v>0</v>
      </c>
      <c r="G61" s="2"/>
      <c r="H61" s="2"/>
      <c r="I61" s="2"/>
      <c r="J61" s="19">
        <f t="shared" si="17"/>
        <v>0</v>
      </c>
      <c r="K61" s="2"/>
      <c r="L61" s="2">
        <f t="shared" si="18"/>
        <v>0</v>
      </c>
      <c r="M61" s="2"/>
      <c r="N61" s="19">
        <f t="shared" si="19"/>
        <v>0</v>
      </c>
      <c r="O61" s="11"/>
      <c r="P61" s="2">
        <v>0</v>
      </c>
      <c r="Q61" s="2"/>
      <c r="R61" s="19">
        <f t="shared" si="20"/>
        <v>0</v>
      </c>
      <c r="S61" s="2"/>
      <c r="T61" s="2">
        <v>-83.4</v>
      </c>
      <c r="U61" s="2"/>
      <c r="V61" s="19">
        <f t="shared" si="21"/>
        <v>-8.0929972721068011E-5</v>
      </c>
      <c r="W61" s="2"/>
      <c r="X61" s="2">
        <f t="shared" si="22"/>
        <v>83.4</v>
      </c>
      <c r="Y61" s="2"/>
      <c r="Z61" s="19">
        <f t="shared" si="23"/>
        <v>-1</v>
      </c>
    </row>
    <row r="62" spans="1:26" s="24" customFormat="1" hidden="1" outlineLevel="1" x14ac:dyDescent="0.3">
      <c r="A62" s="44"/>
      <c r="B62" s="11" t="str">
        <f>CONCATENATE("          ", "5031", " - ", "PURCHASES @ COST-FOOD")</f>
        <v xml:space="preserve">          5031 - PURCHASES @ COST-FOOD</v>
      </c>
      <c r="C62" s="11"/>
      <c r="D62" s="2"/>
      <c r="E62" s="2"/>
      <c r="F62" s="19">
        <f t="shared" si="16"/>
        <v>0</v>
      </c>
      <c r="G62" s="2"/>
      <c r="H62" s="2">
        <v>-771.9</v>
      </c>
      <c r="I62" s="2"/>
      <c r="J62" s="19">
        <f t="shared" si="17"/>
        <v>-3.596042424635449E-3</v>
      </c>
      <c r="K62" s="2"/>
      <c r="L62" s="2">
        <f t="shared" si="18"/>
        <v>771.9</v>
      </c>
      <c r="M62" s="2"/>
      <c r="N62" s="19">
        <f t="shared" si="19"/>
        <v>-1</v>
      </c>
      <c r="O62" s="11"/>
      <c r="P62" s="2">
        <v>0</v>
      </c>
      <c r="Q62" s="2"/>
      <c r="R62" s="19">
        <f t="shared" si="20"/>
        <v>0</v>
      </c>
      <c r="S62" s="2"/>
      <c r="T62" s="2">
        <v>4833.53</v>
      </c>
      <c r="U62" s="2"/>
      <c r="V62" s="19">
        <f t="shared" si="21"/>
        <v>4.6903771108688704E-3</v>
      </c>
      <c r="W62" s="2"/>
      <c r="X62" s="2">
        <f t="shared" si="22"/>
        <v>-4833.53</v>
      </c>
      <c r="Y62" s="2"/>
      <c r="Z62" s="19">
        <f t="shared" si="23"/>
        <v>-1</v>
      </c>
    </row>
    <row r="63" spans="1:26" s="24" customFormat="1" hidden="1" outlineLevel="1" x14ac:dyDescent="0.3">
      <c r="A63" s="44"/>
      <c r="B63" s="11" t="str">
        <f>CONCATENATE("          ", "5040", " - ", "PURCHASES @ COST-LOGO CLOTHING")</f>
        <v xml:space="preserve">          5040 - PURCHASES @ COST-LOGO CLOTHING</v>
      </c>
      <c r="C63" s="11"/>
      <c r="D63" s="2"/>
      <c r="E63" s="2"/>
      <c r="F63" s="19">
        <f t="shared" si="16"/>
        <v>0</v>
      </c>
      <c r="G63" s="2"/>
      <c r="H63" s="2">
        <v>38175.120000000003</v>
      </c>
      <c r="I63" s="2"/>
      <c r="J63" s="19">
        <f t="shared" si="17"/>
        <v>0.17784603068473795</v>
      </c>
      <c r="K63" s="2"/>
      <c r="L63" s="2">
        <f t="shared" si="18"/>
        <v>-38175.120000000003</v>
      </c>
      <c r="M63" s="2"/>
      <c r="N63" s="19">
        <f t="shared" si="19"/>
        <v>-1</v>
      </c>
      <c r="O63" s="11"/>
      <c r="P63" s="2">
        <v>0</v>
      </c>
      <c r="Q63" s="2"/>
      <c r="R63" s="19">
        <f t="shared" si="20"/>
        <v>0</v>
      </c>
      <c r="S63" s="2"/>
      <c r="T63" s="2">
        <v>132470.39999999999</v>
      </c>
      <c r="U63" s="2"/>
      <c r="V63" s="19">
        <f t="shared" si="21"/>
        <v>0.12854707264207393</v>
      </c>
      <c r="W63" s="2"/>
      <c r="X63" s="2">
        <f t="shared" si="22"/>
        <v>-132470.39999999999</v>
      </c>
      <c r="Y63" s="2"/>
      <c r="Z63" s="19">
        <f t="shared" si="23"/>
        <v>-1</v>
      </c>
    </row>
    <row r="64" spans="1:26" s="24" customFormat="1" hidden="1" outlineLevel="1" x14ac:dyDescent="0.3">
      <c r="A64" s="44"/>
      <c r="B64" s="11" t="str">
        <f>CONCATENATE("          ", "5041", " - ", "PURCHASES @ COST-LOGO GIFTS")</f>
        <v xml:space="preserve">          5041 - PURCHASES @ COST-LOGO GIFTS</v>
      </c>
      <c r="C64" s="11"/>
      <c r="D64" s="2"/>
      <c r="E64" s="2"/>
      <c r="F64" s="19">
        <f t="shared" si="16"/>
        <v>0</v>
      </c>
      <c r="G64" s="2"/>
      <c r="H64" s="2">
        <v>5559.99</v>
      </c>
      <c r="I64" s="2"/>
      <c r="J64" s="19">
        <f t="shared" si="17"/>
        <v>2.590226703011899E-2</v>
      </c>
      <c r="K64" s="2"/>
      <c r="L64" s="2">
        <f t="shared" si="18"/>
        <v>-5559.99</v>
      </c>
      <c r="M64" s="2"/>
      <c r="N64" s="19">
        <f t="shared" si="19"/>
        <v>-1</v>
      </c>
      <c r="O64" s="11"/>
      <c r="P64" s="2">
        <v>0</v>
      </c>
      <c r="Q64" s="2"/>
      <c r="R64" s="19">
        <f t="shared" si="20"/>
        <v>0</v>
      </c>
      <c r="S64" s="2"/>
      <c r="T64" s="2">
        <v>32201.759999999998</v>
      </c>
      <c r="U64" s="2"/>
      <c r="V64" s="19">
        <f t="shared" si="21"/>
        <v>3.1248052258637634E-2</v>
      </c>
      <c r="W64" s="2"/>
      <c r="X64" s="2">
        <f t="shared" si="22"/>
        <v>-32201.759999999998</v>
      </c>
      <c r="Y64" s="2"/>
      <c r="Z64" s="19">
        <f t="shared" si="23"/>
        <v>-1</v>
      </c>
    </row>
    <row r="65" spans="1:26" s="24" customFormat="1" hidden="1" outlineLevel="1" x14ac:dyDescent="0.3">
      <c r="A65" s="44"/>
      <c r="B65" s="11" t="str">
        <f>CONCATENATE("          ", "5042", " - ", "PURCHASES @ COST-EVERYDAY GIFT")</f>
        <v xml:space="preserve">          5042 - PURCHASES @ COST-EVERYDAY GIFT</v>
      </c>
      <c r="C65" s="11"/>
      <c r="D65" s="2"/>
      <c r="E65" s="2"/>
      <c r="F65" s="19">
        <f t="shared" si="16"/>
        <v>0</v>
      </c>
      <c r="G65" s="2"/>
      <c r="H65" s="2">
        <v>148.6</v>
      </c>
      <c r="I65" s="2"/>
      <c r="J65" s="19">
        <f t="shared" si="17"/>
        <v>6.9228125962019394E-4</v>
      </c>
      <c r="K65" s="2"/>
      <c r="L65" s="2">
        <f t="shared" si="18"/>
        <v>-148.6</v>
      </c>
      <c r="M65" s="2"/>
      <c r="N65" s="19">
        <f t="shared" si="19"/>
        <v>-1</v>
      </c>
      <c r="O65" s="11"/>
      <c r="P65" s="2">
        <v>0</v>
      </c>
      <c r="Q65" s="2"/>
      <c r="R65" s="19">
        <f t="shared" si="20"/>
        <v>0</v>
      </c>
      <c r="S65" s="2"/>
      <c r="T65" s="2">
        <v>11061.28</v>
      </c>
      <c r="U65" s="2"/>
      <c r="V65" s="19">
        <f t="shared" si="21"/>
        <v>1.073368211822656E-2</v>
      </c>
      <c r="W65" s="2"/>
      <c r="X65" s="2">
        <f t="shared" si="22"/>
        <v>-11061.28</v>
      </c>
      <c r="Y65" s="2"/>
      <c r="Z65" s="19">
        <f t="shared" si="23"/>
        <v>-1</v>
      </c>
    </row>
    <row r="66" spans="1:26" s="24" customFormat="1" hidden="1" outlineLevel="1" x14ac:dyDescent="0.3">
      <c r="A66" s="44"/>
      <c r="B66" s="11" t="str">
        <f>CONCATENATE("          ", "5043", " - ", "PURCHASES @ COST-CARDS")</f>
        <v xml:space="preserve">          5043 - PURCHASES @ COST-CARDS</v>
      </c>
      <c r="C66" s="11"/>
      <c r="D66" s="2"/>
      <c r="E66" s="2"/>
      <c r="F66" s="19">
        <f t="shared" si="16"/>
        <v>0</v>
      </c>
      <c r="G66" s="2"/>
      <c r="H66" s="2">
        <v>2448</v>
      </c>
      <c r="I66" s="2"/>
      <c r="J66" s="19">
        <f t="shared" si="17"/>
        <v>1.1404471894685296E-2</v>
      </c>
      <c r="K66" s="2"/>
      <c r="L66" s="2">
        <f t="shared" si="18"/>
        <v>-2448</v>
      </c>
      <c r="M66" s="2"/>
      <c r="N66" s="19">
        <f t="shared" si="19"/>
        <v>-1</v>
      </c>
      <c r="O66" s="11"/>
      <c r="P66" s="2">
        <v>0</v>
      </c>
      <c r="Q66" s="2"/>
      <c r="R66" s="19">
        <f t="shared" si="20"/>
        <v>0</v>
      </c>
      <c r="S66" s="2"/>
      <c r="T66" s="2">
        <v>46621.23</v>
      </c>
      <c r="U66" s="2"/>
      <c r="V66" s="19">
        <f t="shared" si="21"/>
        <v>4.5240466092597575E-2</v>
      </c>
      <c r="W66" s="2"/>
      <c r="X66" s="2">
        <f t="shared" si="22"/>
        <v>-46621.23</v>
      </c>
      <c r="Y66" s="2"/>
      <c r="Z66" s="19">
        <f t="shared" si="23"/>
        <v>-1</v>
      </c>
    </row>
    <row r="67" spans="1:26" s="24" customFormat="1" hidden="1" outlineLevel="1" x14ac:dyDescent="0.3">
      <c r="A67" s="44"/>
      <c r="B67" s="11" t="str">
        <f>CONCATENATE("          ", "5044", " - ", "PURCHASES @ COST-ACCESSORIES")</f>
        <v xml:space="preserve">          5044 - PURCHASES @ COST-ACCESSORIES</v>
      </c>
      <c r="C67" s="11"/>
      <c r="D67" s="2"/>
      <c r="E67" s="2"/>
      <c r="F67" s="19">
        <f t="shared" si="16"/>
        <v>0</v>
      </c>
      <c r="G67" s="2"/>
      <c r="H67" s="2"/>
      <c r="I67" s="2"/>
      <c r="J67" s="19">
        <f t="shared" si="17"/>
        <v>0</v>
      </c>
      <c r="K67" s="2"/>
      <c r="L67" s="2">
        <f t="shared" si="18"/>
        <v>0</v>
      </c>
      <c r="M67" s="2"/>
      <c r="N67" s="19">
        <f t="shared" si="19"/>
        <v>0</v>
      </c>
      <c r="O67" s="11"/>
      <c r="P67" s="2">
        <v>0</v>
      </c>
      <c r="Q67" s="2"/>
      <c r="R67" s="19">
        <f t="shared" si="20"/>
        <v>0</v>
      </c>
      <c r="S67" s="2"/>
      <c r="T67" s="2">
        <v>282.33</v>
      </c>
      <c r="U67" s="2"/>
      <c r="V67" s="19">
        <f t="shared" si="21"/>
        <v>2.7396833571150035E-4</v>
      </c>
      <c r="W67" s="2"/>
      <c r="X67" s="2">
        <f t="shared" si="22"/>
        <v>-282.33</v>
      </c>
      <c r="Y67" s="2"/>
      <c r="Z67" s="19">
        <f t="shared" si="23"/>
        <v>-1</v>
      </c>
    </row>
    <row r="68" spans="1:26" s="24" customFormat="1" hidden="1" outlineLevel="1" x14ac:dyDescent="0.3">
      <c r="A68" s="44"/>
      <c r="B68" s="11" t="str">
        <f>CONCATENATE("          ", "5045", " - ", "PURCHASES @ COST-SPECIAL ORDER")</f>
        <v xml:space="preserve">          5045 - PURCHASES @ COST-SPECIAL ORDER</v>
      </c>
      <c r="C68" s="11"/>
      <c r="D68" s="2"/>
      <c r="E68" s="2"/>
      <c r="F68" s="19">
        <f t="shared" si="16"/>
        <v>0</v>
      </c>
      <c r="G68" s="2"/>
      <c r="H68" s="2">
        <v>10676.48</v>
      </c>
      <c r="I68" s="2"/>
      <c r="J68" s="19">
        <f t="shared" si="17"/>
        <v>4.9738405267226164E-2</v>
      </c>
      <c r="K68" s="2"/>
      <c r="L68" s="2">
        <f t="shared" si="18"/>
        <v>-10676.48</v>
      </c>
      <c r="M68" s="2"/>
      <c r="N68" s="19">
        <f t="shared" si="19"/>
        <v>-1</v>
      </c>
      <c r="O68" s="11"/>
      <c r="P68" s="2">
        <v>0</v>
      </c>
      <c r="Q68" s="2"/>
      <c r="R68" s="19">
        <f t="shared" si="20"/>
        <v>0</v>
      </c>
      <c r="S68" s="2"/>
      <c r="T68" s="2">
        <v>87609</v>
      </c>
      <c r="U68" s="2"/>
      <c r="V68" s="19">
        <f t="shared" si="21"/>
        <v>8.5014316308393845E-2</v>
      </c>
      <c r="W68" s="2"/>
      <c r="X68" s="2">
        <f t="shared" si="22"/>
        <v>-87609</v>
      </c>
      <c r="Y68" s="2"/>
      <c r="Z68" s="19">
        <f t="shared" si="23"/>
        <v>-1</v>
      </c>
    </row>
    <row r="69" spans="1:26" s="24" customFormat="1" hidden="1" outlineLevel="1" x14ac:dyDescent="0.3">
      <c r="A69" s="44"/>
      <c r="B69" s="11" t="str">
        <f>CONCATENATE("          ", "5200", " - ", "PURCHASES OFFSET")</f>
        <v xml:space="preserve">          5200 - PURCHASES OFFSET</v>
      </c>
      <c r="C69" s="11"/>
      <c r="D69" s="2">
        <v>-219682.04</v>
      </c>
      <c r="E69" s="2"/>
      <c r="F69" s="19">
        <f t="shared" si="16"/>
        <v>-0.50982239092784498</v>
      </c>
      <c r="G69" s="2"/>
      <c r="H69" s="2">
        <v>-58180.68</v>
      </c>
      <c r="I69" s="2"/>
      <c r="J69" s="19">
        <f t="shared" si="17"/>
        <v>-0.27104572298761392</v>
      </c>
      <c r="K69" s="2"/>
      <c r="L69" s="2">
        <f t="shared" si="18"/>
        <v>-161501.36000000002</v>
      </c>
      <c r="M69" s="2"/>
      <c r="N69" s="19">
        <f t="shared" si="19"/>
        <v>2.7758589277402743</v>
      </c>
      <c r="O69" s="11"/>
      <c r="P69" s="2">
        <v>-1077158.29</v>
      </c>
      <c r="Q69" s="2"/>
      <c r="R69" s="19">
        <f t="shared" si="20"/>
        <v>-0.52071007029862992</v>
      </c>
      <c r="S69" s="2"/>
      <c r="T69" s="2">
        <v>-348485.3</v>
      </c>
      <c r="U69" s="2"/>
      <c r="V69" s="19">
        <f t="shared" si="21"/>
        <v>-0.3381643384015971</v>
      </c>
      <c r="W69" s="2"/>
      <c r="X69" s="2">
        <f t="shared" si="22"/>
        <v>-728672.99</v>
      </c>
      <c r="Y69" s="2"/>
      <c r="Z69" s="19">
        <f t="shared" si="23"/>
        <v>2.0909719577841592</v>
      </c>
    </row>
    <row r="70" spans="1:26" s="24" customFormat="1" hidden="1" outlineLevel="1" x14ac:dyDescent="0.3">
      <c r="A70" s="44"/>
      <c r="B70" s="11" t="str">
        <f>CONCATENATE("          ", "5300", " - ", "COG$ OFFSET")</f>
        <v xml:space="preserve">          5300 - COG$ OFFSET</v>
      </c>
      <c r="C70" s="11"/>
      <c r="D70" s="2">
        <v>212397.72</v>
      </c>
      <c r="E70" s="2"/>
      <c r="F70" s="19">
        <f t="shared" si="16"/>
        <v>0.4929174612454571</v>
      </c>
      <c r="G70" s="2"/>
      <c r="H70" s="2">
        <v>123874</v>
      </c>
      <c r="I70" s="2"/>
      <c r="J70" s="19">
        <f t="shared" si="17"/>
        <v>0.57709050305647314</v>
      </c>
      <c r="K70" s="2"/>
      <c r="L70" s="2">
        <f t="shared" si="18"/>
        <v>88523.72</v>
      </c>
      <c r="M70" s="2"/>
      <c r="N70" s="19">
        <f t="shared" si="19"/>
        <v>0.71462712110693127</v>
      </c>
      <c r="O70" s="11"/>
      <c r="P70" s="2">
        <v>1017450.85</v>
      </c>
      <c r="Q70" s="2"/>
      <c r="R70" s="19">
        <f t="shared" si="20"/>
        <v>0.49184684233261644</v>
      </c>
      <c r="S70" s="2"/>
      <c r="T70" s="2">
        <v>597291</v>
      </c>
      <c r="U70" s="2"/>
      <c r="V70" s="19">
        <f t="shared" si="21"/>
        <v>0.57960125103764304</v>
      </c>
      <c r="W70" s="2"/>
      <c r="X70" s="2">
        <f t="shared" si="22"/>
        <v>420159.85</v>
      </c>
      <c r="Y70" s="2"/>
      <c r="Z70" s="19">
        <f t="shared" si="23"/>
        <v>0.70344245937072547</v>
      </c>
    </row>
    <row r="71" spans="1:26" s="24" customFormat="1" hidden="1" outlineLevel="1" x14ac:dyDescent="0.3">
      <c r="A71" s="44"/>
      <c r="B71" s="11" t="str">
        <f>CONCATENATE("          ", "5500", " - ", "FREIGHT-IN")</f>
        <v xml:space="preserve">          5500 - FREIGHT-IN</v>
      </c>
      <c r="C71" s="11"/>
      <c r="D71" s="2">
        <v>8525.4599999999991</v>
      </c>
      <c r="E71" s="2"/>
      <c r="F71" s="19">
        <f t="shared" si="16"/>
        <v>1.9785278764525786E-2</v>
      </c>
      <c r="G71" s="2"/>
      <c r="H71" s="2"/>
      <c r="I71" s="2"/>
      <c r="J71" s="19">
        <f t="shared" si="17"/>
        <v>0</v>
      </c>
      <c r="K71" s="2"/>
      <c r="L71" s="2">
        <f t="shared" si="18"/>
        <v>8525.4599999999991</v>
      </c>
      <c r="M71" s="2"/>
      <c r="N71" s="19">
        <f t="shared" si="19"/>
        <v>0</v>
      </c>
      <c r="O71" s="11"/>
      <c r="P71" s="2">
        <v>31942.89</v>
      </c>
      <c r="Q71" s="2"/>
      <c r="R71" s="19">
        <f t="shared" si="20"/>
        <v>1.544154155601532E-2</v>
      </c>
      <c r="S71" s="2"/>
      <c r="T71" s="2"/>
      <c r="U71" s="2"/>
      <c r="V71" s="19">
        <f t="shared" si="21"/>
        <v>0</v>
      </c>
      <c r="W71" s="2"/>
      <c r="X71" s="2">
        <f t="shared" si="22"/>
        <v>31942.89</v>
      </c>
      <c r="Y71" s="2"/>
      <c r="Z71" s="19">
        <f t="shared" si="23"/>
        <v>0</v>
      </c>
    </row>
    <row r="72" spans="1:26" s="24" customFormat="1" hidden="1" outlineLevel="1" x14ac:dyDescent="0.3">
      <c r="A72" s="44"/>
      <c r="B72" s="11" t="str">
        <f>CONCATENATE("          ", "5525", " - ", "FREIGHT-IN-TEST FORMS")</f>
        <v xml:space="preserve">          5525 - FREIGHT-IN-TEST FORMS</v>
      </c>
      <c r="C72" s="11"/>
      <c r="D72" s="2"/>
      <c r="E72" s="2"/>
      <c r="F72" s="19">
        <f t="shared" si="16"/>
        <v>0</v>
      </c>
      <c r="G72" s="2"/>
      <c r="H72" s="2"/>
      <c r="I72" s="2"/>
      <c r="J72" s="19">
        <f t="shared" si="17"/>
        <v>0</v>
      </c>
      <c r="K72" s="2"/>
      <c r="L72" s="2">
        <f t="shared" si="18"/>
        <v>0</v>
      </c>
      <c r="M72" s="2"/>
      <c r="N72" s="19">
        <f t="shared" si="19"/>
        <v>0</v>
      </c>
      <c r="O72" s="11"/>
      <c r="P72" s="2"/>
      <c r="Q72" s="2"/>
      <c r="R72" s="19">
        <f t="shared" si="20"/>
        <v>0</v>
      </c>
      <c r="S72" s="2"/>
      <c r="T72" s="2">
        <v>48.14</v>
      </c>
      <c r="U72" s="2"/>
      <c r="V72" s="19">
        <f t="shared" si="21"/>
        <v>4.6714255237316715E-5</v>
      </c>
      <c r="W72" s="2"/>
      <c r="X72" s="2">
        <f t="shared" si="22"/>
        <v>-48.14</v>
      </c>
      <c r="Y72" s="2"/>
      <c r="Z72" s="19">
        <f t="shared" si="23"/>
        <v>-1</v>
      </c>
    </row>
    <row r="73" spans="1:26" s="24" customFormat="1" hidden="1" outlineLevel="1" x14ac:dyDescent="0.3">
      <c r="A73" s="44"/>
      <c r="B73" s="11" t="str">
        <f>CONCATENATE("          ", "5526", " - ", "FREIGHT-IN-WRITING INSTRUMENTS")</f>
        <v xml:space="preserve">          5526 - FREIGHT-IN-WRITING INSTRUMENTS</v>
      </c>
      <c r="C73" s="11"/>
      <c r="D73" s="2"/>
      <c r="E73" s="2"/>
      <c r="F73" s="19">
        <f t="shared" si="16"/>
        <v>0</v>
      </c>
      <c r="G73" s="2"/>
      <c r="H73" s="2">
        <v>0</v>
      </c>
      <c r="I73" s="2"/>
      <c r="J73" s="19">
        <f t="shared" si="17"/>
        <v>0</v>
      </c>
      <c r="K73" s="2"/>
      <c r="L73" s="2">
        <f t="shared" si="18"/>
        <v>0</v>
      </c>
      <c r="M73" s="2"/>
      <c r="N73" s="19">
        <f t="shared" si="19"/>
        <v>0</v>
      </c>
      <c r="O73" s="11"/>
      <c r="P73" s="2"/>
      <c r="Q73" s="2"/>
      <c r="R73" s="19">
        <f t="shared" si="20"/>
        <v>0</v>
      </c>
      <c r="S73" s="2"/>
      <c r="T73" s="2">
        <v>0</v>
      </c>
      <c r="U73" s="2"/>
      <c r="V73" s="19">
        <f t="shared" si="21"/>
        <v>0</v>
      </c>
      <c r="W73" s="2"/>
      <c r="X73" s="2">
        <f t="shared" si="22"/>
        <v>0</v>
      </c>
      <c r="Y73" s="2"/>
      <c r="Z73" s="19">
        <f t="shared" si="23"/>
        <v>0</v>
      </c>
    </row>
    <row r="74" spans="1:26" s="24" customFormat="1" hidden="1" outlineLevel="1" x14ac:dyDescent="0.3">
      <c r="A74" s="44"/>
      <c r="B74" s="11" t="str">
        <f>CONCATENATE("          ", "5527", " - ", "FREIGHT-IN-SCHOOL SUPPLIES")</f>
        <v xml:space="preserve">          5527 - FREIGHT-IN-SCHOOL SUPPLIES</v>
      </c>
      <c r="C74" s="11"/>
      <c r="D74" s="2"/>
      <c r="E74" s="2"/>
      <c r="F74" s="19">
        <f t="shared" si="16"/>
        <v>0</v>
      </c>
      <c r="G74" s="2"/>
      <c r="H74" s="2">
        <v>121.5</v>
      </c>
      <c r="I74" s="2"/>
      <c r="J74" s="19">
        <f t="shared" si="17"/>
        <v>5.6603077418474813E-4</v>
      </c>
      <c r="K74" s="2"/>
      <c r="L74" s="2">
        <f t="shared" si="18"/>
        <v>-121.5</v>
      </c>
      <c r="M74" s="2"/>
      <c r="N74" s="19">
        <f t="shared" si="19"/>
        <v>-1</v>
      </c>
      <c r="O74" s="11"/>
      <c r="P74" s="2">
        <v>0</v>
      </c>
      <c r="Q74" s="2"/>
      <c r="R74" s="19">
        <f t="shared" si="20"/>
        <v>0</v>
      </c>
      <c r="S74" s="2"/>
      <c r="T74" s="2">
        <v>177.5</v>
      </c>
      <c r="U74" s="2"/>
      <c r="V74" s="19">
        <f t="shared" si="21"/>
        <v>1.7224304745790852E-4</v>
      </c>
      <c r="W74" s="2"/>
      <c r="X74" s="2">
        <f t="shared" si="22"/>
        <v>-177.5</v>
      </c>
      <c r="Y74" s="2"/>
      <c r="Z74" s="19">
        <f t="shared" si="23"/>
        <v>-1</v>
      </c>
    </row>
    <row r="75" spans="1:26" s="24" customFormat="1" hidden="1" outlineLevel="1" x14ac:dyDescent="0.3">
      <c r="A75" s="44"/>
      <c r="B75" s="11" t="str">
        <f>CONCATENATE("          ", "5528", " - ", "FREIGHT-IN-ART/TECH")</f>
        <v xml:space="preserve">          5528 - FREIGHT-IN-ART/TECH</v>
      </c>
      <c r="C75" s="11"/>
      <c r="D75" s="2"/>
      <c r="E75" s="2"/>
      <c r="F75" s="19">
        <f t="shared" si="16"/>
        <v>0</v>
      </c>
      <c r="G75" s="2"/>
      <c r="H75" s="2"/>
      <c r="I75" s="2"/>
      <c r="J75" s="19">
        <f t="shared" si="17"/>
        <v>0</v>
      </c>
      <c r="K75" s="2"/>
      <c r="L75" s="2">
        <f t="shared" si="18"/>
        <v>0</v>
      </c>
      <c r="M75" s="2"/>
      <c r="N75" s="19">
        <f t="shared" si="19"/>
        <v>0</v>
      </c>
      <c r="O75" s="11"/>
      <c r="P75" s="2"/>
      <c r="Q75" s="2"/>
      <c r="R75" s="19">
        <f t="shared" si="20"/>
        <v>0</v>
      </c>
      <c r="S75" s="2"/>
      <c r="T75" s="2">
        <v>3.94</v>
      </c>
      <c r="U75" s="2"/>
      <c r="V75" s="19">
        <f t="shared" si="21"/>
        <v>3.8233104618825889E-6</v>
      </c>
      <c r="W75" s="2"/>
      <c r="X75" s="2">
        <f t="shared" si="22"/>
        <v>-3.94</v>
      </c>
      <c r="Y75" s="2"/>
      <c r="Z75" s="19">
        <f t="shared" si="23"/>
        <v>-1</v>
      </c>
    </row>
    <row r="76" spans="1:26" s="24" customFormat="1" hidden="1" outlineLevel="1" x14ac:dyDescent="0.3">
      <c r="A76" s="44"/>
      <c r="B76" s="11" t="str">
        <f>CONCATENATE("          ", "5540", " - ", "FREIGHT-IN-LOGO CLOTHING")</f>
        <v xml:space="preserve">          5540 - FREIGHT-IN-LOGO CLOTHING</v>
      </c>
      <c r="C76" s="11"/>
      <c r="D76" s="2"/>
      <c r="E76" s="2"/>
      <c r="F76" s="19">
        <f t="shared" si="16"/>
        <v>0</v>
      </c>
      <c r="G76" s="2"/>
      <c r="H76" s="2">
        <v>907.48</v>
      </c>
      <c r="I76" s="2"/>
      <c r="J76" s="19">
        <f t="shared" si="17"/>
        <v>4.2276675469726356E-3</v>
      </c>
      <c r="K76" s="2"/>
      <c r="L76" s="2">
        <f t="shared" si="18"/>
        <v>-907.48</v>
      </c>
      <c r="M76" s="2"/>
      <c r="N76" s="19">
        <f t="shared" si="19"/>
        <v>-1</v>
      </c>
      <c r="O76" s="11"/>
      <c r="P76" s="2">
        <v>0</v>
      </c>
      <c r="Q76" s="2"/>
      <c r="R76" s="19">
        <f t="shared" si="20"/>
        <v>0</v>
      </c>
      <c r="S76" s="2"/>
      <c r="T76" s="2">
        <v>5442.96</v>
      </c>
      <c r="U76" s="2"/>
      <c r="V76" s="19">
        <f t="shared" si="21"/>
        <v>5.2817578455859032E-3</v>
      </c>
      <c r="W76" s="2"/>
      <c r="X76" s="2">
        <f t="shared" si="22"/>
        <v>-5442.96</v>
      </c>
      <c r="Y76" s="2"/>
      <c r="Z76" s="19">
        <f t="shared" si="23"/>
        <v>-1</v>
      </c>
    </row>
    <row r="77" spans="1:26" s="24" customFormat="1" hidden="1" outlineLevel="1" x14ac:dyDescent="0.3">
      <c r="A77" s="44"/>
      <c r="B77" s="11" t="str">
        <f>CONCATENATE("          ", "5541", " - ", "FREIGHT-IN-LOGO GIFTS")</f>
        <v xml:space="preserve">          5541 - FREIGHT-IN-LOGO GIFTS</v>
      </c>
      <c r="C77" s="11"/>
      <c r="D77" s="2"/>
      <c r="E77" s="2"/>
      <c r="F77" s="19">
        <f t="shared" si="16"/>
        <v>0</v>
      </c>
      <c r="G77" s="2"/>
      <c r="H77" s="2">
        <v>84.07</v>
      </c>
      <c r="I77" s="2"/>
      <c r="J77" s="19">
        <f t="shared" si="17"/>
        <v>3.9165602621984996E-4</v>
      </c>
      <c r="K77" s="2"/>
      <c r="L77" s="2">
        <f t="shared" si="18"/>
        <v>-84.07</v>
      </c>
      <c r="M77" s="2"/>
      <c r="N77" s="19">
        <f t="shared" si="19"/>
        <v>-1</v>
      </c>
      <c r="O77" s="11"/>
      <c r="P77" s="2">
        <v>0</v>
      </c>
      <c r="Q77" s="2"/>
      <c r="R77" s="19">
        <f t="shared" si="20"/>
        <v>0</v>
      </c>
      <c r="S77" s="2"/>
      <c r="T77" s="2">
        <v>1519.94</v>
      </c>
      <c r="U77" s="2"/>
      <c r="V77" s="19">
        <f t="shared" si="21"/>
        <v>1.4749244932573155E-3</v>
      </c>
      <c r="W77" s="2"/>
      <c r="X77" s="2">
        <f t="shared" si="22"/>
        <v>-1519.94</v>
      </c>
      <c r="Y77" s="2"/>
      <c r="Z77" s="19">
        <f t="shared" si="23"/>
        <v>-1</v>
      </c>
    </row>
    <row r="78" spans="1:26" s="24" customFormat="1" hidden="1" outlineLevel="1" x14ac:dyDescent="0.3">
      <c r="A78" s="44"/>
      <c r="B78" s="11" t="str">
        <f>CONCATENATE("          ", "5542", " - ", "FREIGHT-IN-EVERYDAY GIFTS")</f>
        <v xml:space="preserve">          5542 - FREIGHT-IN-EVERYDAY GIFTS</v>
      </c>
      <c r="C78" s="11"/>
      <c r="D78" s="2"/>
      <c r="E78" s="2"/>
      <c r="F78" s="19">
        <f t="shared" si="16"/>
        <v>0</v>
      </c>
      <c r="G78" s="2"/>
      <c r="H78" s="2"/>
      <c r="I78" s="2"/>
      <c r="J78" s="19">
        <f t="shared" si="17"/>
        <v>0</v>
      </c>
      <c r="K78" s="2"/>
      <c r="L78" s="2">
        <f t="shared" si="18"/>
        <v>0</v>
      </c>
      <c r="M78" s="2"/>
      <c r="N78" s="19">
        <f t="shared" si="19"/>
        <v>0</v>
      </c>
      <c r="O78" s="11"/>
      <c r="P78" s="2">
        <v>0</v>
      </c>
      <c r="Q78" s="2"/>
      <c r="R78" s="19">
        <f t="shared" si="20"/>
        <v>0</v>
      </c>
      <c r="S78" s="2"/>
      <c r="T78" s="2">
        <v>196.55</v>
      </c>
      <c r="U78" s="2"/>
      <c r="V78" s="19">
        <f t="shared" si="21"/>
        <v>1.9072885057944746E-4</v>
      </c>
      <c r="W78" s="2"/>
      <c r="X78" s="2">
        <f t="shared" si="22"/>
        <v>-196.55</v>
      </c>
      <c r="Y78" s="2"/>
      <c r="Z78" s="19">
        <f t="shared" si="23"/>
        <v>-1</v>
      </c>
    </row>
    <row r="79" spans="1:26" s="24" customFormat="1" hidden="1" outlineLevel="1" x14ac:dyDescent="0.3">
      <c r="A79" s="44"/>
      <c r="B79" s="11" t="str">
        <f>CONCATENATE("          ", "5543", " - ", "FREIGHT-IN-CARDS")</f>
        <v xml:space="preserve">          5543 - FREIGHT-IN-CARDS</v>
      </c>
      <c r="C79" s="11"/>
      <c r="D79" s="2"/>
      <c r="E79" s="2"/>
      <c r="F79" s="19">
        <f t="shared" si="16"/>
        <v>0</v>
      </c>
      <c r="G79" s="2"/>
      <c r="H79" s="2">
        <v>605.41</v>
      </c>
      <c r="I79" s="2"/>
      <c r="J79" s="19">
        <f t="shared" si="17"/>
        <v>2.8204172098698628E-3</v>
      </c>
      <c r="K79" s="2"/>
      <c r="L79" s="2">
        <f t="shared" si="18"/>
        <v>-605.41</v>
      </c>
      <c r="M79" s="2"/>
      <c r="N79" s="19">
        <f t="shared" si="19"/>
        <v>-1</v>
      </c>
      <c r="O79" s="11"/>
      <c r="P79" s="2"/>
      <c r="Q79" s="2"/>
      <c r="R79" s="19">
        <f t="shared" si="20"/>
        <v>0</v>
      </c>
      <c r="S79" s="2"/>
      <c r="T79" s="2">
        <v>7117.72</v>
      </c>
      <c r="U79" s="2"/>
      <c r="V79" s="19">
        <f t="shared" si="21"/>
        <v>6.906917091561153E-3</v>
      </c>
      <c r="W79" s="2"/>
      <c r="X79" s="2">
        <f t="shared" si="22"/>
        <v>-7117.72</v>
      </c>
      <c r="Y79" s="2"/>
      <c r="Z79" s="19">
        <f t="shared" si="23"/>
        <v>-1</v>
      </c>
    </row>
    <row r="80" spans="1:26" s="24" customFormat="1" hidden="1" outlineLevel="1" x14ac:dyDescent="0.3">
      <c r="A80" s="44"/>
      <c r="B80" s="11" t="str">
        <f>CONCATENATE("          ", "5544", " - ", "FREIGHT-IN-ACCESSORIES")</f>
        <v xml:space="preserve">          5544 - FREIGHT-IN-ACCESSORIES</v>
      </c>
      <c r="C80" s="11"/>
      <c r="D80" s="2"/>
      <c r="E80" s="2"/>
      <c r="F80" s="19">
        <f t="shared" si="16"/>
        <v>0</v>
      </c>
      <c r="G80" s="2"/>
      <c r="H80" s="2"/>
      <c r="I80" s="2"/>
      <c r="J80" s="19">
        <f t="shared" si="17"/>
        <v>0</v>
      </c>
      <c r="K80" s="2"/>
      <c r="L80" s="2">
        <f t="shared" si="18"/>
        <v>0</v>
      </c>
      <c r="M80" s="2"/>
      <c r="N80" s="19">
        <f t="shared" si="19"/>
        <v>0</v>
      </c>
      <c r="O80" s="11"/>
      <c r="P80" s="2">
        <v>0</v>
      </c>
      <c r="Q80" s="2"/>
      <c r="R80" s="19">
        <f t="shared" si="20"/>
        <v>0</v>
      </c>
      <c r="S80" s="2"/>
      <c r="T80" s="2"/>
      <c r="U80" s="2"/>
      <c r="V80" s="19">
        <f t="shared" si="21"/>
        <v>0</v>
      </c>
      <c r="W80" s="2"/>
      <c r="X80" s="2">
        <f t="shared" si="22"/>
        <v>0</v>
      </c>
      <c r="Y80" s="2"/>
      <c r="Z80" s="19">
        <f t="shared" si="23"/>
        <v>0</v>
      </c>
    </row>
    <row r="81" spans="1:26" s="24" customFormat="1" hidden="1" outlineLevel="1" x14ac:dyDescent="0.3">
      <c r="A81" s="44"/>
      <c r="B81" s="11" t="str">
        <f>CONCATENATE("          ", "5545", " - ", "FREIGHT-IN-SPECIAL ORDERS")</f>
        <v xml:space="preserve">          5545 - FREIGHT-IN-SPECIAL ORDERS</v>
      </c>
      <c r="C81" s="11"/>
      <c r="D81" s="2"/>
      <c r="E81" s="2"/>
      <c r="F81" s="19">
        <f t="shared" si="16"/>
        <v>0</v>
      </c>
      <c r="G81" s="2"/>
      <c r="H81" s="2">
        <v>225.93</v>
      </c>
      <c r="I81" s="2"/>
      <c r="J81" s="19">
        <f t="shared" si="17"/>
        <v>1.0525377186136637E-3</v>
      </c>
      <c r="K81" s="2"/>
      <c r="L81" s="2">
        <f t="shared" si="18"/>
        <v>-225.93</v>
      </c>
      <c r="M81" s="2"/>
      <c r="N81" s="19">
        <f t="shared" si="19"/>
        <v>-1</v>
      </c>
      <c r="O81" s="11"/>
      <c r="P81" s="2">
        <v>0</v>
      </c>
      <c r="Q81" s="2"/>
      <c r="R81" s="19">
        <f t="shared" si="20"/>
        <v>0</v>
      </c>
      <c r="S81" s="2"/>
      <c r="T81" s="2">
        <v>1113.79</v>
      </c>
      <c r="U81" s="2"/>
      <c r="V81" s="19">
        <f t="shared" si="21"/>
        <v>1.0808032891726418E-3</v>
      </c>
      <c r="W81" s="2"/>
      <c r="X81" s="2">
        <f t="shared" si="22"/>
        <v>-1113.79</v>
      </c>
      <c r="Y81" s="2"/>
      <c r="Z81" s="19">
        <f t="shared" si="23"/>
        <v>-1</v>
      </c>
    </row>
    <row r="82" spans="1:26" x14ac:dyDescent="0.3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3">
      <c r="A83" s="10"/>
      <c r="B83" s="26" t="s">
        <v>107</v>
      </c>
      <c r="C83" s="26"/>
      <c r="D83" s="20">
        <f>D12-D56</f>
        <v>218501.44</v>
      </c>
      <c r="E83" s="13"/>
      <c r="F83" s="21">
        <f>IF(D$12=0,0,D83/D$12)</f>
        <v>0.50708253875454301</v>
      </c>
      <c r="G83" s="13"/>
      <c r="H83" s="20">
        <f>H12-H56</f>
        <v>90778.63999999997</v>
      </c>
      <c r="I83" s="13"/>
      <c r="J83" s="21">
        <f>IF(H$12=0,0,H83/H$12)</f>
        <v>0.42290949694352692</v>
      </c>
      <c r="K83" s="15"/>
      <c r="L83" s="20">
        <f>+D83-H83</f>
        <v>127722.80000000003</v>
      </c>
      <c r="M83" s="15"/>
      <c r="N83" s="21">
        <f>IF(H83=0,0,L83/H83)</f>
        <v>1.4069697453057246</v>
      </c>
      <c r="O83" s="25"/>
      <c r="P83" s="20">
        <f>P12-P56</f>
        <v>1051182.6399999997</v>
      </c>
      <c r="Q83" s="13"/>
      <c r="R83" s="21">
        <f>IF(P$12=0,0,P83/P$12)</f>
        <v>0.50815315766738345</v>
      </c>
      <c r="S83" s="13"/>
      <c r="T83" s="20">
        <f>T12-T56</f>
        <v>432313.01000000013</v>
      </c>
      <c r="U83" s="13"/>
      <c r="V83" s="21">
        <f>IF(T$12=0,0,T83/T$12)</f>
        <v>0.41950935379212001</v>
      </c>
      <c r="W83" s="15"/>
      <c r="X83" s="20">
        <f>+P83-T83</f>
        <v>618869.62999999954</v>
      </c>
      <c r="Y83" s="15"/>
      <c r="Z83" s="21">
        <f>IF(T83=0,0,X83/T83)</f>
        <v>1.4315313573375905</v>
      </c>
    </row>
    <row r="84" spans="1:26" x14ac:dyDescent="0.3">
      <c r="A84" s="9"/>
      <c r="B84" s="10"/>
      <c r="C84" s="9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3">
      <c r="A85" s="10"/>
      <c r="B85" s="25" t="s">
        <v>294</v>
      </c>
      <c r="C85" s="10"/>
      <c r="D85" s="22">
        <f>SUM(OSRRefD22x_0)</f>
        <v>88551.7</v>
      </c>
      <c r="E85" s="22"/>
      <c r="F85" s="34">
        <f t="shared" ref="F85:F94" si="24">IF(D$12=0,0,D85/D$12)</f>
        <v>0.20550446187920163</v>
      </c>
      <c r="G85" s="22"/>
      <c r="H85" s="22">
        <f>SUM(OSRRefH22x_0)</f>
        <v>63544.32</v>
      </c>
      <c r="I85" s="22"/>
      <c r="J85" s="34">
        <f t="shared" ref="J85:J94" si="25">IF(H$12=0,0,H85/H$12)</f>
        <v>0.29603325633451333</v>
      </c>
      <c r="K85" s="4"/>
      <c r="L85" s="22">
        <f t="shared" ref="L85:L94" si="26">+D85-H85</f>
        <v>25007.379999999997</v>
      </c>
      <c r="M85" s="4"/>
      <c r="N85" s="34">
        <f t="shared" ref="N85:N94" si="27">IF(H85=0,0,L85/H85)</f>
        <v>0.39354233391749249</v>
      </c>
      <c r="O85" s="10"/>
      <c r="P85" s="22">
        <f>SUM(OSRRefP22x_0)</f>
        <v>555272.76</v>
      </c>
      <c r="Q85" s="22"/>
      <c r="R85" s="34">
        <f t="shared" ref="R85:R94" si="28">IF(P$12=0,0,P85/P$12)</f>
        <v>0.26842491078494529</v>
      </c>
      <c r="S85" s="22"/>
      <c r="T85" s="22">
        <f>SUM(OSRRefT22x_0)</f>
        <v>405679.94000000006</v>
      </c>
      <c r="U85" s="22"/>
      <c r="V85" s="34">
        <f t="shared" ref="V85:V94" si="29">IF(T$12=0,0,T85/T$12)</f>
        <v>0.39366506567967036</v>
      </c>
      <c r="W85" s="4"/>
      <c r="X85" s="22">
        <f t="shared" ref="X85:X94" si="30">+P85-T85</f>
        <v>149592.81999999995</v>
      </c>
      <c r="Y85" s="4"/>
      <c r="Z85" s="34">
        <f t="shared" ref="Z85:Z94" si="31">IF(T85=0,0,X85/T85)</f>
        <v>0.3687459133424244</v>
      </c>
    </row>
    <row r="86" spans="1:26" s="29" customFormat="1" outlineLevel="1" collapsed="1" x14ac:dyDescent="0.3">
      <c r="A86" s="27"/>
      <c r="B86" s="14" t="str">
        <f>CONCATENATE("     ","*Benefits                                         ")</f>
        <v xml:space="preserve">     *Benefits                                         </v>
      </c>
      <c r="C86" s="14"/>
      <c r="D86" s="1">
        <f>SUM(OSRRefD22_0x_0)</f>
        <v>13303.839999999998</v>
      </c>
      <c r="E86" s="1"/>
      <c r="F86" s="5">
        <f t="shared" si="24"/>
        <v>3.0874601844199462E-2</v>
      </c>
      <c r="G86" s="1"/>
      <c r="H86" s="1">
        <f>SUM(OSRRefH22_0x_0)</f>
        <v>14608.029999999999</v>
      </c>
      <c r="I86" s="1"/>
      <c r="J86" s="5">
        <f t="shared" si="25"/>
        <v>6.8054275968839714E-2</v>
      </c>
      <c r="K86" s="1"/>
      <c r="L86" s="1">
        <f t="shared" si="26"/>
        <v>-1304.1900000000005</v>
      </c>
      <c r="M86" s="1"/>
      <c r="N86" s="5">
        <f t="shared" si="27"/>
        <v>-8.9278978753466451E-2</v>
      </c>
      <c r="O86" s="14"/>
      <c r="P86" s="1">
        <f>SUM(OSRRefP22_0x_0)</f>
        <v>86070.180000000008</v>
      </c>
      <c r="Q86" s="1"/>
      <c r="R86" s="5">
        <f t="shared" si="28"/>
        <v>4.1607264126812538E-2</v>
      </c>
      <c r="S86" s="1"/>
      <c r="T86" s="1">
        <f>SUM(OSRRefT22_0x_0)</f>
        <v>92980.55</v>
      </c>
      <c r="U86" s="1"/>
      <c r="V86" s="5">
        <f t="shared" si="29"/>
        <v>9.0226779077816552E-2</v>
      </c>
      <c r="W86" s="1"/>
      <c r="X86" s="1">
        <f t="shared" si="30"/>
        <v>-6910.3699999999953</v>
      </c>
      <c r="Y86" s="1"/>
      <c r="Z86" s="5">
        <f t="shared" si="31"/>
        <v>-7.4320597157147325E-2</v>
      </c>
    </row>
    <row r="87" spans="1:26" s="24" customFormat="1" hidden="1" outlineLevel="2" x14ac:dyDescent="0.3">
      <c r="A87" s="28"/>
      <c r="B87" s="11" t="str">
        <f>CONCATENATE("          ", "6111", " - ", "F.I.C.A.")</f>
        <v xml:space="preserve">          6111 - F.I.C.A.</v>
      </c>
      <c r="C87" s="11"/>
      <c r="D87" s="6">
        <v>2072.52</v>
      </c>
      <c r="E87" s="2"/>
      <c r="F87" s="7">
        <f t="shared" si="24"/>
        <v>4.8097564172554898E-3</v>
      </c>
      <c r="G87" s="2"/>
      <c r="H87" s="6">
        <v>2339.63</v>
      </c>
      <c r="I87" s="2"/>
      <c r="J87" s="7">
        <f t="shared" si="25"/>
        <v>1.0899609713628496E-2</v>
      </c>
      <c r="K87" s="2"/>
      <c r="L87" s="6">
        <f t="shared" si="26"/>
        <v>-267.11000000000013</v>
      </c>
      <c r="M87" s="2"/>
      <c r="N87" s="7">
        <f t="shared" si="27"/>
        <v>-0.11416762479537368</v>
      </c>
      <c r="O87" s="11"/>
      <c r="P87" s="6">
        <v>17257.330000000002</v>
      </c>
      <c r="Q87" s="2"/>
      <c r="R87" s="7">
        <f t="shared" si="28"/>
        <v>8.3423816173448899E-3</v>
      </c>
      <c r="S87" s="2"/>
      <c r="T87" s="6">
        <v>18847.7</v>
      </c>
      <c r="U87" s="2"/>
      <c r="V87" s="7">
        <f t="shared" si="29"/>
        <v>1.8289494566605197E-2</v>
      </c>
      <c r="W87" s="2"/>
      <c r="X87" s="6">
        <f t="shared" si="30"/>
        <v>-1590.369999999999</v>
      </c>
      <c r="Y87" s="2"/>
      <c r="Z87" s="7">
        <f t="shared" si="31"/>
        <v>-8.4380056983080112E-2</v>
      </c>
    </row>
    <row r="88" spans="1:26" s="24" customFormat="1" hidden="1" outlineLevel="2" x14ac:dyDescent="0.3">
      <c r="A88" s="28"/>
      <c r="B88" s="11" t="str">
        <f>CONCATENATE("          ", "6112", " - ", "COMPENSATION INSURANCE")</f>
        <v xml:space="preserve">          6112 - COMPENSATION INSURANCE</v>
      </c>
      <c r="C88" s="11"/>
      <c r="D88" s="6">
        <v>882.76</v>
      </c>
      <c r="E88" s="2"/>
      <c r="F88" s="7">
        <f t="shared" si="24"/>
        <v>2.0486463700695079E-3</v>
      </c>
      <c r="G88" s="2"/>
      <c r="H88" s="6">
        <v>1236.27</v>
      </c>
      <c r="I88" s="2"/>
      <c r="J88" s="7">
        <f t="shared" si="25"/>
        <v>5.7593980675010575E-3</v>
      </c>
      <c r="K88" s="2"/>
      <c r="L88" s="6">
        <f t="shared" si="26"/>
        <v>-353.51</v>
      </c>
      <c r="M88" s="2"/>
      <c r="N88" s="7">
        <f t="shared" si="27"/>
        <v>-0.28594886230354211</v>
      </c>
      <c r="O88" s="11"/>
      <c r="P88" s="6">
        <v>5480.88</v>
      </c>
      <c r="Q88" s="2"/>
      <c r="R88" s="7">
        <f t="shared" si="28"/>
        <v>2.6495171940777197E-3</v>
      </c>
      <c r="S88" s="2"/>
      <c r="T88" s="6">
        <v>7474.78</v>
      </c>
      <c r="U88" s="2"/>
      <c r="V88" s="7">
        <f t="shared" si="29"/>
        <v>7.2534021762108471E-3</v>
      </c>
      <c r="W88" s="2"/>
      <c r="X88" s="6">
        <f t="shared" si="30"/>
        <v>-1993.8999999999996</v>
      </c>
      <c r="Y88" s="2"/>
      <c r="Z88" s="7">
        <f t="shared" si="31"/>
        <v>-0.26675032576209595</v>
      </c>
    </row>
    <row r="89" spans="1:26" s="24" customFormat="1" hidden="1" outlineLevel="2" x14ac:dyDescent="0.3">
      <c r="A89" s="28"/>
      <c r="B89" s="11" t="str">
        <f>CONCATENATE("          ", "6113", " - ", "GROUP INSURANCE")</f>
        <v xml:space="preserve">          6113 - GROUP INSURANCE</v>
      </c>
      <c r="C89" s="11"/>
      <c r="D89" s="6">
        <v>4811.13</v>
      </c>
      <c r="E89" s="2"/>
      <c r="F89" s="7">
        <f t="shared" si="24"/>
        <v>1.1165326940994733E-2</v>
      </c>
      <c r="G89" s="2"/>
      <c r="H89" s="6">
        <v>5577.16</v>
      </c>
      <c r="I89" s="2"/>
      <c r="J89" s="7">
        <f t="shared" si="25"/>
        <v>2.598225672882477E-2</v>
      </c>
      <c r="K89" s="2"/>
      <c r="L89" s="6">
        <f t="shared" si="26"/>
        <v>-766.02999999999975</v>
      </c>
      <c r="M89" s="2"/>
      <c r="N89" s="7">
        <f t="shared" si="27"/>
        <v>-0.13735126838749467</v>
      </c>
      <c r="O89" s="11"/>
      <c r="P89" s="6">
        <v>28900.53</v>
      </c>
      <c r="Q89" s="2"/>
      <c r="R89" s="7">
        <f t="shared" si="28"/>
        <v>1.3970831536716542E-2</v>
      </c>
      <c r="S89" s="2"/>
      <c r="T89" s="6">
        <v>33416.42</v>
      </c>
      <c r="U89" s="2"/>
      <c r="V89" s="7">
        <f t="shared" si="29"/>
        <v>3.2426738117934666E-2</v>
      </c>
      <c r="W89" s="2"/>
      <c r="X89" s="6">
        <f t="shared" si="30"/>
        <v>-4515.8899999999994</v>
      </c>
      <c r="Y89" s="2"/>
      <c r="Z89" s="7">
        <f t="shared" si="31"/>
        <v>-0.13513985040887083</v>
      </c>
    </row>
    <row r="90" spans="1:26" s="24" customFormat="1" hidden="1" outlineLevel="2" x14ac:dyDescent="0.3">
      <c r="A90" s="28"/>
      <c r="B90" s="11" t="str">
        <f>CONCATENATE("          ", "6114", " - ", "STATE UNEMPLOYMENT INSURANCE")</f>
        <v xml:space="preserve">          6114 - STATE UNEMPLOYMENT INSURANCE</v>
      </c>
      <c r="C90" s="11"/>
      <c r="D90" s="6">
        <v>155.08000000000001</v>
      </c>
      <c r="E90" s="2"/>
      <c r="F90" s="7">
        <f t="shared" si="24"/>
        <v>3.5989858973036761E-4</v>
      </c>
      <c r="G90" s="2"/>
      <c r="H90" s="6"/>
      <c r="I90" s="2"/>
      <c r="J90" s="7">
        <f t="shared" si="25"/>
        <v>0</v>
      </c>
      <c r="K90" s="2"/>
      <c r="L90" s="6">
        <f t="shared" si="26"/>
        <v>155.08000000000001</v>
      </c>
      <c r="M90" s="2"/>
      <c r="N90" s="7">
        <f t="shared" si="27"/>
        <v>0</v>
      </c>
      <c r="O90" s="11"/>
      <c r="P90" s="6">
        <v>962.85</v>
      </c>
      <c r="Q90" s="2"/>
      <c r="R90" s="7">
        <f t="shared" si="28"/>
        <v>4.6545219569078914E-4</v>
      </c>
      <c r="S90" s="2"/>
      <c r="T90" s="6">
        <v>676.65</v>
      </c>
      <c r="U90" s="2"/>
      <c r="V90" s="7">
        <f t="shared" si="29"/>
        <v>6.5660990457686648E-4</v>
      </c>
      <c r="W90" s="2"/>
      <c r="X90" s="6">
        <f t="shared" si="30"/>
        <v>286.20000000000005</v>
      </c>
      <c r="Y90" s="2"/>
      <c r="Z90" s="7">
        <f t="shared" si="31"/>
        <v>0.42296608290844612</v>
      </c>
    </row>
    <row r="91" spans="1:26" s="24" customFormat="1" hidden="1" outlineLevel="2" x14ac:dyDescent="0.3">
      <c r="A91" s="28"/>
      <c r="B91" s="11" t="str">
        <f>CONCATENATE("          ", "6115", " - ", "P.E.R.S.")</f>
        <v xml:space="preserve">          6115 - P.E.R.S.</v>
      </c>
      <c r="C91" s="11"/>
      <c r="D91" s="6">
        <v>1642.66</v>
      </c>
      <c r="E91" s="2"/>
      <c r="F91" s="7">
        <f t="shared" si="24"/>
        <v>3.8121680255770287E-3</v>
      </c>
      <c r="G91" s="2"/>
      <c r="H91" s="6">
        <v>1916.82</v>
      </c>
      <c r="I91" s="2"/>
      <c r="J91" s="7">
        <f t="shared" si="25"/>
        <v>8.9298692063605658E-3</v>
      </c>
      <c r="K91" s="2"/>
      <c r="L91" s="6">
        <f t="shared" si="26"/>
        <v>-274.15999999999985</v>
      </c>
      <c r="M91" s="2"/>
      <c r="N91" s="7">
        <f t="shared" si="27"/>
        <v>-0.1430285577153827</v>
      </c>
      <c r="O91" s="11"/>
      <c r="P91" s="6">
        <v>10392.99</v>
      </c>
      <c r="Q91" s="2"/>
      <c r="R91" s="7">
        <f t="shared" si="28"/>
        <v>5.0240847642856259E-3</v>
      </c>
      <c r="S91" s="2"/>
      <c r="T91" s="6">
        <v>11560.12</v>
      </c>
      <c r="U91" s="2"/>
      <c r="V91" s="7">
        <f t="shared" si="29"/>
        <v>1.1217748156502071E-2</v>
      </c>
      <c r="W91" s="2"/>
      <c r="X91" s="6">
        <f t="shared" si="30"/>
        <v>-1167.130000000001</v>
      </c>
      <c r="Y91" s="2"/>
      <c r="Z91" s="7">
        <f t="shared" si="31"/>
        <v>-0.1009617547222694</v>
      </c>
    </row>
    <row r="92" spans="1:26" s="24" customFormat="1" hidden="1" outlineLevel="2" x14ac:dyDescent="0.3">
      <c r="A92" s="28"/>
      <c r="B92" s="11" t="str">
        <f>CONCATENATE("          ", "6118", " - ", "VACATION")</f>
        <v xml:space="preserve">          6118 - VACATION</v>
      </c>
      <c r="C92" s="11"/>
      <c r="D92" s="6">
        <v>1780</v>
      </c>
      <c r="E92" s="2"/>
      <c r="F92" s="7">
        <f t="shared" si="24"/>
        <v>4.1308968901215774E-3</v>
      </c>
      <c r="G92" s="2"/>
      <c r="H92" s="6">
        <v>1789.38</v>
      </c>
      <c r="I92" s="2"/>
      <c r="J92" s="7">
        <f t="shared" si="25"/>
        <v>8.3361658165490085E-3</v>
      </c>
      <c r="K92" s="2"/>
      <c r="L92" s="6">
        <f t="shared" si="26"/>
        <v>-9.3800000000001091</v>
      </c>
      <c r="M92" s="2"/>
      <c r="N92" s="7">
        <f t="shared" si="27"/>
        <v>-5.2420391420492617E-3</v>
      </c>
      <c r="O92" s="11"/>
      <c r="P92" s="6">
        <v>11130.69</v>
      </c>
      <c r="Q92" s="2"/>
      <c r="R92" s="7">
        <f t="shared" si="28"/>
        <v>5.3806969933567119E-3</v>
      </c>
      <c r="S92" s="2"/>
      <c r="T92" s="6">
        <v>10266.799999999999</v>
      </c>
      <c r="U92" s="2"/>
      <c r="V92" s="7">
        <f t="shared" si="29"/>
        <v>9.9627319416386202E-3</v>
      </c>
      <c r="W92" s="2"/>
      <c r="X92" s="6">
        <f t="shared" si="30"/>
        <v>863.89000000000124</v>
      </c>
      <c r="Y92" s="2"/>
      <c r="Z92" s="7">
        <f t="shared" si="31"/>
        <v>8.4144037090427518E-2</v>
      </c>
    </row>
    <row r="93" spans="1:26" s="24" customFormat="1" hidden="1" outlineLevel="2" x14ac:dyDescent="0.3">
      <c r="A93" s="28"/>
      <c r="B93" s="11" t="str">
        <f>CONCATENATE("          ", "6119", " - ", "SICK LEAVE")</f>
        <v xml:space="preserve">          6119 - SICK LEAVE</v>
      </c>
      <c r="C93" s="11"/>
      <c r="D93" s="6">
        <v>1165.22</v>
      </c>
      <c r="E93" s="2"/>
      <c r="F93" s="7">
        <f t="shared" si="24"/>
        <v>2.7041593675884634E-3</v>
      </c>
      <c r="G93" s="2"/>
      <c r="H93" s="6">
        <v>1336.24</v>
      </c>
      <c r="I93" s="2"/>
      <c r="J93" s="7">
        <f t="shared" si="25"/>
        <v>6.2251272567623687E-3</v>
      </c>
      <c r="K93" s="2"/>
      <c r="L93" s="6">
        <f t="shared" si="26"/>
        <v>-171.01999999999998</v>
      </c>
      <c r="M93" s="2"/>
      <c r="N93" s="7">
        <f t="shared" si="27"/>
        <v>-0.12798599054062143</v>
      </c>
      <c r="O93" s="11"/>
      <c r="P93" s="6">
        <v>7372.33</v>
      </c>
      <c r="Q93" s="2"/>
      <c r="R93" s="7">
        <f t="shared" si="28"/>
        <v>3.5638647617563229E-3</v>
      </c>
      <c r="S93" s="2"/>
      <c r="T93" s="6">
        <v>7804.47</v>
      </c>
      <c r="U93" s="2"/>
      <c r="V93" s="7">
        <f t="shared" si="29"/>
        <v>7.5733278681342159E-3</v>
      </c>
      <c r="W93" s="2"/>
      <c r="X93" s="6">
        <f t="shared" si="30"/>
        <v>-432.14000000000033</v>
      </c>
      <c r="Y93" s="2"/>
      <c r="Z93" s="7">
        <f t="shared" si="31"/>
        <v>-5.5370832356329169E-2</v>
      </c>
    </row>
    <row r="94" spans="1:26" s="24" customFormat="1" hidden="1" outlineLevel="2" x14ac:dyDescent="0.3">
      <c r="A94" s="28"/>
      <c r="B94" s="11" t="str">
        <f>CONCATENATE("          ", "6156", " - ", "EMPLOYEE MEALS")</f>
        <v xml:space="preserve">          6156 - EMPLOYEE MEALS</v>
      </c>
      <c r="C94" s="11"/>
      <c r="D94" s="6">
        <v>794.47</v>
      </c>
      <c r="E94" s="2"/>
      <c r="F94" s="7">
        <f t="shared" si="24"/>
        <v>1.8437492428622978E-3</v>
      </c>
      <c r="G94" s="2"/>
      <c r="H94" s="6">
        <v>412.53</v>
      </c>
      <c r="I94" s="2"/>
      <c r="J94" s="7">
        <f t="shared" si="25"/>
        <v>1.9218491792134494E-3</v>
      </c>
      <c r="K94" s="2"/>
      <c r="L94" s="6">
        <f t="shared" si="26"/>
        <v>381.94000000000005</v>
      </c>
      <c r="M94" s="2"/>
      <c r="N94" s="7">
        <f t="shared" si="27"/>
        <v>0.92584781712845143</v>
      </c>
      <c r="O94" s="11"/>
      <c r="P94" s="6">
        <v>4572.58</v>
      </c>
      <c r="Q94" s="2"/>
      <c r="R94" s="7">
        <f t="shared" si="28"/>
        <v>2.2104350635839317E-3</v>
      </c>
      <c r="S94" s="2"/>
      <c r="T94" s="6">
        <v>2933.61</v>
      </c>
      <c r="U94" s="2"/>
      <c r="V94" s="7">
        <f t="shared" si="29"/>
        <v>2.8467263462140565E-3</v>
      </c>
      <c r="W94" s="2"/>
      <c r="X94" s="6">
        <f t="shared" si="30"/>
        <v>1638.9699999999998</v>
      </c>
      <c r="Y94" s="2"/>
      <c r="Z94" s="7">
        <f t="shared" si="31"/>
        <v>0.55868707837783471</v>
      </c>
    </row>
    <row r="95" spans="1:26" s="29" customFormat="1" outlineLevel="1" collapsed="1" x14ac:dyDescent="0.3">
      <c r="A95" s="27"/>
      <c r="B95" s="14" t="str">
        <f>CONCATENATE("     ","*Payroll                                          ")</f>
        <v xml:space="preserve">     *Payroll                                          </v>
      </c>
      <c r="C95" s="14"/>
      <c r="D95" s="1">
        <f>SUM(OSRRefD22_1x_0)</f>
        <v>59611.81</v>
      </c>
      <c r="E95" s="1"/>
      <c r="F95" s="5">
        <f t="shared" ref="F95:F100" si="32">IF(D$12=0,0,D95/D$12)</f>
        <v>0.13834283176602155</v>
      </c>
      <c r="G95" s="1"/>
      <c r="H95" s="1">
        <f>SUM(OSRRefH22_1x_0)</f>
        <v>37554.350000000006</v>
      </c>
      <c r="I95" s="1"/>
      <c r="J95" s="5">
        <f t="shared" ref="J95:J100" si="33">IF(H$12=0,0,H95/H$12)</f>
        <v>0.17495405600415637</v>
      </c>
      <c r="K95" s="1"/>
      <c r="L95" s="1">
        <f t="shared" ref="L95:L100" si="34">+D95-H95</f>
        <v>22057.459999999992</v>
      </c>
      <c r="M95" s="1"/>
      <c r="N95" s="5">
        <f t="shared" ref="N95:N100" si="35">IF(H95=0,0,L95/H95)</f>
        <v>0.58734767077582195</v>
      </c>
      <c r="O95" s="14"/>
      <c r="P95" s="1">
        <f>SUM(OSRRefP22_1x_0)</f>
        <v>363543.18</v>
      </c>
      <c r="Q95" s="1"/>
      <c r="R95" s="5">
        <f t="shared" ref="R95:R100" si="36">IF(P$12=0,0,P95/P$12)</f>
        <v>0.17574073984464017</v>
      </c>
      <c r="S95" s="1"/>
      <c r="T95" s="1">
        <f>SUM(OSRRefT22_1x_0)</f>
        <v>221213.85000000003</v>
      </c>
      <c r="U95" s="1"/>
      <c r="V95" s="5">
        <f t="shared" ref="V95:V100" si="37">IF(T$12=0,0,T95/T$12)</f>
        <v>0.21466224035998119</v>
      </c>
      <c r="W95" s="1"/>
      <c r="X95" s="1">
        <f t="shared" ref="X95:X100" si="38">+P95-T95</f>
        <v>142329.32999999996</v>
      </c>
      <c r="Y95" s="1"/>
      <c r="Z95" s="5">
        <f t="shared" ref="Z95:Z100" si="39">IF(T95=0,0,X95/T95)</f>
        <v>0.64340153204693074</v>
      </c>
    </row>
    <row r="96" spans="1:26" s="24" customFormat="1" hidden="1" outlineLevel="2" x14ac:dyDescent="0.3">
      <c r="A96" s="28"/>
      <c r="B96" s="11" t="str">
        <f>CONCATENATE("          ", "6002", " - ", "STAFF SALARIES")</f>
        <v xml:space="preserve">          6002 - STAFF SALARIES</v>
      </c>
      <c r="C96" s="11"/>
      <c r="D96" s="6">
        <v>16571.2</v>
      </c>
      <c r="E96" s="2"/>
      <c r="F96" s="7">
        <f t="shared" si="32"/>
        <v>3.8457257609877914E-2</v>
      </c>
      <c r="G96" s="2"/>
      <c r="H96" s="6">
        <v>18940.03</v>
      </c>
      <c r="I96" s="2"/>
      <c r="J96" s="7">
        <f t="shared" si="33"/>
        <v>8.8235718880513195E-2</v>
      </c>
      <c r="K96" s="2"/>
      <c r="L96" s="6">
        <f t="shared" si="34"/>
        <v>-2368.8299999999981</v>
      </c>
      <c r="M96" s="2"/>
      <c r="N96" s="7">
        <f t="shared" si="35"/>
        <v>-0.1250700236483257</v>
      </c>
      <c r="O96" s="11"/>
      <c r="P96" s="6">
        <v>99853.95</v>
      </c>
      <c r="Q96" s="2"/>
      <c r="R96" s="7">
        <f t="shared" si="36"/>
        <v>4.827048894002002E-2</v>
      </c>
      <c r="S96" s="2"/>
      <c r="T96" s="6">
        <v>103693.19</v>
      </c>
      <c r="U96" s="2"/>
      <c r="V96" s="7">
        <f t="shared" si="37"/>
        <v>0.1006221467393348</v>
      </c>
      <c r="W96" s="2"/>
      <c r="X96" s="6">
        <f t="shared" si="38"/>
        <v>-3839.2400000000052</v>
      </c>
      <c r="Y96" s="2"/>
      <c r="Z96" s="7">
        <f t="shared" si="39"/>
        <v>-3.7024996530630461E-2</v>
      </c>
    </row>
    <row r="97" spans="1:26" s="24" customFormat="1" hidden="1" outlineLevel="2" x14ac:dyDescent="0.3">
      <c r="A97" s="28"/>
      <c r="B97" s="11" t="str">
        <f>CONCATENATE("          ", "6004", " - ", "STAFF HOURLY")</f>
        <v xml:space="preserve">          6004 - STAFF HOURLY</v>
      </c>
      <c r="C97" s="11"/>
      <c r="D97" s="6">
        <v>7713.05</v>
      </c>
      <c r="E97" s="2"/>
      <c r="F97" s="7">
        <f t="shared" si="32"/>
        <v>1.7899895650759681E-2</v>
      </c>
      <c r="G97" s="2"/>
      <c r="H97" s="6">
        <v>3854.25</v>
      </c>
      <c r="I97" s="2"/>
      <c r="J97" s="7">
        <f t="shared" si="33"/>
        <v>1.7955754003305065E-2</v>
      </c>
      <c r="K97" s="2"/>
      <c r="L97" s="6">
        <f t="shared" si="34"/>
        <v>3858.8</v>
      </c>
      <c r="M97" s="2"/>
      <c r="N97" s="7">
        <f t="shared" si="35"/>
        <v>1.0011805150158917</v>
      </c>
      <c r="O97" s="11"/>
      <c r="P97" s="6">
        <v>53504.57</v>
      </c>
      <c r="Q97" s="2"/>
      <c r="R97" s="7">
        <f t="shared" si="36"/>
        <v>2.5864692928277016E-2</v>
      </c>
      <c r="S97" s="2"/>
      <c r="T97" s="6">
        <v>41891.75</v>
      </c>
      <c r="U97" s="2"/>
      <c r="V97" s="7">
        <f t="shared" si="37"/>
        <v>4.0651057370956839E-2</v>
      </c>
      <c r="W97" s="2"/>
      <c r="X97" s="6">
        <f t="shared" si="38"/>
        <v>11612.82</v>
      </c>
      <c r="Y97" s="2"/>
      <c r="Z97" s="7">
        <f t="shared" si="39"/>
        <v>0.27721019055064539</v>
      </c>
    </row>
    <row r="98" spans="1:26" s="24" customFormat="1" hidden="1" outlineLevel="2" x14ac:dyDescent="0.3">
      <c r="A98" s="28"/>
      <c r="B98" s="11" t="str">
        <f>CONCATENATE("          ", "6005", " - ", "TEMPORARY WAGES-HOURLY")</f>
        <v xml:space="preserve">          6005 - TEMPORARY WAGES-HOURLY</v>
      </c>
      <c r="C98" s="11"/>
      <c r="D98" s="6">
        <v>2228.7399999999998</v>
      </c>
      <c r="E98" s="2"/>
      <c r="F98" s="7">
        <f t="shared" si="32"/>
        <v>5.1723006375784071E-3</v>
      </c>
      <c r="G98" s="2"/>
      <c r="H98" s="6">
        <v>5638.39</v>
      </c>
      <c r="I98" s="2"/>
      <c r="J98" s="7">
        <f t="shared" si="33"/>
        <v>2.6267508286876889E-2</v>
      </c>
      <c r="K98" s="2"/>
      <c r="L98" s="6">
        <f t="shared" si="34"/>
        <v>-3409.6500000000005</v>
      </c>
      <c r="M98" s="2"/>
      <c r="N98" s="7">
        <f t="shared" si="35"/>
        <v>-0.60472049645377501</v>
      </c>
      <c r="O98" s="11"/>
      <c r="P98" s="6">
        <v>20076.650000000001</v>
      </c>
      <c r="Q98" s="2"/>
      <c r="R98" s="7">
        <f t="shared" si="36"/>
        <v>9.7052716670462513E-3</v>
      </c>
      <c r="S98" s="2"/>
      <c r="T98" s="6">
        <v>31525.33</v>
      </c>
      <c r="U98" s="2"/>
      <c r="V98" s="7">
        <f t="shared" si="37"/>
        <v>3.0591655838401281E-2</v>
      </c>
      <c r="W98" s="2"/>
      <c r="X98" s="6">
        <f t="shared" si="38"/>
        <v>-11448.68</v>
      </c>
      <c r="Y98" s="2"/>
      <c r="Z98" s="7">
        <f t="shared" si="39"/>
        <v>-0.36315813347552584</v>
      </c>
    </row>
    <row r="99" spans="1:26" s="24" customFormat="1" hidden="1" outlineLevel="2" x14ac:dyDescent="0.3">
      <c r="A99" s="28"/>
      <c r="B99" s="11" t="str">
        <f>CONCATENATE("          ", "6007", " - ", "STUDENT HOURLY")</f>
        <v xml:space="preserve">          6007 - STUDENT HOURLY</v>
      </c>
      <c r="C99" s="11"/>
      <c r="D99" s="6">
        <v>28181.46</v>
      </c>
      <c r="E99" s="2"/>
      <c r="F99" s="7">
        <f t="shared" si="32"/>
        <v>6.5401519928699789E-2</v>
      </c>
      <c r="G99" s="2"/>
      <c r="H99" s="6">
        <v>8038.52</v>
      </c>
      <c r="I99" s="2"/>
      <c r="J99" s="7">
        <f t="shared" si="33"/>
        <v>3.7448968715222894E-2</v>
      </c>
      <c r="K99" s="2"/>
      <c r="L99" s="6">
        <f t="shared" si="34"/>
        <v>20142.939999999999</v>
      </c>
      <c r="M99" s="2"/>
      <c r="N99" s="7">
        <f t="shared" si="35"/>
        <v>2.5058020630663354</v>
      </c>
      <c r="O99" s="11"/>
      <c r="P99" s="6">
        <v>150145.07999999999</v>
      </c>
      <c r="Q99" s="2"/>
      <c r="R99" s="7">
        <f t="shared" si="36"/>
        <v>7.2581769910338254E-2</v>
      </c>
      <c r="S99" s="2"/>
      <c r="T99" s="6">
        <v>39173.129999999997</v>
      </c>
      <c r="U99" s="2"/>
      <c r="V99" s="7">
        <f t="shared" si="37"/>
        <v>3.801295374459053E-2</v>
      </c>
      <c r="W99" s="2"/>
      <c r="X99" s="6">
        <f t="shared" si="38"/>
        <v>110971.94999999998</v>
      </c>
      <c r="Y99" s="2"/>
      <c r="Z99" s="7">
        <f t="shared" si="39"/>
        <v>2.8328589009864666</v>
      </c>
    </row>
    <row r="100" spans="1:26" s="24" customFormat="1" hidden="1" outlineLevel="2" x14ac:dyDescent="0.3">
      <c r="A100" s="28"/>
      <c r="B100" s="11" t="str">
        <f>CONCATENATE("          ", "6008", " - ", "STUDENT HOURLY-FICA EXEMPT")</f>
        <v xml:space="preserve">          6008 - STUDENT HOURLY-FICA EXEMPT</v>
      </c>
      <c r="C100" s="11"/>
      <c r="D100" s="6">
        <v>4917.3599999999997</v>
      </c>
      <c r="E100" s="2"/>
      <c r="F100" s="7">
        <f t="shared" si="32"/>
        <v>1.1411857939105752E-2</v>
      </c>
      <c r="G100" s="2"/>
      <c r="H100" s="6">
        <v>1083.1600000000001</v>
      </c>
      <c r="I100" s="2"/>
      <c r="J100" s="7">
        <f t="shared" si="33"/>
        <v>5.0461061182382862E-3</v>
      </c>
      <c r="K100" s="2"/>
      <c r="L100" s="6">
        <f t="shared" si="34"/>
        <v>3834.2</v>
      </c>
      <c r="M100" s="2"/>
      <c r="N100" s="7">
        <f t="shared" si="35"/>
        <v>3.5398279109272863</v>
      </c>
      <c r="O100" s="11"/>
      <c r="P100" s="6">
        <v>39962.93</v>
      </c>
      <c r="Q100" s="2"/>
      <c r="R100" s="7">
        <f t="shared" si="36"/>
        <v>1.931851639895862E-2</v>
      </c>
      <c r="S100" s="2"/>
      <c r="T100" s="6">
        <v>4930.45</v>
      </c>
      <c r="U100" s="2"/>
      <c r="V100" s="7">
        <f t="shared" si="37"/>
        <v>4.7844266666977183E-3</v>
      </c>
      <c r="W100" s="2"/>
      <c r="X100" s="6">
        <f t="shared" si="38"/>
        <v>35032.480000000003</v>
      </c>
      <c r="Y100" s="2"/>
      <c r="Z100" s="7">
        <f t="shared" si="39"/>
        <v>7.1053311563853203</v>
      </c>
    </row>
    <row r="101" spans="1:26" s="29" customFormat="1" outlineLevel="1" collapsed="1" x14ac:dyDescent="0.3">
      <c r="A101" s="27"/>
      <c r="B101" s="14" t="str">
        <f>CONCATENATE("     ","Advertising/Promo                                 ")</f>
        <v xml:space="preserve">     Advertising/Promo                                 </v>
      </c>
      <c r="C101" s="14"/>
      <c r="D101" s="1">
        <f>SUM(OSRRefD22_2x_0)</f>
        <v>158.76</v>
      </c>
      <c r="E101" s="1"/>
      <c r="F101" s="5">
        <f t="shared" ref="F101:F109" si="40">IF(D$12=0,0,D101/D$12)</f>
        <v>3.6843887094140543E-4</v>
      </c>
      <c r="G101" s="1"/>
      <c r="H101" s="1">
        <f>SUM(OSRRefH22_2x_0)</f>
        <v>273.42</v>
      </c>
      <c r="I101" s="1"/>
      <c r="J101" s="5">
        <f t="shared" ref="J101:J109" si="41">IF(H$12=0,0,H101/H$12)</f>
        <v>1.2737788829431591E-3</v>
      </c>
      <c r="K101" s="1"/>
      <c r="L101" s="1">
        <f t="shared" ref="L101:L109" si="42">+D101-H101</f>
        <v>-114.66000000000003</v>
      </c>
      <c r="M101" s="1"/>
      <c r="N101" s="5">
        <f t="shared" ref="N101:N109" si="43">IF(H101=0,0,L101/H101)</f>
        <v>-0.41935483870967749</v>
      </c>
      <c r="O101" s="14"/>
      <c r="P101" s="1">
        <f>SUM(OSRRefP22_2x_0)</f>
        <v>3311.56</v>
      </c>
      <c r="Q101" s="1"/>
      <c r="R101" s="5">
        <f t="shared" ref="R101:R109" si="44">IF(P$12=0,0,P101/P$12)</f>
        <v>1.6008442365496075E-3</v>
      </c>
      <c r="S101" s="1"/>
      <c r="T101" s="1">
        <f>SUM(OSRRefT22_2x_0)</f>
        <v>13047.35</v>
      </c>
      <c r="U101" s="1"/>
      <c r="V101" s="5">
        <f t="shared" ref="V101:V109" si="45">IF(T$12=0,0,T101/T$12)</f>
        <v>1.2660931409858833E-2</v>
      </c>
      <c r="W101" s="1"/>
      <c r="X101" s="1">
        <f t="shared" ref="X101:X109" si="46">+P101-T101</f>
        <v>-9735.7900000000009</v>
      </c>
      <c r="Y101" s="1"/>
      <c r="Z101" s="5">
        <f t="shared" ref="Z101:Z109" si="47">IF(T101=0,0,X101/T101)</f>
        <v>-0.74618907287686775</v>
      </c>
    </row>
    <row r="102" spans="1:26" s="24" customFormat="1" hidden="1" outlineLevel="2" x14ac:dyDescent="0.3">
      <c r="A102" s="28"/>
      <c r="B102" s="11" t="str">
        <f>CONCATENATE("          ", "6362", " - ", "ADVERTISING EXPENSE")</f>
        <v xml:space="preserve">          6362 - ADVERTISING EXPENSE</v>
      </c>
      <c r="C102" s="11"/>
      <c r="D102" s="6">
        <v>158.76</v>
      </c>
      <c r="E102" s="2"/>
      <c r="F102" s="7">
        <f t="shared" si="40"/>
        <v>3.6843887094140543E-4</v>
      </c>
      <c r="G102" s="2"/>
      <c r="H102" s="6">
        <v>273.42</v>
      </c>
      <c r="I102" s="2"/>
      <c r="J102" s="7">
        <f t="shared" si="41"/>
        <v>1.2737788829431591E-3</v>
      </c>
      <c r="K102" s="2"/>
      <c r="L102" s="6">
        <f t="shared" si="42"/>
        <v>-114.66000000000003</v>
      </c>
      <c r="M102" s="2"/>
      <c r="N102" s="7">
        <f t="shared" si="43"/>
        <v>-0.41935483870967749</v>
      </c>
      <c r="O102" s="11"/>
      <c r="P102" s="6">
        <v>3311.56</v>
      </c>
      <c r="Q102" s="2"/>
      <c r="R102" s="7">
        <f t="shared" si="44"/>
        <v>1.6008442365496075E-3</v>
      </c>
      <c r="S102" s="2"/>
      <c r="T102" s="6">
        <v>13047.35</v>
      </c>
      <c r="U102" s="2"/>
      <c r="V102" s="7">
        <f t="shared" si="45"/>
        <v>1.2660931409858833E-2</v>
      </c>
      <c r="W102" s="2"/>
      <c r="X102" s="6">
        <f t="shared" si="46"/>
        <v>-9735.7900000000009</v>
      </c>
      <c r="Y102" s="2"/>
      <c r="Z102" s="7">
        <f t="shared" si="47"/>
        <v>-0.74618907287686775</v>
      </c>
    </row>
    <row r="103" spans="1:26" s="29" customFormat="1" outlineLevel="1" collapsed="1" x14ac:dyDescent="0.3">
      <c r="A103" s="27"/>
      <c r="B103" s="14" t="str">
        <f>CONCATENATE("     ","Bad Debts/Over/Short                              ")</f>
        <v xml:space="preserve">     Bad Debts/Over/Short                              </v>
      </c>
      <c r="C103" s="14"/>
      <c r="D103" s="1">
        <f>SUM(OSRRefD22_3x_0)</f>
        <v>-1.01</v>
      </c>
      <c r="E103" s="1"/>
      <c r="F103" s="5">
        <f t="shared" si="40"/>
        <v>-2.3439358758555019E-6</v>
      </c>
      <c r="G103" s="1"/>
      <c r="H103" s="1">
        <f>SUM(OSRRefH22_3x_0)</f>
        <v>-0.38</v>
      </c>
      <c r="I103" s="1"/>
      <c r="J103" s="5">
        <f t="shared" si="41"/>
        <v>-1.77030200979592E-6</v>
      </c>
      <c r="K103" s="1"/>
      <c r="L103" s="1">
        <f t="shared" si="42"/>
        <v>-0.63</v>
      </c>
      <c r="M103" s="1"/>
      <c r="N103" s="5">
        <f t="shared" si="43"/>
        <v>1.6578947368421053</v>
      </c>
      <c r="O103" s="14"/>
      <c r="P103" s="1">
        <f>SUM(OSRRefP22_3x_0)</f>
        <v>-10.029999999999999</v>
      </c>
      <c r="Q103" s="1"/>
      <c r="R103" s="5">
        <f t="shared" si="44"/>
        <v>-4.8486114376887516E-6</v>
      </c>
      <c r="S103" s="1"/>
      <c r="T103" s="1">
        <f>SUM(OSRRefT22_3x_0)</f>
        <v>-1.39</v>
      </c>
      <c r="U103" s="1"/>
      <c r="V103" s="5">
        <f t="shared" si="45"/>
        <v>-1.3488328786844667E-6</v>
      </c>
      <c r="W103" s="1"/>
      <c r="X103" s="1">
        <f t="shared" si="46"/>
        <v>-8.6399999999999988</v>
      </c>
      <c r="Y103" s="1"/>
      <c r="Z103" s="5">
        <f t="shared" si="47"/>
        <v>6.2158273381294959</v>
      </c>
    </row>
    <row r="104" spans="1:26" s="24" customFormat="1" hidden="1" outlineLevel="2" x14ac:dyDescent="0.3">
      <c r="A104" s="28"/>
      <c r="B104" s="11" t="str">
        <f>CONCATENATE("          ", "6272", " - ", "CASH (OVER/SHORT)")</f>
        <v xml:space="preserve">          6272 - CASH (OVER/SHORT)</v>
      </c>
      <c r="C104" s="11"/>
      <c r="D104" s="6">
        <v>-1.01</v>
      </c>
      <c r="E104" s="2"/>
      <c r="F104" s="7">
        <f t="shared" si="40"/>
        <v>-2.3439358758555019E-6</v>
      </c>
      <c r="G104" s="2"/>
      <c r="H104" s="6">
        <v>-0.38</v>
      </c>
      <c r="I104" s="2"/>
      <c r="J104" s="7">
        <f t="shared" si="41"/>
        <v>-1.77030200979592E-6</v>
      </c>
      <c r="K104" s="2"/>
      <c r="L104" s="6">
        <f t="shared" si="42"/>
        <v>-0.63</v>
      </c>
      <c r="M104" s="2"/>
      <c r="N104" s="7">
        <f t="shared" si="43"/>
        <v>1.6578947368421053</v>
      </c>
      <c r="O104" s="11"/>
      <c r="P104" s="6">
        <v>-10.029999999999999</v>
      </c>
      <c r="Q104" s="2"/>
      <c r="R104" s="7">
        <f t="shared" si="44"/>
        <v>-4.8486114376887516E-6</v>
      </c>
      <c r="S104" s="2"/>
      <c r="T104" s="6">
        <v>-1.39</v>
      </c>
      <c r="U104" s="2"/>
      <c r="V104" s="7">
        <f t="shared" si="45"/>
        <v>-1.3488328786844667E-6</v>
      </c>
      <c r="W104" s="2"/>
      <c r="X104" s="6">
        <f t="shared" si="46"/>
        <v>-8.6399999999999988</v>
      </c>
      <c r="Y104" s="2"/>
      <c r="Z104" s="7">
        <f t="shared" si="47"/>
        <v>6.2158273381294959</v>
      </c>
    </row>
    <row r="105" spans="1:26" s="29" customFormat="1" outlineLevel="1" collapsed="1" x14ac:dyDescent="0.3">
      <c r="A105" s="27"/>
      <c r="B105" s="14" t="str">
        <f>CONCATENATE("     ","Bank/card Fees                                    ")</f>
        <v xml:space="preserve">     Bank/card Fees                                    </v>
      </c>
      <c r="C105" s="14"/>
      <c r="D105" s="1">
        <f>SUM(OSRRefD22_4x_0)</f>
        <v>1000.14</v>
      </c>
      <c r="E105" s="1"/>
      <c r="F105" s="5">
        <f t="shared" si="40"/>
        <v>2.3210534919585364E-3</v>
      </c>
      <c r="G105" s="1"/>
      <c r="H105" s="1">
        <f>SUM(OSRRefH22_4x_0)</f>
        <v>641.35</v>
      </c>
      <c r="I105" s="1"/>
      <c r="J105" s="5">
        <f t="shared" si="41"/>
        <v>2.9878505104805613E-3</v>
      </c>
      <c r="K105" s="1"/>
      <c r="L105" s="1">
        <f t="shared" si="42"/>
        <v>358.78999999999996</v>
      </c>
      <c r="M105" s="1"/>
      <c r="N105" s="5">
        <f t="shared" si="43"/>
        <v>0.55942932875964757</v>
      </c>
      <c r="O105" s="14"/>
      <c r="P105" s="1">
        <f>SUM(OSRRefP22_4x_0)</f>
        <v>3474.58</v>
      </c>
      <c r="Q105" s="1"/>
      <c r="R105" s="5">
        <f t="shared" si="44"/>
        <v>1.6796498832666585E-3</v>
      </c>
      <c r="S105" s="1"/>
      <c r="T105" s="1">
        <f>SUM(OSRRefT22_4x_0)</f>
        <v>2314.27</v>
      </c>
      <c r="U105" s="1"/>
      <c r="V105" s="5">
        <f t="shared" si="45"/>
        <v>2.2457291123403602E-3</v>
      </c>
      <c r="W105" s="1"/>
      <c r="X105" s="1">
        <f t="shared" si="46"/>
        <v>1160.31</v>
      </c>
      <c r="Y105" s="1"/>
      <c r="Z105" s="5">
        <f t="shared" si="47"/>
        <v>0.5013719228957727</v>
      </c>
    </row>
    <row r="106" spans="1:26" s="24" customFormat="1" hidden="1" outlineLevel="2" x14ac:dyDescent="0.3">
      <c r="A106" s="28"/>
      <c r="B106" s="11" t="str">
        <f>CONCATENATE("          ", "6381", " - ", "BANK/CREDIT CARD FEES")</f>
        <v xml:space="preserve">          6381 - BANK/CREDIT CARD FEES</v>
      </c>
      <c r="C106" s="11"/>
      <c r="D106" s="6">
        <v>1000.14</v>
      </c>
      <c r="E106" s="2"/>
      <c r="F106" s="7">
        <f t="shared" si="40"/>
        <v>2.3210534919585364E-3</v>
      </c>
      <c r="G106" s="2"/>
      <c r="H106" s="6">
        <v>641.35</v>
      </c>
      <c r="I106" s="2"/>
      <c r="J106" s="7">
        <f t="shared" si="41"/>
        <v>2.9878505104805613E-3</v>
      </c>
      <c r="K106" s="2"/>
      <c r="L106" s="6">
        <f t="shared" si="42"/>
        <v>358.78999999999996</v>
      </c>
      <c r="M106" s="2"/>
      <c r="N106" s="7">
        <f t="shared" si="43"/>
        <v>0.55942932875964757</v>
      </c>
      <c r="O106" s="11"/>
      <c r="P106" s="6">
        <v>3474.58</v>
      </c>
      <c r="Q106" s="2"/>
      <c r="R106" s="7">
        <f t="shared" si="44"/>
        <v>1.6796498832666585E-3</v>
      </c>
      <c r="S106" s="2"/>
      <c r="T106" s="6">
        <v>2314.27</v>
      </c>
      <c r="U106" s="2"/>
      <c r="V106" s="7">
        <f t="shared" si="45"/>
        <v>2.2457291123403602E-3</v>
      </c>
      <c r="W106" s="2"/>
      <c r="X106" s="6">
        <f t="shared" si="46"/>
        <v>1160.31</v>
      </c>
      <c r="Y106" s="2"/>
      <c r="Z106" s="7">
        <f t="shared" si="47"/>
        <v>0.5013719228957727</v>
      </c>
    </row>
    <row r="107" spans="1:26" s="29" customFormat="1" outlineLevel="1" collapsed="1" x14ac:dyDescent="0.3">
      <c r="A107" s="27"/>
      <c r="B107" s="14" t="str">
        <f>CONCATENATE("     ","Discounts and Markdowns                           ")</f>
        <v xml:space="preserve">     Discounts and Markdowns                           </v>
      </c>
      <c r="C107" s="14"/>
      <c r="D107" s="1">
        <f>SUM(OSRRefD22_5x_0)</f>
        <v>0</v>
      </c>
      <c r="E107" s="1"/>
      <c r="F107" s="5">
        <f t="shared" si="40"/>
        <v>0</v>
      </c>
      <c r="G107" s="1"/>
      <c r="H107" s="1">
        <f>SUM(OSRRefH22_5x_0)</f>
        <v>0</v>
      </c>
      <c r="I107" s="1"/>
      <c r="J107" s="5">
        <f t="shared" si="41"/>
        <v>0</v>
      </c>
      <c r="K107" s="1"/>
      <c r="L107" s="1">
        <f t="shared" si="42"/>
        <v>0</v>
      </c>
      <c r="M107" s="1"/>
      <c r="N107" s="5">
        <f t="shared" si="43"/>
        <v>0</v>
      </c>
      <c r="O107" s="14"/>
      <c r="P107" s="1">
        <f>SUM(OSRRefP22_5x_0)</f>
        <v>0</v>
      </c>
      <c r="Q107" s="1"/>
      <c r="R107" s="5">
        <f t="shared" si="44"/>
        <v>0</v>
      </c>
      <c r="S107" s="1"/>
      <c r="T107" s="1">
        <f>SUM(OSRRefT22_5x_0)</f>
        <v>0</v>
      </c>
      <c r="U107" s="1"/>
      <c r="V107" s="5">
        <f t="shared" si="45"/>
        <v>0</v>
      </c>
      <c r="W107" s="1"/>
      <c r="X107" s="1">
        <f t="shared" si="46"/>
        <v>0</v>
      </c>
      <c r="Y107" s="1"/>
      <c r="Z107" s="5">
        <f t="shared" si="47"/>
        <v>0</v>
      </c>
    </row>
    <row r="108" spans="1:26" s="24" customFormat="1" hidden="1" outlineLevel="2" x14ac:dyDescent="0.3">
      <c r="A108" s="28"/>
      <c r="B108" s="11" t="str">
        <f>CONCATENATE("          ", "6382", " - ", "DISCOUNTS/MARK DOWNS")</f>
        <v xml:space="preserve">          6382 - DISCOUNTS/MARK DOWNS</v>
      </c>
      <c r="C108" s="11"/>
      <c r="D108" s="6"/>
      <c r="E108" s="2"/>
      <c r="F108" s="7">
        <f t="shared" si="40"/>
        <v>0</v>
      </c>
      <c r="G108" s="2"/>
      <c r="H108" s="6">
        <v>0</v>
      </c>
      <c r="I108" s="2"/>
      <c r="J108" s="7">
        <f t="shared" si="41"/>
        <v>0</v>
      </c>
      <c r="K108" s="2"/>
      <c r="L108" s="6">
        <f t="shared" si="42"/>
        <v>0</v>
      </c>
      <c r="M108" s="2"/>
      <c r="N108" s="7">
        <f t="shared" si="43"/>
        <v>0</v>
      </c>
      <c r="O108" s="11"/>
      <c r="P108" s="6"/>
      <c r="Q108" s="2"/>
      <c r="R108" s="7">
        <f t="shared" si="44"/>
        <v>0</v>
      </c>
      <c r="S108" s="2"/>
      <c r="T108" s="6">
        <v>0</v>
      </c>
      <c r="U108" s="2"/>
      <c r="V108" s="7">
        <f t="shared" si="45"/>
        <v>0</v>
      </c>
      <c r="W108" s="2"/>
      <c r="X108" s="6">
        <f t="shared" si="46"/>
        <v>0</v>
      </c>
      <c r="Y108" s="2"/>
      <c r="Z108" s="7">
        <f t="shared" si="47"/>
        <v>0</v>
      </c>
    </row>
    <row r="109" spans="1:26" s="24" customFormat="1" hidden="1" outlineLevel="2" x14ac:dyDescent="0.3">
      <c r="A109" s="28"/>
      <c r="B109" s="11" t="str">
        <f>CONCATENATE("          ", "9175", " - ", "EARNED DISCOUNTS")</f>
        <v xml:space="preserve">          9175 - EARNED DISCOUNTS</v>
      </c>
      <c r="C109" s="11"/>
      <c r="D109" s="6"/>
      <c r="E109" s="2"/>
      <c r="F109" s="7">
        <f t="shared" si="40"/>
        <v>0</v>
      </c>
      <c r="G109" s="2"/>
      <c r="H109" s="6"/>
      <c r="I109" s="2"/>
      <c r="J109" s="7">
        <f t="shared" si="41"/>
        <v>0</v>
      </c>
      <c r="K109" s="2"/>
      <c r="L109" s="6">
        <f t="shared" si="42"/>
        <v>0</v>
      </c>
      <c r="M109" s="2"/>
      <c r="N109" s="7">
        <f t="shared" si="43"/>
        <v>0</v>
      </c>
      <c r="O109" s="11"/>
      <c r="P109" s="6">
        <v>0</v>
      </c>
      <c r="Q109" s="2"/>
      <c r="R109" s="7">
        <f t="shared" si="44"/>
        <v>0</v>
      </c>
      <c r="S109" s="2"/>
      <c r="T109" s="6"/>
      <c r="U109" s="2"/>
      <c r="V109" s="7">
        <f t="shared" si="45"/>
        <v>0</v>
      </c>
      <c r="W109" s="2"/>
      <c r="X109" s="6">
        <f t="shared" si="46"/>
        <v>0</v>
      </c>
      <c r="Y109" s="2"/>
      <c r="Z109" s="7">
        <f t="shared" si="47"/>
        <v>0</v>
      </c>
    </row>
    <row r="110" spans="1:26" s="29" customFormat="1" outlineLevel="1" collapsed="1" x14ac:dyDescent="0.3">
      <c r="A110" s="27"/>
      <c r="B110" s="14" t="str">
        <f>CONCATENATE("     ","Employees' Appreciation                           ")</f>
        <v xml:space="preserve">     Employees' Appreciation                           </v>
      </c>
      <c r="C110" s="14"/>
      <c r="D110" s="1">
        <f>SUM(OSRRefD22_6x_0)</f>
        <v>0</v>
      </c>
      <c r="E110" s="1"/>
      <c r="F110" s="5">
        <f t="shared" ref="F110:F116" si="48">IF(D$12=0,0,D110/D$12)</f>
        <v>0</v>
      </c>
      <c r="G110" s="1"/>
      <c r="H110" s="1">
        <f>SUM(OSRRefH22_6x_0)</f>
        <v>0</v>
      </c>
      <c r="I110" s="1"/>
      <c r="J110" s="5">
        <f t="shared" ref="J110:J116" si="49">IF(H$12=0,0,H110/H$12)</f>
        <v>0</v>
      </c>
      <c r="K110" s="1"/>
      <c r="L110" s="1">
        <f t="shared" ref="L110:L116" si="50">+D110-H110</f>
        <v>0</v>
      </c>
      <c r="M110" s="1"/>
      <c r="N110" s="5">
        <f t="shared" ref="N110:N116" si="51">IF(H110=0,0,L110/H110)</f>
        <v>0</v>
      </c>
      <c r="O110" s="14"/>
      <c r="P110" s="1">
        <f>SUM(OSRRefP22_6x_0)</f>
        <v>216.44</v>
      </c>
      <c r="Q110" s="1"/>
      <c r="R110" s="5">
        <f t="shared" ref="R110:R116" si="52">IF(P$12=0,0,P110/P$12)</f>
        <v>1.0462945758458161E-4</v>
      </c>
      <c r="S110" s="1"/>
      <c r="T110" s="1">
        <f>SUM(OSRRefT22_6x_0)</f>
        <v>0</v>
      </c>
      <c r="U110" s="1"/>
      <c r="V110" s="5">
        <f t="shared" ref="V110:V116" si="53">IF(T$12=0,0,T110/T$12)</f>
        <v>0</v>
      </c>
      <c r="W110" s="1"/>
      <c r="X110" s="1">
        <f t="shared" ref="X110:X116" si="54">+P110-T110</f>
        <v>216.44</v>
      </c>
      <c r="Y110" s="1"/>
      <c r="Z110" s="5">
        <f t="shared" ref="Z110:Z116" si="55">IF(T110=0,0,X110/T110)</f>
        <v>0</v>
      </c>
    </row>
    <row r="111" spans="1:26" s="24" customFormat="1" hidden="1" outlineLevel="2" x14ac:dyDescent="0.3">
      <c r="A111" s="28"/>
      <c r="B111" s="11" t="str">
        <f>CONCATENATE("          ", "6277", " - ", "EMPLOYEE APPRECIATION")</f>
        <v xml:space="preserve">          6277 - EMPLOYEE APPRECIATION</v>
      </c>
      <c r="C111" s="11"/>
      <c r="D111" s="6"/>
      <c r="E111" s="2"/>
      <c r="F111" s="7">
        <f t="shared" si="48"/>
        <v>0</v>
      </c>
      <c r="G111" s="2"/>
      <c r="H111" s="6"/>
      <c r="I111" s="2"/>
      <c r="J111" s="7">
        <f t="shared" si="49"/>
        <v>0</v>
      </c>
      <c r="K111" s="2"/>
      <c r="L111" s="6">
        <f t="shared" si="50"/>
        <v>0</v>
      </c>
      <c r="M111" s="2"/>
      <c r="N111" s="7">
        <f t="shared" si="51"/>
        <v>0</v>
      </c>
      <c r="O111" s="11"/>
      <c r="P111" s="6">
        <v>216.44</v>
      </c>
      <c r="Q111" s="2"/>
      <c r="R111" s="7">
        <f t="shared" si="52"/>
        <v>1.0462945758458161E-4</v>
      </c>
      <c r="S111" s="2"/>
      <c r="T111" s="6"/>
      <c r="U111" s="2"/>
      <c r="V111" s="7">
        <f t="shared" si="53"/>
        <v>0</v>
      </c>
      <c r="W111" s="2"/>
      <c r="X111" s="6">
        <f t="shared" si="54"/>
        <v>216.44</v>
      </c>
      <c r="Y111" s="2"/>
      <c r="Z111" s="7">
        <f t="shared" si="55"/>
        <v>0</v>
      </c>
    </row>
    <row r="112" spans="1:26" s="29" customFormat="1" outlineLevel="1" collapsed="1" x14ac:dyDescent="0.3">
      <c r="A112" s="27"/>
      <c r="B112" s="14" t="str">
        <f>CONCATENATE("     ","Equipment Rental                                  ")</f>
        <v xml:space="preserve">     Equipment Rental                                  </v>
      </c>
      <c r="C112" s="14"/>
      <c r="D112" s="1">
        <f>SUM(OSRRefD22_7x_0)</f>
        <v>118.91</v>
      </c>
      <c r="E112" s="1"/>
      <c r="F112" s="5">
        <f t="shared" si="48"/>
        <v>2.759578366316611E-4</v>
      </c>
      <c r="G112" s="1"/>
      <c r="H112" s="1">
        <f>SUM(OSRRefH22_7x_0)</f>
        <v>0</v>
      </c>
      <c r="I112" s="1"/>
      <c r="J112" s="5">
        <f t="shared" si="49"/>
        <v>0</v>
      </c>
      <c r="K112" s="1"/>
      <c r="L112" s="1">
        <f t="shared" si="50"/>
        <v>118.91</v>
      </c>
      <c r="M112" s="1"/>
      <c r="N112" s="5">
        <f t="shared" si="51"/>
        <v>0</v>
      </c>
      <c r="O112" s="14"/>
      <c r="P112" s="1">
        <f>SUM(OSRRefP22_7x_0)</f>
        <v>118.91</v>
      </c>
      <c r="Q112" s="1"/>
      <c r="R112" s="5">
        <f t="shared" si="52"/>
        <v>5.7482391431263165E-5</v>
      </c>
      <c r="S112" s="1"/>
      <c r="T112" s="1">
        <f>SUM(OSRRefT22_7x_0)</f>
        <v>0</v>
      </c>
      <c r="U112" s="1"/>
      <c r="V112" s="5">
        <f t="shared" si="53"/>
        <v>0</v>
      </c>
      <c r="W112" s="1"/>
      <c r="X112" s="1">
        <f t="shared" si="54"/>
        <v>118.91</v>
      </c>
      <c r="Y112" s="1"/>
      <c r="Z112" s="5">
        <f t="shared" si="55"/>
        <v>0</v>
      </c>
    </row>
    <row r="113" spans="1:26" s="24" customFormat="1" hidden="1" outlineLevel="2" x14ac:dyDescent="0.3">
      <c r="A113" s="28"/>
      <c r="B113" s="11" t="str">
        <f>CONCATENATE("          ", "6351", " - ", "EQUIPMENT RENTAL")</f>
        <v xml:space="preserve">          6351 - EQUIPMENT RENTAL</v>
      </c>
      <c r="C113" s="11"/>
      <c r="D113" s="6">
        <v>118.91</v>
      </c>
      <c r="E113" s="2"/>
      <c r="F113" s="7">
        <f t="shared" si="48"/>
        <v>2.759578366316611E-4</v>
      </c>
      <c r="G113" s="2"/>
      <c r="H113" s="6"/>
      <c r="I113" s="2"/>
      <c r="J113" s="7">
        <f t="shared" si="49"/>
        <v>0</v>
      </c>
      <c r="K113" s="2"/>
      <c r="L113" s="6">
        <f t="shared" si="50"/>
        <v>118.91</v>
      </c>
      <c r="M113" s="2"/>
      <c r="N113" s="7">
        <f t="shared" si="51"/>
        <v>0</v>
      </c>
      <c r="O113" s="11"/>
      <c r="P113" s="6">
        <v>118.91</v>
      </c>
      <c r="Q113" s="2"/>
      <c r="R113" s="7">
        <f t="shared" si="52"/>
        <v>5.7482391431263165E-5</v>
      </c>
      <c r="S113" s="2"/>
      <c r="T113" s="6"/>
      <c r="U113" s="2"/>
      <c r="V113" s="7">
        <f t="shared" si="53"/>
        <v>0</v>
      </c>
      <c r="W113" s="2"/>
      <c r="X113" s="6">
        <f t="shared" si="54"/>
        <v>118.91</v>
      </c>
      <c r="Y113" s="2"/>
      <c r="Z113" s="7">
        <f t="shared" si="55"/>
        <v>0</v>
      </c>
    </row>
    <row r="114" spans="1:26" s="29" customFormat="1" outlineLevel="1" collapsed="1" x14ac:dyDescent="0.3">
      <c r="A114" s="27"/>
      <c r="B114" s="14" t="str">
        <f>CONCATENATE("     ","Freight out/Postage                               ")</f>
        <v xml:space="preserve">     Freight out/Postage                               </v>
      </c>
      <c r="C114" s="14"/>
      <c r="D114" s="1">
        <f>SUM(OSRRefD22_8x_0)</f>
        <v>0</v>
      </c>
      <c r="E114" s="1"/>
      <c r="F114" s="5">
        <f t="shared" si="48"/>
        <v>0</v>
      </c>
      <c r="G114" s="1"/>
      <c r="H114" s="1">
        <f>SUM(OSRRefH22_8x_0)</f>
        <v>15.280000000000001</v>
      </c>
      <c r="I114" s="1"/>
      <c r="J114" s="5">
        <f t="shared" si="49"/>
        <v>7.1184775551793835E-5</v>
      </c>
      <c r="K114" s="1"/>
      <c r="L114" s="1">
        <f t="shared" si="50"/>
        <v>-15.280000000000001</v>
      </c>
      <c r="M114" s="1"/>
      <c r="N114" s="5">
        <f t="shared" si="51"/>
        <v>-1</v>
      </c>
      <c r="O114" s="14"/>
      <c r="P114" s="1">
        <f>SUM(OSRRefP22_8x_0)</f>
        <v>929.29</v>
      </c>
      <c r="Q114" s="1"/>
      <c r="R114" s="5">
        <f t="shared" si="52"/>
        <v>4.4922892551642877E-4</v>
      </c>
      <c r="S114" s="1"/>
      <c r="T114" s="1">
        <f>SUM(OSRRefT22_8x_0)</f>
        <v>107.24</v>
      </c>
      <c r="U114" s="1"/>
      <c r="V114" s="5">
        <f t="shared" si="53"/>
        <v>1.0406391216555554E-4</v>
      </c>
      <c r="W114" s="1"/>
      <c r="X114" s="1">
        <f t="shared" si="54"/>
        <v>822.05</v>
      </c>
      <c r="Y114" s="1"/>
      <c r="Z114" s="5">
        <f t="shared" si="55"/>
        <v>7.6655165982842224</v>
      </c>
    </row>
    <row r="115" spans="1:26" s="24" customFormat="1" hidden="1" outlineLevel="2" x14ac:dyDescent="0.3">
      <c r="A115" s="28"/>
      <c r="B115" s="11" t="str">
        <f>CONCATENATE("          ", "6305", " - ", "FREIGHT OUT")</f>
        <v xml:space="preserve">          6305 - FREIGHT OUT</v>
      </c>
      <c r="C115" s="11"/>
      <c r="D115" s="6"/>
      <c r="E115" s="2"/>
      <c r="F115" s="7">
        <f t="shared" si="48"/>
        <v>0</v>
      </c>
      <c r="G115" s="2"/>
      <c r="H115" s="6">
        <v>21.28</v>
      </c>
      <c r="I115" s="2"/>
      <c r="J115" s="7">
        <f t="shared" si="49"/>
        <v>9.9136912548571519E-5</v>
      </c>
      <c r="K115" s="2"/>
      <c r="L115" s="6">
        <f t="shared" si="50"/>
        <v>-21.28</v>
      </c>
      <c r="M115" s="2"/>
      <c r="N115" s="7">
        <f t="shared" si="51"/>
        <v>-1</v>
      </c>
      <c r="O115" s="11"/>
      <c r="P115" s="6">
        <v>893.87</v>
      </c>
      <c r="Q115" s="2"/>
      <c r="R115" s="7">
        <f t="shared" si="52"/>
        <v>4.3210651104754188E-4</v>
      </c>
      <c r="S115" s="2"/>
      <c r="T115" s="6">
        <v>113.24</v>
      </c>
      <c r="U115" s="2"/>
      <c r="V115" s="7">
        <f t="shared" si="53"/>
        <v>1.0988621236131583E-4</v>
      </c>
      <c r="W115" s="2"/>
      <c r="X115" s="6">
        <f t="shared" si="54"/>
        <v>780.63</v>
      </c>
      <c r="Y115" s="2"/>
      <c r="Z115" s="7">
        <f t="shared" si="55"/>
        <v>6.8935888378664787</v>
      </c>
    </row>
    <row r="116" spans="1:26" s="24" customFormat="1" hidden="1" outlineLevel="2" x14ac:dyDescent="0.3">
      <c r="A116" s="28"/>
      <c r="B116" s="11" t="str">
        <f>CONCATENATE("          ", "6307", " - ", "POSTAGE")</f>
        <v xml:space="preserve">          6307 - POSTAGE</v>
      </c>
      <c r="C116" s="11"/>
      <c r="D116" s="6"/>
      <c r="E116" s="2"/>
      <c r="F116" s="7">
        <f t="shared" si="48"/>
        <v>0</v>
      </c>
      <c r="G116" s="2"/>
      <c r="H116" s="6">
        <v>-6</v>
      </c>
      <c r="I116" s="2"/>
      <c r="J116" s="7">
        <f t="shared" si="49"/>
        <v>-2.7952136996777684E-5</v>
      </c>
      <c r="K116" s="2"/>
      <c r="L116" s="6">
        <f t="shared" si="50"/>
        <v>6</v>
      </c>
      <c r="M116" s="2"/>
      <c r="N116" s="7">
        <f t="shared" si="51"/>
        <v>-1</v>
      </c>
      <c r="O116" s="11"/>
      <c r="P116" s="6">
        <v>35.42</v>
      </c>
      <c r="Q116" s="2"/>
      <c r="R116" s="7">
        <f t="shared" si="52"/>
        <v>1.7122414468886901E-5</v>
      </c>
      <c r="S116" s="2"/>
      <c r="T116" s="6">
        <v>-6</v>
      </c>
      <c r="U116" s="2"/>
      <c r="V116" s="7">
        <f t="shared" si="53"/>
        <v>-5.8223001957602884E-6</v>
      </c>
      <c r="W116" s="2"/>
      <c r="X116" s="6">
        <f t="shared" si="54"/>
        <v>41.42</v>
      </c>
      <c r="Y116" s="2"/>
      <c r="Z116" s="7">
        <f t="shared" si="55"/>
        <v>-6.9033333333333333</v>
      </c>
    </row>
    <row r="117" spans="1:26" s="29" customFormat="1" outlineLevel="1" collapsed="1" x14ac:dyDescent="0.3">
      <c r="A117" s="27"/>
      <c r="B117" s="14" t="str">
        <f>CONCATENATE("     ","General                                           ")</f>
        <v xml:space="preserve">     General                                           </v>
      </c>
      <c r="C117" s="14"/>
      <c r="D117" s="1">
        <f>SUM(OSRRefD22_9x_0)</f>
        <v>160</v>
      </c>
      <c r="E117" s="1"/>
      <c r="F117" s="5">
        <f t="shared" ref="F117:F123" si="56">IF(D$12=0,0,D117/D$12)</f>
        <v>3.713165743929508E-4</v>
      </c>
      <c r="G117" s="1"/>
      <c r="H117" s="1">
        <f>SUM(OSRRefH22_9x_0)</f>
        <v>1285.46</v>
      </c>
      <c r="I117" s="1"/>
      <c r="J117" s="5">
        <f t="shared" ref="J117:J123" si="57">IF(H$12=0,0,H117/H$12)</f>
        <v>5.9885590039796405E-3</v>
      </c>
      <c r="K117" s="1"/>
      <c r="L117" s="1">
        <f t="shared" ref="L117:L123" si="58">+D117-H117</f>
        <v>-1125.46</v>
      </c>
      <c r="M117" s="1"/>
      <c r="N117" s="5">
        <f t="shared" ref="N117:N123" si="59">IF(H117=0,0,L117/H117)</f>
        <v>-0.8755309383411386</v>
      </c>
      <c r="O117" s="14"/>
      <c r="P117" s="1">
        <f>SUM(OSRRefP22_9x_0)</f>
        <v>1295.0899999999999</v>
      </c>
      <c r="Q117" s="1"/>
      <c r="R117" s="5">
        <f t="shared" ref="R117:R123" si="60">IF(P$12=0,0,P117/P$12)</f>
        <v>6.2606063677331269E-4</v>
      </c>
      <c r="S117" s="1"/>
      <c r="T117" s="1">
        <f>SUM(OSRRefT22_9x_0)</f>
        <v>1285.46</v>
      </c>
      <c r="U117" s="1"/>
      <c r="V117" s="5">
        <f t="shared" ref="V117:V123" si="61">IF(T$12=0,0,T117/T$12)</f>
        <v>1.2473890016070034E-3</v>
      </c>
      <c r="W117" s="1"/>
      <c r="X117" s="1">
        <f t="shared" ref="X117:X123" si="62">+P117-T117</f>
        <v>9.6299999999998818</v>
      </c>
      <c r="Y117" s="1"/>
      <c r="Z117" s="5">
        <f t="shared" ref="Z117:Z123" si="63">IF(T117=0,0,X117/T117)</f>
        <v>7.4914816485926296E-3</v>
      </c>
    </row>
    <row r="118" spans="1:26" s="24" customFormat="1" hidden="1" outlineLevel="2" x14ac:dyDescent="0.3">
      <c r="A118" s="28"/>
      <c r="B118" s="11" t="str">
        <f>CONCATENATE("          ", "6279", " - ", "GENERAL EXPENSE")</f>
        <v xml:space="preserve">          6279 - GENERAL EXPENSE</v>
      </c>
      <c r="C118" s="11"/>
      <c r="D118" s="6">
        <v>160</v>
      </c>
      <c r="E118" s="2"/>
      <c r="F118" s="7">
        <f t="shared" si="56"/>
        <v>3.713165743929508E-4</v>
      </c>
      <c r="G118" s="2"/>
      <c r="H118" s="6">
        <v>1285.46</v>
      </c>
      <c r="I118" s="2"/>
      <c r="J118" s="7">
        <f t="shared" si="57"/>
        <v>5.9885590039796405E-3</v>
      </c>
      <c r="K118" s="2"/>
      <c r="L118" s="6">
        <f t="shared" si="58"/>
        <v>-1125.46</v>
      </c>
      <c r="M118" s="2"/>
      <c r="N118" s="7">
        <f t="shared" si="59"/>
        <v>-0.8755309383411386</v>
      </c>
      <c r="O118" s="11"/>
      <c r="P118" s="6">
        <v>1295.0899999999999</v>
      </c>
      <c r="Q118" s="2"/>
      <c r="R118" s="7">
        <f t="shared" si="60"/>
        <v>6.2606063677331269E-4</v>
      </c>
      <c r="S118" s="2"/>
      <c r="T118" s="6">
        <v>1285.46</v>
      </c>
      <c r="U118" s="2"/>
      <c r="V118" s="7">
        <f t="shared" si="61"/>
        <v>1.2473890016070034E-3</v>
      </c>
      <c r="W118" s="2"/>
      <c r="X118" s="6">
        <f t="shared" si="62"/>
        <v>9.6299999999998818</v>
      </c>
      <c r="Y118" s="2"/>
      <c r="Z118" s="7">
        <f t="shared" si="63"/>
        <v>7.4914816485926296E-3</v>
      </c>
    </row>
    <row r="119" spans="1:26" s="29" customFormat="1" outlineLevel="1" collapsed="1" x14ac:dyDescent="0.3">
      <c r="A119" s="27"/>
      <c r="B119" s="14" t="str">
        <f>CONCATENATE("     ","Insurance                                         ")</f>
        <v xml:space="preserve">     Insurance                                         </v>
      </c>
      <c r="C119" s="14"/>
      <c r="D119" s="1">
        <f>SUM(OSRRefD22_10x_0)</f>
        <v>219.08</v>
      </c>
      <c r="E119" s="1"/>
      <c r="F119" s="5">
        <f t="shared" si="56"/>
        <v>5.0842521948754789E-4</v>
      </c>
      <c r="G119" s="1"/>
      <c r="H119" s="1">
        <f>SUM(OSRRefH22_10x_0)</f>
        <v>161.18</v>
      </c>
      <c r="I119" s="1"/>
      <c r="J119" s="5">
        <f t="shared" si="57"/>
        <v>7.5088757352343783E-4</v>
      </c>
      <c r="K119" s="1"/>
      <c r="L119" s="1">
        <f t="shared" si="58"/>
        <v>57.900000000000006</v>
      </c>
      <c r="M119" s="1"/>
      <c r="N119" s="5">
        <f t="shared" si="59"/>
        <v>0.35922571038590395</v>
      </c>
      <c r="O119" s="14"/>
      <c r="P119" s="1">
        <f>SUM(OSRRefP22_10x_0)</f>
        <v>1314.48</v>
      </c>
      <c r="Q119" s="1"/>
      <c r="R119" s="5">
        <f t="shared" si="60"/>
        <v>6.3543397433829627E-4</v>
      </c>
      <c r="S119" s="1"/>
      <c r="T119" s="1">
        <f>SUM(OSRRefT22_10x_0)</f>
        <v>967.08</v>
      </c>
      <c r="U119" s="1"/>
      <c r="V119" s="5">
        <f t="shared" si="61"/>
        <v>9.3843834555264324E-4</v>
      </c>
      <c r="W119" s="1"/>
      <c r="X119" s="1">
        <f t="shared" si="62"/>
        <v>347.4</v>
      </c>
      <c r="Y119" s="1"/>
      <c r="Z119" s="5">
        <f t="shared" si="63"/>
        <v>0.3592257103859039</v>
      </c>
    </row>
    <row r="120" spans="1:26" s="24" customFormat="1" hidden="1" outlineLevel="2" x14ac:dyDescent="0.3">
      <c r="A120" s="28"/>
      <c r="B120" s="11" t="str">
        <f>CONCATENATE("          ", "6314", " - ", "LIABILITY INSURANCE")</f>
        <v xml:space="preserve">          6314 - LIABILITY INSURANCE</v>
      </c>
      <c r="C120" s="11"/>
      <c r="D120" s="6">
        <v>219.08</v>
      </c>
      <c r="E120" s="2"/>
      <c r="F120" s="7">
        <f t="shared" si="56"/>
        <v>5.0842521948754789E-4</v>
      </c>
      <c r="G120" s="2"/>
      <c r="H120" s="6">
        <v>161.18</v>
      </c>
      <c r="I120" s="2"/>
      <c r="J120" s="7">
        <f t="shared" si="57"/>
        <v>7.5088757352343783E-4</v>
      </c>
      <c r="K120" s="2"/>
      <c r="L120" s="6">
        <f t="shared" si="58"/>
        <v>57.900000000000006</v>
      </c>
      <c r="M120" s="2"/>
      <c r="N120" s="7">
        <f t="shared" si="59"/>
        <v>0.35922571038590395</v>
      </c>
      <c r="O120" s="11"/>
      <c r="P120" s="6">
        <v>1314.48</v>
      </c>
      <c r="Q120" s="2"/>
      <c r="R120" s="7">
        <f t="shared" si="60"/>
        <v>6.3543397433829627E-4</v>
      </c>
      <c r="S120" s="2"/>
      <c r="T120" s="6">
        <v>967.08</v>
      </c>
      <c r="U120" s="2"/>
      <c r="V120" s="7">
        <f t="shared" si="61"/>
        <v>9.3843834555264324E-4</v>
      </c>
      <c r="W120" s="2"/>
      <c r="X120" s="6">
        <f t="shared" si="62"/>
        <v>347.4</v>
      </c>
      <c r="Y120" s="2"/>
      <c r="Z120" s="7">
        <f t="shared" si="63"/>
        <v>0.3592257103859039</v>
      </c>
    </row>
    <row r="121" spans="1:26" s="29" customFormat="1" outlineLevel="1" collapsed="1" x14ac:dyDescent="0.3">
      <c r="A121" s="27"/>
      <c r="B121" s="14" t="str">
        <f>CONCATENATE("     ","Inventory Adjustment                              ")</f>
        <v xml:space="preserve">     Inventory Adjustment                              </v>
      </c>
      <c r="C121" s="14"/>
      <c r="D121" s="1">
        <f>SUM(OSRRefD22_11x_0)</f>
        <v>3450</v>
      </c>
      <c r="E121" s="1"/>
      <c r="F121" s="5">
        <f t="shared" si="56"/>
        <v>8.0065136353480015E-3</v>
      </c>
      <c r="G121" s="1"/>
      <c r="H121" s="1">
        <f>SUM(OSRRefH22_11x_0)</f>
        <v>1100</v>
      </c>
      <c r="I121" s="1"/>
      <c r="J121" s="5">
        <f t="shared" si="57"/>
        <v>5.124558449409242E-3</v>
      </c>
      <c r="K121" s="1"/>
      <c r="L121" s="1">
        <f t="shared" si="58"/>
        <v>2350</v>
      </c>
      <c r="M121" s="1"/>
      <c r="N121" s="5">
        <f t="shared" si="59"/>
        <v>2.1363636363636362</v>
      </c>
      <c r="O121" s="14"/>
      <c r="P121" s="1">
        <f>SUM(OSRRefP22_11x_0)</f>
        <v>20700</v>
      </c>
      <c r="Q121" s="1"/>
      <c r="R121" s="5">
        <f t="shared" si="60"/>
        <v>1.0006605858440397E-2</v>
      </c>
      <c r="S121" s="1"/>
      <c r="T121" s="1">
        <f>SUM(OSRRefT22_11x_0)</f>
        <v>6600</v>
      </c>
      <c r="U121" s="1"/>
      <c r="V121" s="5">
        <f t="shared" si="61"/>
        <v>6.4045302153363168E-3</v>
      </c>
      <c r="W121" s="1"/>
      <c r="X121" s="1">
        <f t="shared" si="62"/>
        <v>14100</v>
      </c>
      <c r="Y121" s="1"/>
      <c r="Z121" s="5">
        <f t="shared" si="63"/>
        <v>2.1363636363636362</v>
      </c>
    </row>
    <row r="122" spans="1:26" s="24" customFormat="1" hidden="1" outlineLevel="2" x14ac:dyDescent="0.3">
      <c r="A122" s="28"/>
      <c r="B122" s="11" t="str">
        <f>CONCATENATE("          ", "6408", " - ", "INVENTORY ADJUSTMENT")</f>
        <v xml:space="preserve">          6408 - INVENTORY ADJUSTMENT</v>
      </c>
      <c r="C122" s="11"/>
      <c r="D122" s="6">
        <v>3450</v>
      </c>
      <c r="E122" s="2"/>
      <c r="F122" s="7">
        <f t="shared" si="56"/>
        <v>8.0065136353480015E-3</v>
      </c>
      <c r="G122" s="2"/>
      <c r="H122" s="6">
        <v>1100</v>
      </c>
      <c r="I122" s="2"/>
      <c r="J122" s="7">
        <f t="shared" si="57"/>
        <v>5.124558449409242E-3</v>
      </c>
      <c r="K122" s="2"/>
      <c r="L122" s="6">
        <f t="shared" si="58"/>
        <v>2350</v>
      </c>
      <c r="M122" s="2"/>
      <c r="N122" s="7">
        <f t="shared" si="59"/>
        <v>2.1363636363636362</v>
      </c>
      <c r="O122" s="11"/>
      <c r="P122" s="6">
        <v>20700</v>
      </c>
      <c r="Q122" s="2"/>
      <c r="R122" s="7">
        <f t="shared" si="60"/>
        <v>1.0006605858440397E-2</v>
      </c>
      <c r="S122" s="2"/>
      <c r="T122" s="6">
        <v>6600</v>
      </c>
      <c r="U122" s="2"/>
      <c r="V122" s="7">
        <f t="shared" si="61"/>
        <v>6.4045302153363168E-3</v>
      </c>
      <c r="W122" s="2"/>
      <c r="X122" s="6">
        <f t="shared" si="62"/>
        <v>14100</v>
      </c>
      <c r="Y122" s="2"/>
      <c r="Z122" s="7">
        <f t="shared" si="63"/>
        <v>2.1363636363636362</v>
      </c>
    </row>
    <row r="123" spans="1:26" s="24" customFormat="1" hidden="1" outlineLevel="2" x14ac:dyDescent="0.3">
      <c r="A123" s="28"/>
      <c r="B123" s="11" t="str">
        <f>CONCATENATE("          ", "7741", " - ", "INV. SHRINKAGE-LOGO GIFTS")</f>
        <v xml:space="preserve">          7741 - INV. SHRINKAGE-LOGO GIFTS</v>
      </c>
      <c r="C123" s="11"/>
      <c r="D123" s="6"/>
      <c r="E123" s="2"/>
      <c r="F123" s="7">
        <f t="shared" si="56"/>
        <v>0</v>
      </c>
      <c r="G123" s="2"/>
      <c r="H123" s="6"/>
      <c r="I123" s="2"/>
      <c r="J123" s="7">
        <f t="shared" si="57"/>
        <v>0</v>
      </c>
      <c r="K123" s="2"/>
      <c r="L123" s="6">
        <f t="shared" si="58"/>
        <v>0</v>
      </c>
      <c r="M123" s="2"/>
      <c r="N123" s="7">
        <f t="shared" si="59"/>
        <v>0</v>
      </c>
      <c r="O123" s="11"/>
      <c r="P123" s="6"/>
      <c r="Q123" s="2"/>
      <c r="R123" s="7">
        <f t="shared" si="60"/>
        <v>0</v>
      </c>
      <c r="S123" s="2"/>
      <c r="T123" s="6">
        <v>0</v>
      </c>
      <c r="U123" s="2"/>
      <c r="V123" s="7">
        <f t="shared" si="61"/>
        <v>0</v>
      </c>
      <c r="W123" s="2"/>
      <c r="X123" s="6">
        <f t="shared" si="62"/>
        <v>0</v>
      </c>
      <c r="Y123" s="2"/>
      <c r="Z123" s="7">
        <f t="shared" si="63"/>
        <v>0</v>
      </c>
    </row>
    <row r="124" spans="1:26" s="29" customFormat="1" outlineLevel="1" collapsed="1" x14ac:dyDescent="0.3">
      <c r="A124" s="27"/>
      <c r="B124" s="14" t="str">
        <f>CONCATENATE("     ","Professional Services                             ")</f>
        <v xml:space="preserve">     Professional Services                             </v>
      </c>
      <c r="C124" s="14"/>
      <c r="D124" s="1">
        <f>SUM(OSRRefD22_12x_0)</f>
        <v>0</v>
      </c>
      <c r="E124" s="1"/>
      <c r="F124" s="5">
        <f t="shared" ref="F124:F131" si="64">IF(D$12=0,0,D124/D$12)</f>
        <v>0</v>
      </c>
      <c r="G124" s="1"/>
      <c r="H124" s="1">
        <f>SUM(OSRRefH22_12x_0)</f>
        <v>0</v>
      </c>
      <c r="I124" s="1"/>
      <c r="J124" s="5">
        <f t="shared" ref="J124:J131" si="65">IF(H$12=0,0,H124/H$12)</f>
        <v>0</v>
      </c>
      <c r="K124" s="1"/>
      <c r="L124" s="1">
        <f t="shared" ref="L124:L131" si="66">+D124-H124</f>
        <v>0</v>
      </c>
      <c r="M124" s="1"/>
      <c r="N124" s="5">
        <f t="shared" ref="N124:N131" si="67">IF(H124=0,0,L124/H124)</f>
        <v>0</v>
      </c>
      <c r="O124" s="14"/>
      <c r="P124" s="1">
        <f>SUM(OSRRefP22_12x_0)</f>
        <v>669.1</v>
      </c>
      <c r="Q124" s="1"/>
      <c r="R124" s="5">
        <f t="shared" ref="R124:R131" si="68">IF(P$12=0,0,P124/P$12)</f>
        <v>3.2345024057403235E-4</v>
      </c>
      <c r="S124" s="1"/>
      <c r="T124" s="1">
        <f>SUM(OSRRefT22_12x_0)</f>
        <v>0</v>
      </c>
      <c r="U124" s="1"/>
      <c r="V124" s="5">
        <f t="shared" ref="V124:V131" si="69">IF(T$12=0,0,T124/T$12)</f>
        <v>0</v>
      </c>
      <c r="W124" s="1"/>
      <c r="X124" s="1">
        <f t="shared" ref="X124:X131" si="70">+P124-T124</f>
        <v>669.1</v>
      </c>
      <c r="Y124" s="1"/>
      <c r="Z124" s="5">
        <f t="shared" ref="Z124:Z131" si="71">IF(T124=0,0,X124/T124)</f>
        <v>0</v>
      </c>
    </row>
    <row r="125" spans="1:26" s="24" customFormat="1" hidden="1" outlineLevel="2" x14ac:dyDescent="0.3">
      <c r="A125" s="28"/>
      <c r="B125" s="11" t="str">
        <f>CONCATENATE("          ", "6336", " - ", "PROFESSIONAL SERVICES")</f>
        <v xml:space="preserve">          6336 - PROFESSIONAL SERVICES</v>
      </c>
      <c r="C125" s="11"/>
      <c r="D125" s="6"/>
      <c r="E125" s="2"/>
      <c r="F125" s="7">
        <f t="shared" si="64"/>
        <v>0</v>
      </c>
      <c r="G125" s="2"/>
      <c r="H125" s="6"/>
      <c r="I125" s="2"/>
      <c r="J125" s="7">
        <f t="shared" si="65"/>
        <v>0</v>
      </c>
      <c r="K125" s="2"/>
      <c r="L125" s="6">
        <f t="shared" si="66"/>
        <v>0</v>
      </c>
      <c r="M125" s="2"/>
      <c r="N125" s="7">
        <f t="shared" si="67"/>
        <v>0</v>
      </c>
      <c r="O125" s="11"/>
      <c r="P125" s="6">
        <v>669.1</v>
      </c>
      <c r="Q125" s="2"/>
      <c r="R125" s="7">
        <f t="shared" si="68"/>
        <v>3.2345024057403235E-4</v>
      </c>
      <c r="S125" s="2"/>
      <c r="T125" s="6"/>
      <c r="U125" s="2"/>
      <c r="V125" s="7">
        <f t="shared" si="69"/>
        <v>0</v>
      </c>
      <c r="W125" s="2"/>
      <c r="X125" s="6">
        <f t="shared" si="70"/>
        <v>669.1</v>
      </c>
      <c r="Y125" s="2"/>
      <c r="Z125" s="7">
        <f t="shared" si="71"/>
        <v>0</v>
      </c>
    </row>
    <row r="126" spans="1:26" s="29" customFormat="1" outlineLevel="1" collapsed="1" x14ac:dyDescent="0.3">
      <c r="A126" s="27"/>
      <c r="B126" s="14" t="str">
        <f>CONCATENATE("     ","Rent                                              ")</f>
        <v xml:space="preserve">     Rent                                              </v>
      </c>
      <c r="C126" s="14"/>
      <c r="D126" s="1">
        <f>SUM(OSRRefD22_13x_0)</f>
        <v>6900</v>
      </c>
      <c r="E126" s="1"/>
      <c r="F126" s="5">
        <f t="shared" si="64"/>
        <v>1.6013027270696003E-2</v>
      </c>
      <c r="G126" s="1"/>
      <c r="H126" s="1">
        <f>SUM(OSRRefH22_13x_0)</f>
        <v>6900</v>
      </c>
      <c r="I126" s="1"/>
      <c r="J126" s="5">
        <f t="shared" si="65"/>
        <v>3.2144957546294338E-2</v>
      </c>
      <c r="K126" s="1"/>
      <c r="L126" s="1">
        <f t="shared" si="66"/>
        <v>0</v>
      </c>
      <c r="M126" s="1"/>
      <c r="N126" s="5">
        <f t="shared" si="67"/>
        <v>0</v>
      </c>
      <c r="O126" s="14"/>
      <c r="P126" s="1">
        <f>SUM(OSRRefP22_13x_0)</f>
        <v>41400</v>
      </c>
      <c r="Q126" s="1"/>
      <c r="R126" s="5">
        <f t="shared" si="68"/>
        <v>2.0013211716880794E-2</v>
      </c>
      <c r="S126" s="1"/>
      <c r="T126" s="1">
        <f>SUM(OSRRefT22_13x_0)</f>
        <v>41400</v>
      </c>
      <c r="U126" s="1"/>
      <c r="V126" s="5">
        <f t="shared" si="69"/>
        <v>4.0173871350745988E-2</v>
      </c>
      <c r="W126" s="1"/>
      <c r="X126" s="1">
        <f t="shared" si="70"/>
        <v>0</v>
      </c>
      <c r="Y126" s="1"/>
      <c r="Z126" s="5">
        <f t="shared" si="71"/>
        <v>0</v>
      </c>
    </row>
    <row r="127" spans="1:26" s="24" customFormat="1" hidden="1" outlineLevel="2" x14ac:dyDescent="0.3">
      <c r="A127" s="28"/>
      <c r="B127" s="11" t="str">
        <f>CONCATENATE("          ", "6273", " - ", "RENT")</f>
        <v xml:space="preserve">          6273 - RENT</v>
      </c>
      <c r="C127" s="11"/>
      <c r="D127" s="6">
        <v>6900</v>
      </c>
      <c r="E127" s="2"/>
      <c r="F127" s="7">
        <f t="shared" si="64"/>
        <v>1.6013027270696003E-2</v>
      </c>
      <c r="G127" s="2"/>
      <c r="H127" s="6">
        <v>6900</v>
      </c>
      <c r="I127" s="2"/>
      <c r="J127" s="7">
        <f t="shared" si="65"/>
        <v>3.2144957546294338E-2</v>
      </c>
      <c r="K127" s="2"/>
      <c r="L127" s="6">
        <f t="shared" si="66"/>
        <v>0</v>
      </c>
      <c r="M127" s="2"/>
      <c r="N127" s="7">
        <f t="shared" si="67"/>
        <v>0</v>
      </c>
      <c r="O127" s="11"/>
      <c r="P127" s="6">
        <v>41400</v>
      </c>
      <c r="Q127" s="2"/>
      <c r="R127" s="7">
        <f t="shared" si="68"/>
        <v>2.0013211716880794E-2</v>
      </c>
      <c r="S127" s="2"/>
      <c r="T127" s="6">
        <v>41400</v>
      </c>
      <c r="U127" s="2"/>
      <c r="V127" s="7">
        <f t="shared" si="69"/>
        <v>4.0173871350745988E-2</v>
      </c>
      <c r="W127" s="2"/>
      <c r="X127" s="6">
        <f t="shared" si="70"/>
        <v>0</v>
      </c>
      <c r="Y127" s="2"/>
      <c r="Z127" s="7">
        <f t="shared" si="71"/>
        <v>0</v>
      </c>
    </row>
    <row r="128" spans="1:26" s="29" customFormat="1" outlineLevel="1" collapsed="1" x14ac:dyDescent="0.3">
      <c r="A128" s="27"/>
      <c r="B128" s="14" t="str">
        <f>CONCATENATE("     ","Repair and Maintenance                            ")</f>
        <v xml:space="preserve">     Repair and Maintenance                            </v>
      </c>
      <c r="C128" s="14"/>
      <c r="D128" s="1">
        <f>SUM(OSRRefD22_14x_0)</f>
        <v>1957.97</v>
      </c>
      <c r="E128" s="1"/>
      <c r="F128" s="5">
        <f t="shared" si="64"/>
        <v>4.5439169572760365E-3</v>
      </c>
      <c r="G128" s="1"/>
      <c r="H128" s="1">
        <f>SUM(OSRRefH22_14x_0)</f>
        <v>48.23</v>
      </c>
      <c r="I128" s="1"/>
      <c r="J128" s="5">
        <f t="shared" si="65"/>
        <v>2.2468859455909793E-4</v>
      </c>
      <c r="K128" s="1"/>
      <c r="L128" s="1">
        <f t="shared" si="66"/>
        <v>1909.74</v>
      </c>
      <c r="M128" s="1"/>
      <c r="N128" s="5">
        <f t="shared" si="67"/>
        <v>39.596516690856319</v>
      </c>
      <c r="O128" s="14"/>
      <c r="P128" s="1">
        <f>SUM(OSRRefP22_14x_0)</f>
        <v>2970.9300000000003</v>
      </c>
      <c r="Q128" s="1"/>
      <c r="R128" s="5">
        <f t="shared" si="68"/>
        <v>1.4361799779234942E-3</v>
      </c>
      <c r="S128" s="1"/>
      <c r="T128" s="1">
        <f>SUM(OSRRefT22_14x_0)</f>
        <v>96.44</v>
      </c>
      <c r="U128" s="1"/>
      <c r="V128" s="5">
        <f t="shared" si="69"/>
        <v>9.3583771813187026E-5</v>
      </c>
      <c r="W128" s="1"/>
      <c r="X128" s="1">
        <f t="shared" si="70"/>
        <v>2874.4900000000002</v>
      </c>
      <c r="Y128" s="1"/>
      <c r="Z128" s="5">
        <f t="shared" si="71"/>
        <v>29.805993363749483</v>
      </c>
    </row>
    <row r="129" spans="1:26" s="24" customFormat="1" hidden="1" outlineLevel="2" x14ac:dyDescent="0.3">
      <c r="A129" s="28"/>
      <c r="B129" s="11" t="str">
        <f>CONCATENATE("          ", "6372", " - ", "COMPUTER HARDWARE MAINTENANCE")</f>
        <v xml:space="preserve">          6372 - COMPUTER HARDWARE MAINTENANCE</v>
      </c>
      <c r="C129" s="11"/>
      <c r="D129" s="6"/>
      <c r="E129" s="2"/>
      <c r="F129" s="7">
        <f t="shared" si="64"/>
        <v>0</v>
      </c>
      <c r="G129" s="2"/>
      <c r="H129" s="6"/>
      <c r="I129" s="2"/>
      <c r="J129" s="7">
        <f t="shared" si="65"/>
        <v>0</v>
      </c>
      <c r="K129" s="2"/>
      <c r="L129" s="6">
        <f t="shared" si="66"/>
        <v>0</v>
      </c>
      <c r="M129" s="2"/>
      <c r="N129" s="7">
        <f t="shared" si="67"/>
        <v>0</v>
      </c>
      <c r="O129" s="11"/>
      <c r="P129" s="6"/>
      <c r="Q129" s="2"/>
      <c r="R129" s="7">
        <f t="shared" si="68"/>
        <v>0</v>
      </c>
      <c r="S129" s="2"/>
      <c r="T129" s="6">
        <v>0</v>
      </c>
      <c r="U129" s="2"/>
      <c r="V129" s="7">
        <f t="shared" si="69"/>
        <v>0</v>
      </c>
      <c r="W129" s="2"/>
      <c r="X129" s="6">
        <f t="shared" si="70"/>
        <v>0</v>
      </c>
      <c r="Y129" s="2"/>
      <c r="Z129" s="7">
        <f t="shared" si="71"/>
        <v>0</v>
      </c>
    </row>
    <row r="130" spans="1:26" s="24" customFormat="1" hidden="1" outlineLevel="2" x14ac:dyDescent="0.3">
      <c r="A130" s="28"/>
      <c r="B130" s="11" t="str">
        <f>CONCATENATE("          ", "6373", " - ", "MAINTENANCE CONTRACTS")</f>
        <v xml:space="preserve">          6373 - MAINTENANCE CONTRACTS</v>
      </c>
      <c r="C130" s="11"/>
      <c r="D130" s="6">
        <v>232.93</v>
      </c>
      <c r="E130" s="2"/>
      <c r="F130" s="7">
        <f t="shared" si="64"/>
        <v>5.4056731045843765E-4</v>
      </c>
      <c r="G130" s="2"/>
      <c r="H130" s="6">
        <v>48.23</v>
      </c>
      <c r="I130" s="2"/>
      <c r="J130" s="7">
        <f t="shared" si="65"/>
        <v>2.2468859455909793E-4</v>
      </c>
      <c r="K130" s="2"/>
      <c r="L130" s="6">
        <f t="shared" si="66"/>
        <v>184.70000000000002</v>
      </c>
      <c r="M130" s="2"/>
      <c r="N130" s="7">
        <f t="shared" si="67"/>
        <v>3.8295666597553395</v>
      </c>
      <c r="O130" s="11"/>
      <c r="P130" s="6">
        <v>469.53</v>
      </c>
      <c r="Q130" s="2"/>
      <c r="R130" s="7">
        <f t="shared" si="68"/>
        <v>2.269759250586241E-4</v>
      </c>
      <c r="S130" s="2"/>
      <c r="T130" s="6">
        <v>96.44</v>
      </c>
      <c r="U130" s="2"/>
      <c r="V130" s="7">
        <f t="shared" si="69"/>
        <v>9.3583771813187026E-5</v>
      </c>
      <c r="W130" s="2"/>
      <c r="X130" s="6">
        <f t="shared" si="70"/>
        <v>373.09</v>
      </c>
      <c r="Y130" s="2"/>
      <c r="Z130" s="7">
        <f t="shared" si="71"/>
        <v>3.8686229780174202</v>
      </c>
    </row>
    <row r="131" spans="1:26" s="24" customFormat="1" hidden="1" outlineLevel="2" x14ac:dyDescent="0.3">
      <c r="A131" s="28"/>
      <c r="B131" s="11" t="str">
        <f>CONCATENATE("          ", "6375", " - ", "OUTSIDE REPAIRS &amp; MAINTENANCE")</f>
        <v xml:space="preserve">          6375 - OUTSIDE REPAIRS &amp; MAINTENANCE</v>
      </c>
      <c r="C131" s="11"/>
      <c r="D131" s="6">
        <v>1725.04</v>
      </c>
      <c r="E131" s="2"/>
      <c r="F131" s="7">
        <f t="shared" si="64"/>
        <v>4.0033496468175993E-3</v>
      </c>
      <c r="G131" s="2"/>
      <c r="H131" s="6"/>
      <c r="I131" s="2"/>
      <c r="J131" s="7">
        <f t="shared" si="65"/>
        <v>0</v>
      </c>
      <c r="K131" s="2"/>
      <c r="L131" s="6">
        <f t="shared" si="66"/>
        <v>1725.04</v>
      </c>
      <c r="M131" s="2"/>
      <c r="N131" s="7">
        <f t="shared" si="67"/>
        <v>0</v>
      </c>
      <c r="O131" s="11"/>
      <c r="P131" s="6">
        <v>2501.4</v>
      </c>
      <c r="Q131" s="2"/>
      <c r="R131" s="7">
        <f t="shared" si="68"/>
        <v>1.20920405286487E-3</v>
      </c>
      <c r="S131" s="2"/>
      <c r="T131" s="6"/>
      <c r="U131" s="2"/>
      <c r="V131" s="7">
        <f t="shared" si="69"/>
        <v>0</v>
      </c>
      <c r="W131" s="2"/>
      <c r="X131" s="6">
        <f t="shared" si="70"/>
        <v>2501.4</v>
      </c>
      <c r="Y131" s="2"/>
      <c r="Z131" s="7">
        <f t="shared" si="71"/>
        <v>0</v>
      </c>
    </row>
    <row r="132" spans="1:26" s="29" customFormat="1" outlineLevel="1" collapsed="1" x14ac:dyDescent="0.3">
      <c r="A132" s="27"/>
      <c r="B132" s="14" t="str">
        <f>CONCATENATE("     ","Royalty &amp; Commissions                             ")</f>
        <v xml:space="preserve">     Royalty &amp; Commissions                             </v>
      </c>
      <c r="C132" s="14"/>
      <c r="D132" s="1">
        <f>SUM(OSRRefD22_15x_0)</f>
        <v>0</v>
      </c>
      <c r="E132" s="1"/>
      <c r="F132" s="5">
        <f t="shared" ref="F132:F134" si="72">IF(D$12=0,0,D132/D$12)</f>
        <v>0</v>
      </c>
      <c r="G132" s="1"/>
      <c r="H132" s="1">
        <f>SUM(OSRRefH22_15x_0)</f>
        <v>0</v>
      </c>
      <c r="I132" s="1"/>
      <c r="J132" s="5">
        <f t="shared" ref="J132:J134" si="73">IF(H$12=0,0,H132/H$12)</f>
        <v>0</v>
      </c>
      <c r="K132" s="1"/>
      <c r="L132" s="1">
        <f t="shared" ref="L132:L134" si="74">+D132-H132</f>
        <v>0</v>
      </c>
      <c r="M132" s="1"/>
      <c r="N132" s="5">
        <f t="shared" ref="N132:N134" si="75">IF(H132=0,0,L132/H132)</f>
        <v>0</v>
      </c>
      <c r="O132" s="14"/>
      <c r="P132" s="1">
        <f>SUM(OSRRefP22_15x_0)</f>
        <v>16132.79</v>
      </c>
      <c r="Q132" s="1"/>
      <c r="R132" s="5">
        <f t="shared" ref="R132:R134" si="76">IF(P$12=0,0,P132/P$12)</f>
        <v>7.7987667114487267E-3</v>
      </c>
      <c r="S132" s="1"/>
      <c r="T132" s="1">
        <f>SUM(OSRRefT22_15x_0)</f>
        <v>18411.8</v>
      </c>
      <c r="U132" s="1"/>
      <c r="V132" s="5">
        <f t="shared" ref="V132:V134" si="77">IF(T$12=0,0,T132/T$12)</f>
        <v>1.7866504457383213E-2</v>
      </c>
      <c r="W132" s="1"/>
      <c r="X132" s="1">
        <f t="shared" ref="X132:X134" si="78">+P132-T132</f>
        <v>-2279.0099999999984</v>
      </c>
      <c r="Y132" s="1"/>
      <c r="Z132" s="5">
        <f t="shared" ref="Z132:Z134" si="79">IF(T132=0,0,X132/T132)</f>
        <v>-0.12377985856896112</v>
      </c>
    </row>
    <row r="133" spans="1:26" s="24" customFormat="1" hidden="1" outlineLevel="2" x14ac:dyDescent="0.3">
      <c r="A133" s="28"/>
      <c r="B133" s="11" t="str">
        <f>CONCATENATE("          ", "6253", " - ", "ROYALTY DUE ATHLETICS-LRG")</f>
        <v xml:space="preserve">          6253 - ROYALTY DUE ATHLETICS-LRG</v>
      </c>
      <c r="C133" s="11"/>
      <c r="D133" s="6"/>
      <c r="E133" s="2"/>
      <c r="F133" s="7">
        <f t="shared" si="72"/>
        <v>0</v>
      </c>
      <c r="G133" s="2"/>
      <c r="H133" s="6"/>
      <c r="I133" s="2"/>
      <c r="J133" s="7">
        <f t="shared" si="73"/>
        <v>0</v>
      </c>
      <c r="K133" s="2"/>
      <c r="L133" s="6">
        <f t="shared" si="74"/>
        <v>0</v>
      </c>
      <c r="M133" s="2"/>
      <c r="N133" s="7">
        <f t="shared" si="75"/>
        <v>0</v>
      </c>
      <c r="O133" s="11"/>
      <c r="P133" s="6">
        <v>23160.29</v>
      </c>
      <c r="Q133" s="2"/>
      <c r="R133" s="7">
        <f t="shared" si="76"/>
        <v>1.1195936888752585E-2</v>
      </c>
      <c r="S133" s="2"/>
      <c r="T133" s="6">
        <v>18411.8</v>
      </c>
      <c r="U133" s="2"/>
      <c r="V133" s="7">
        <f t="shared" si="77"/>
        <v>1.7866504457383213E-2</v>
      </c>
      <c r="W133" s="2"/>
      <c r="X133" s="6">
        <f t="shared" si="78"/>
        <v>4748.4900000000016</v>
      </c>
      <c r="Y133" s="2"/>
      <c r="Z133" s="7">
        <f t="shared" si="79"/>
        <v>0.25790471328169989</v>
      </c>
    </row>
    <row r="134" spans="1:26" s="24" customFormat="1" hidden="1" outlineLevel="2" x14ac:dyDescent="0.3">
      <c r="A134" s="28"/>
      <c r="B134" s="11" t="str">
        <f>CONCATENATE("          ", "6254", " - ", "ROYALTY &amp; COMMISSIONS")</f>
        <v xml:space="preserve">          6254 - ROYALTY &amp; COMMISSIONS</v>
      </c>
      <c r="C134" s="11"/>
      <c r="D134" s="6">
        <v>0</v>
      </c>
      <c r="E134" s="2"/>
      <c r="F134" s="7">
        <f t="shared" si="72"/>
        <v>0</v>
      </c>
      <c r="G134" s="2"/>
      <c r="H134" s="6"/>
      <c r="I134" s="2"/>
      <c r="J134" s="7">
        <f t="shared" si="73"/>
        <v>0</v>
      </c>
      <c r="K134" s="2"/>
      <c r="L134" s="6">
        <f t="shared" si="74"/>
        <v>0</v>
      </c>
      <c r="M134" s="2"/>
      <c r="N134" s="7">
        <f t="shared" si="75"/>
        <v>0</v>
      </c>
      <c r="O134" s="11"/>
      <c r="P134" s="6">
        <v>-7027.5</v>
      </c>
      <c r="Q134" s="2"/>
      <c r="R134" s="7">
        <f t="shared" si="76"/>
        <v>-3.3971701773038592E-3</v>
      </c>
      <c r="S134" s="2"/>
      <c r="T134" s="6"/>
      <c r="U134" s="2"/>
      <c r="V134" s="7">
        <f t="shared" si="77"/>
        <v>0</v>
      </c>
      <c r="W134" s="2"/>
      <c r="X134" s="6">
        <f t="shared" si="78"/>
        <v>-7027.5</v>
      </c>
      <c r="Y134" s="2"/>
      <c r="Z134" s="7">
        <f t="shared" si="79"/>
        <v>0</v>
      </c>
    </row>
    <row r="135" spans="1:26" s="29" customFormat="1" outlineLevel="1" collapsed="1" x14ac:dyDescent="0.3">
      <c r="A135" s="27"/>
      <c r="B135" s="14" t="str">
        <f>CONCATENATE("     ","Services                                          ")</f>
        <v xml:space="preserve">     Services                                          </v>
      </c>
      <c r="C135" s="14"/>
      <c r="D135" s="1">
        <f>SUM(OSRRefD22_16x_0)</f>
        <v>223.45</v>
      </c>
      <c r="E135" s="1"/>
      <c r="F135" s="5">
        <f t="shared" ref="F135:F138" si="80">IF(D$12=0,0,D135/D$12)</f>
        <v>5.1856680342565536E-4</v>
      </c>
      <c r="G135" s="1"/>
      <c r="H135" s="1">
        <f>SUM(OSRRefH22_16x_0)</f>
        <v>224.41</v>
      </c>
      <c r="I135" s="1"/>
      <c r="J135" s="5">
        <f t="shared" ref="J135:J138" si="81">IF(H$12=0,0,H135/H$12)</f>
        <v>1.04545651057448E-3</v>
      </c>
      <c r="K135" s="1"/>
      <c r="L135" s="1">
        <f t="shared" ref="L135:L138" si="82">+D135-H135</f>
        <v>-0.96000000000000796</v>
      </c>
      <c r="M135" s="1"/>
      <c r="N135" s="5">
        <f t="shared" ref="N135:N138" si="83">IF(H135=0,0,L135/H135)</f>
        <v>-4.2778842297580676E-3</v>
      </c>
      <c r="O135" s="14"/>
      <c r="P135" s="1">
        <f>SUM(OSRRefP22_16x_0)</f>
        <v>1029.92</v>
      </c>
      <c r="Q135" s="1"/>
      <c r="R135" s="5">
        <f t="shared" ref="R135:R138" si="84">IF(P$12=0,0,P135/P$12)</f>
        <v>4.9787456549395812E-4</v>
      </c>
      <c r="S135" s="1"/>
      <c r="T135" s="1">
        <f>SUM(OSRRefT22_16x_0)</f>
        <v>192.82000000000005</v>
      </c>
      <c r="U135" s="1"/>
      <c r="V135" s="5">
        <f t="shared" ref="V135:V138" si="85">IF(T$12=0,0,T135/T$12)</f>
        <v>1.871093206244165E-4</v>
      </c>
      <c r="W135" s="1"/>
      <c r="X135" s="1">
        <f t="shared" ref="X135:X138" si="86">+P135-T135</f>
        <v>837.1</v>
      </c>
      <c r="Y135" s="1"/>
      <c r="Z135" s="5">
        <f t="shared" ref="Z135:Z138" si="87">IF(T135=0,0,X135/T135)</f>
        <v>4.3413546312623161</v>
      </c>
    </row>
    <row r="136" spans="1:26" s="24" customFormat="1" hidden="1" outlineLevel="2" x14ac:dyDescent="0.3">
      <c r="A136" s="28"/>
      <c r="B136" s="11" t="str">
        <f>CONCATENATE("          ", "6283", " - ", "PLANT SERVICE")</f>
        <v xml:space="preserve">          6283 - PLANT SERVICE</v>
      </c>
      <c r="C136" s="11"/>
      <c r="D136" s="6"/>
      <c r="E136" s="2"/>
      <c r="F136" s="7">
        <f t="shared" si="80"/>
        <v>0</v>
      </c>
      <c r="G136" s="2"/>
      <c r="H136" s="6"/>
      <c r="I136" s="2"/>
      <c r="J136" s="7">
        <f t="shared" si="81"/>
        <v>0</v>
      </c>
      <c r="K136" s="2"/>
      <c r="L136" s="6">
        <f t="shared" si="82"/>
        <v>0</v>
      </c>
      <c r="M136" s="2"/>
      <c r="N136" s="7">
        <f t="shared" si="83"/>
        <v>0</v>
      </c>
      <c r="O136" s="11"/>
      <c r="P136" s="6"/>
      <c r="Q136" s="2"/>
      <c r="R136" s="7">
        <f t="shared" si="84"/>
        <v>0</v>
      </c>
      <c r="S136" s="2"/>
      <c r="T136" s="6">
        <v>41.31</v>
      </c>
      <c r="U136" s="2"/>
      <c r="V136" s="7">
        <f t="shared" si="85"/>
        <v>4.0086536847809583E-5</v>
      </c>
      <c r="W136" s="2"/>
      <c r="X136" s="6">
        <f t="shared" si="86"/>
        <v>-41.31</v>
      </c>
      <c r="Y136" s="2"/>
      <c r="Z136" s="7">
        <f t="shared" si="87"/>
        <v>-1</v>
      </c>
    </row>
    <row r="137" spans="1:26" s="24" customFormat="1" hidden="1" outlineLevel="2" x14ac:dyDescent="0.3">
      <c r="A137" s="28"/>
      <c r="B137" s="11" t="str">
        <f>CONCATENATE("          ", "6284", " - ", "TRASH REMOVAL EXPENSE")</f>
        <v xml:space="preserve">          6284 - TRASH REMOVAL EXPENSE</v>
      </c>
      <c r="C137" s="11"/>
      <c r="D137" s="6">
        <v>149.69999999999999</v>
      </c>
      <c r="E137" s="2"/>
      <c r="F137" s="7">
        <f t="shared" si="80"/>
        <v>3.4741306991640456E-4</v>
      </c>
      <c r="G137" s="2"/>
      <c r="H137" s="6">
        <v>285.14</v>
      </c>
      <c r="I137" s="2"/>
      <c r="J137" s="7">
        <f t="shared" si="81"/>
        <v>1.3283787238768648E-3</v>
      </c>
      <c r="K137" s="2"/>
      <c r="L137" s="6">
        <f t="shared" si="82"/>
        <v>-135.44</v>
      </c>
      <c r="M137" s="2"/>
      <c r="N137" s="7">
        <f t="shared" si="83"/>
        <v>-0.47499473942624676</v>
      </c>
      <c r="O137" s="11"/>
      <c r="P137" s="6">
        <v>891.07</v>
      </c>
      <c r="Q137" s="2"/>
      <c r="R137" s="7">
        <f t="shared" si="84"/>
        <v>4.3075296049664176E-4</v>
      </c>
      <c r="S137" s="2"/>
      <c r="T137" s="6">
        <v>870.44</v>
      </c>
      <c r="U137" s="2"/>
      <c r="V137" s="7">
        <f t="shared" si="85"/>
        <v>8.4466049706626424E-4</v>
      </c>
      <c r="W137" s="2"/>
      <c r="X137" s="6">
        <f t="shared" si="86"/>
        <v>20.629999999999995</v>
      </c>
      <c r="Y137" s="2"/>
      <c r="Z137" s="7">
        <f t="shared" si="87"/>
        <v>2.3700657138918241E-2</v>
      </c>
    </row>
    <row r="138" spans="1:26" s="24" customFormat="1" hidden="1" outlineLevel="2" x14ac:dyDescent="0.3">
      <c r="A138" s="28"/>
      <c r="B138" s="11" t="str">
        <f>CONCATENATE("          ", "6285", " - ", "JANITORIAL SERVICES")</f>
        <v xml:space="preserve">          6285 - JANITORIAL SERVICES</v>
      </c>
      <c r="C138" s="11"/>
      <c r="D138" s="6">
        <v>73.75</v>
      </c>
      <c r="E138" s="2"/>
      <c r="F138" s="7">
        <f t="shared" si="80"/>
        <v>1.7115373350925077E-4</v>
      </c>
      <c r="G138" s="2"/>
      <c r="H138" s="6">
        <v>-60.73</v>
      </c>
      <c r="I138" s="2"/>
      <c r="J138" s="7">
        <f t="shared" si="81"/>
        <v>-2.8292221330238477E-4</v>
      </c>
      <c r="K138" s="2"/>
      <c r="L138" s="6">
        <f t="shared" si="82"/>
        <v>134.47999999999999</v>
      </c>
      <c r="M138" s="2"/>
      <c r="N138" s="7">
        <f t="shared" si="83"/>
        <v>-2.2143915692409024</v>
      </c>
      <c r="O138" s="11"/>
      <c r="P138" s="6">
        <v>138.85</v>
      </c>
      <c r="Q138" s="2"/>
      <c r="R138" s="7">
        <f t="shared" si="84"/>
        <v>6.7121604997316374E-5</v>
      </c>
      <c r="S138" s="2"/>
      <c r="T138" s="6">
        <v>-718.93</v>
      </c>
      <c r="U138" s="2"/>
      <c r="V138" s="7">
        <f t="shared" si="85"/>
        <v>-6.9763771328965724E-4</v>
      </c>
      <c r="W138" s="2"/>
      <c r="X138" s="6">
        <f t="shared" si="86"/>
        <v>857.78</v>
      </c>
      <c r="Y138" s="2"/>
      <c r="Z138" s="7">
        <f t="shared" si="87"/>
        <v>-1.1931342411639521</v>
      </c>
    </row>
    <row r="139" spans="1:26" s="29" customFormat="1" outlineLevel="1" collapsed="1" x14ac:dyDescent="0.3">
      <c r="A139" s="27"/>
      <c r="B139" s="14" t="str">
        <f>CONCATENATE("     ","Subscriptions &amp; Dues                              ")</f>
        <v xml:space="preserve">     Subscriptions &amp; Dues                              </v>
      </c>
      <c r="C139" s="14"/>
      <c r="D139" s="1">
        <f>SUM(OSRRefD22_17x_0)</f>
        <v>0</v>
      </c>
      <c r="E139" s="1"/>
      <c r="F139" s="5">
        <f t="shared" ref="F139:F141" si="88">IF(D$12=0,0,D139/D$12)</f>
        <v>0</v>
      </c>
      <c r="G139" s="1"/>
      <c r="H139" s="1">
        <f>SUM(OSRRefH22_17x_0)</f>
        <v>-60.73</v>
      </c>
      <c r="I139" s="1"/>
      <c r="J139" s="5">
        <f t="shared" ref="J139:J141" si="89">IF(H$12=0,0,H139/H$12)</f>
        <v>-2.8292221330238477E-4</v>
      </c>
      <c r="K139" s="1"/>
      <c r="L139" s="1">
        <f t="shared" ref="L139:L141" si="90">+D139-H139</f>
        <v>60.73</v>
      </c>
      <c r="M139" s="1"/>
      <c r="N139" s="5">
        <f t="shared" ref="N139:N141" si="91">IF(H139=0,0,L139/H139)</f>
        <v>-1</v>
      </c>
      <c r="O139" s="14"/>
      <c r="P139" s="1">
        <f>SUM(OSRRefP22_17x_0)</f>
        <v>0</v>
      </c>
      <c r="Q139" s="1"/>
      <c r="R139" s="5">
        <f t="shared" ref="R139:R141" si="92">IF(P$12=0,0,P139/P$12)</f>
        <v>0</v>
      </c>
      <c r="S139" s="1"/>
      <c r="T139" s="1">
        <f>SUM(OSRRefT22_17x_0)</f>
        <v>-276</v>
      </c>
      <c r="U139" s="1"/>
      <c r="V139" s="5">
        <f t="shared" ref="V139:V141" si="93">IF(T$12=0,0,T139/T$12)</f>
        <v>-2.6782580900497327E-4</v>
      </c>
      <c r="W139" s="1"/>
      <c r="X139" s="1">
        <f t="shared" ref="X139:X141" si="94">+P139-T139</f>
        <v>276</v>
      </c>
      <c r="Y139" s="1"/>
      <c r="Z139" s="5">
        <f t="shared" ref="Z139:Z141" si="95">IF(T139=0,0,X139/T139)</f>
        <v>-1</v>
      </c>
    </row>
    <row r="140" spans="1:26" s="24" customFormat="1" hidden="1" outlineLevel="2" x14ac:dyDescent="0.3">
      <c r="A140" s="28"/>
      <c r="B140" s="11" t="str">
        <f>CONCATENATE("          ", "6258", " - ", "MEMBERSHIP DUES")</f>
        <v xml:space="preserve">          6258 - MEMBERSHIP DUES</v>
      </c>
      <c r="C140" s="11"/>
      <c r="D140" s="6"/>
      <c r="E140" s="2"/>
      <c r="F140" s="7">
        <f t="shared" si="88"/>
        <v>0</v>
      </c>
      <c r="G140" s="2"/>
      <c r="H140" s="6">
        <v>-60.73</v>
      </c>
      <c r="I140" s="2"/>
      <c r="J140" s="7">
        <f t="shared" si="89"/>
        <v>-2.8292221330238477E-4</v>
      </c>
      <c r="K140" s="2"/>
      <c r="L140" s="6">
        <f t="shared" si="90"/>
        <v>60.73</v>
      </c>
      <c r="M140" s="2"/>
      <c r="N140" s="7">
        <f t="shared" si="91"/>
        <v>-1</v>
      </c>
      <c r="O140" s="11"/>
      <c r="P140" s="6"/>
      <c r="Q140" s="2"/>
      <c r="R140" s="7">
        <f t="shared" si="92"/>
        <v>0</v>
      </c>
      <c r="S140" s="2"/>
      <c r="T140" s="6">
        <v>-501.73</v>
      </c>
      <c r="U140" s="2"/>
      <c r="V140" s="7">
        <f t="shared" si="93"/>
        <v>-4.8687044620313491E-4</v>
      </c>
      <c r="W140" s="2"/>
      <c r="X140" s="6">
        <f t="shared" si="94"/>
        <v>501.73</v>
      </c>
      <c r="Y140" s="2"/>
      <c r="Z140" s="7">
        <f t="shared" si="95"/>
        <v>-1</v>
      </c>
    </row>
    <row r="141" spans="1:26" s="24" customFormat="1" hidden="1" outlineLevel="2" x14ac:dyDescent="0.3">
      <c r="A141" s="28"/>
      <c r="B141" s="11" t="str">
        <f>CONCATENATE("          ", "6275", " - ", "SUBSCRIPTIONS")</f>
        <v xml:space="preserve">          6275 - SUBSCRIPTIONS</v>
      </c>
      <c r="C141" s="11"/>
      <c r="D141" s="6"/>
      <c r="E141" s="2"/>
      <c r="F141" s="7">
        <f t="shared" si="88"/>
        <v>0</v>
      </c>
      <c r="G141" s="2"/>
      <c r="H141" s="6"/>
      <c r="I141" s="2"/>
      <c r="J141" s="7">
        <f t="shared" si="89"/>
        <v>0</v>
      </c>
      <c r="K141" s="2"/>
      <c r="L141" s="6">
        <f t="shared" si="90"/>
        <v>0</v>
      </c>
      <c r="M141" s="2"/>
      <c r="N141" s="7">
        <f t="shared" si="91"/>
        <v>0</v>
      </c>
      <c r="O141" s="11"/>
      <c r="P141" s="6"/>
      <c r="Q141" s="2"/>
      <c r="R141" s="7">
        <f t="shared" si="92"/>
        <v>0</v>
      </c>
      <c r="S141" s="2"/>
      <c r="T141" s="6">
        <v>225.73</v>
      </c>
      <c r="U141" s="2"/>
      <c r="V141" s="7">
        <f t="shared" si="93"/>
        <v>2.1904463719816164E-4</v>
      </c>
      <c r="W141" s="2"/>
      <c r="X141" s="6">
        <f t="shared" si="94"/>
        <v>-225.73</v>
      </c>
      <c r="Y141" s="2"/>
      <c r="Z141" s="7">
        <f t="shared" si="95"/>
        <v>-1</v>
      </c>
    </row>
    <row r="142" spans="1:26" s="29" customFormat="1" outlineLevel="1" collapsed="1" x14ac:dyDescent="0.3">
      <c r="A142" s="27"/>
      <c r="B142" s="14" t="str">
        <f>CONCATENATE("     ","Supplies                                          ")</f>
        <v xml:space="preserve">     Supplies                                          </v>
      </c>
      <c r="C142" s="14"/>
      <c r="D142" s="1">
        <f>SUM(OSRRefD22_18x_0)</f>
        <v>951.74</v>
      </c>
      <c r="E142" s="1"/>
      <c r="F142" s="5">
        <f t="shared" ref="F142:F147" si="96">IF(D$12=0,0,D142/D$12)</f>
        <v>2.2087302282046686E-3</v>
      </c>
      <c r="G142" s="1"/>
      <c r="H142" s="1">
        <f>SUM(OSRRefH22_18x_0)</f>
        <v>57.53</v>
      </c>
      <c r="I142" s="1"/>
      <c r="J142" s="5">
        <f t="shared" ref="J142:J147" si="97">IF(H$12=0,0,H142/H$12)</f>
        <v>2.6801440690410336E-4</v>
      </c>
      <c r="K142" s="1"/>
      <c r="L142" s="1">
        <f t="shared" ref="L142:L147" si="98">+D142-H142</f>
        <v>894.21</v>
      </c>
      <c r="M142" s="1"/>
      <c r="N142" s="5">
        <f t="shared" ref="N142:N147" si="99">IF(H142=0,0,L142/H142)</f>
        <v>15.543368677211889</v>
      </c>
      <c r="O142" s="14"/>
      <c r="P142" s="1">
        <f>SUM(OSRRefP22_18x_0)</f>
        <v>8586.56</v>
      </c>
      <c r="Q142" s="1"/>
      <c r="R142" s="5">
        <f t="shared" ref="R142:R147" si="100">IF(P$12=0,0,P142/P$12)</f>
        <v>4.1508367922632834E-3</v>
      </c>
      <c r="S142" s="1"/>
      <c r="T142" s="1">
        <f>SUM(OSRRefT22_18x_0)</f>
        <v>2244.4900000000002</v>
      </c>
      <c r="U142" s="1"/>
      <c r="V142" s="5">
        <f t="shared" ref="V142:V147" si="101">IF(T$12=0,0,T142/T$12)</f>
        <v>2.1780157610636684E-3</v>
      </c>
      <c r="W142" s="1"/>
      <c r="X142" s="1">
        <f t="shared" ref="X142:X147" si="102">+P142-T142</f>
        <v>6342.07</v>
      </c>
      <c r="Y142" s="1"/>
      <c r="Z142" s="5">
        <f t="shared" ref="Z142:Z147" si="103">IF(T142=0,0,X142/T142)</f>
        <v>2.8256174008349331</v>
      </c>
    </row>
    <row r="143" spans="1:26" s="24" customFormat="1" hidden="1" outlineLevel="2" x14ac:dyDescent="0.3">
      <c r="A143" s="28"/>
      <c r="B143" s="11" t="str">
        <f>CONCATENATE("          ", "6235", " - ", "COVID-19 EXPENSES")</f>
        <v xml:space="preserve">          6235 - COVID-19 EXPENSES</v>
      </c>
      <c r="C143" s="11"/>
      <c r="D143" s="6"/>
      <c r="E143" s="2"/>
      <c r="F143" s="7">
        <f t="shared" si="96"/>
        <v>0</v>
      </c>
      <c r="G143" s="2"/>
      <c r="H143" s="6"/>
      <c r="I143" s="2"/>
      <c r="J143" s="7">
        <f t="shared" si="97"/>
        <v>0</v>
      </c>
      <c r="K143" s="2"/>
      <c r="L143" s="6">
        <f t="shared" si="98"/>
        <v>0</v>
      </c>
      <c r="M143" s="2"/>
      <c r="N143" s="7">
        <f t="shared" si="99"/>
        <v>0</v>
      </c>
      <c r="O143" s="11"/>
      <c r="P143" s="6"/>
      <c r="Q143" s="2"/>
      <c r="R143" s="7">
        <f t="shared" si="100"/>
        <v>0</v>
      </c>
      <c r="S143" s="2"/>
      <c r="T143" s="6">
        <v>1292.1300000000001</v>
      </c>
      <c r="U143" s="2"/>
      <c r="V143" s="7">
        <f t="shared" si="101"/>
        <v>1.2538614586579569E-3</v>
      </c>
      <c r="W143" s="2"/>
      <c r="X143" s="6">
        <f t="shared" si="102"/>
        <v>-1292.1300000000001</v>
      </c>
      <c r="Y143" s="2"/>
      <c r="Z143" s="7">
        <f t="shared" si="103"/>
        <v>-1</v>
      </c>
    </row>
    <row r="144" spans="1:26" s="24" customFormat="1" hidden="1" outlineLevel="2" x14ac:dyDescent="0.3">
      <c r="A144" s="28"/>
      <c r="B144" s="11" t="str">
        <f>CONCATENATE("          ", "6237", " - ", "JANITORIAL SUPPLIES")</f>
        <v xml:space="preserve">          6237 - JANITORIAL SUPPLIES</v>
      </c>
      <c r="C144" s="11"/>
      <c r="D144" s="6"/>
      <c r="E144" s="2"/>
      <c r="F144" s="7">
        <f t="shared" si="96"/>
        <v>0</v>
      </c>
      <c r="G144" s="2"/>
      <c r="H144" s="6"/>
      <c r="I144" s="2"/>
      <c r="J144" s="7">
        <f t="shared" si="97"/>
        <v>0</v>
      </c>
      <c r="K144" s="2"/>
      <c r="L144" s="6">
        <f t="shared" si="98"/>
        <v>0</v>
      </c>
      <c r="M144" s="2"/>
      <c r="N144" s="7">
        <f t="shared" si="99"/>
        <v>0</v>
      </c>
      <c r="O144" s="11"/>
      <c r="P144" s="6">
        <v>77.17</v>
      </c>
      <c r="Q144" s="2"/>
      <c r="R144" s="7">
        <f t="shared" si="100"/>
        <v>3.7304820004630211E-5</v>
      </c>
      <c r="S144" s="2"/>
      <c r="T144" s="6">
        <v>191.74</v>
      </c>
      <c r="U144" s="2"/>
      <c r="V144" s="7">
        <f t="shared" si="101"/>
        <v>1.8606130658917961E-4</v>
      </c>
      <c r="W144" s="2"/>
      <c r="X144" s="6">
        <f t="shared" si="102"/>
        <v>-114.57000000000001</v>
      </c>
      <c r="Y144" s="2"/>
      <c r="Z144" s="7">
        <f t="shared" si="103"/>
        <v>-0.59752790236778974</v>
      </c>
    </row>
    <row r="145" spans="1:26" s="24" customFormat="1" hidden="1" outlineLevel="2" x14ac:dyDescent="0.3">
      <c r="A145" s="28"/>
      <c r="B145" s="11" t="str">
        <f>CONCATENATE("          ", "6241", " - ", "OFFICE EXPENSE")</f>
        <v xml:space="preserve">          6241 - OFFICE EXPENSE</v>
      </c>
      <c r="C145" s="11"/>
      <c r="D145" s="6">
        <v>485.5</v>
      </c>
      <c r="E145" s="2"/>
      <c r="F145" s="7">
        <f t="shared" si="96"/>
        <v>1.1267137304236102E-3</v>
      </c>
      <c r="G145" s="2"/>
      <c r="H145" s="6">
        <v>50.78</v>
      </c>
      <c r="I145" s="2"/>
      <c r="J145" s="7">
        <f t="shared" si="97"/>
        <v>2.3656825278272847E-4</v>
      </c>
      <c r="K145" s="2"/>
      <c r="L145" s="6">
        <f t="shared" si="98"/>
        <v>434.72</v>
      </c>
      <c r="M145" s="2"/>
      <c r="N145" s="7">
        <f t="shared" si="99"/>
        <v>8.5608507286333211</v>
      </c>
      <c r="O145" s="11"/>
      <c r="P145" s="6">
        <v>1412.98</v>
      </c>
      <c r="Q145" s="2"/>
      <c r="R145" s="7">
        <f t="shared" si="100"/>
        <v>6.8304994907531934E-4</v>
      </c>
      <c r="S145" s="2"/>
      <c r="T145" s="6">
        <v>567.16</v>
      </c>
      <c r="U145" s="2"/>
      <c r="V145" s="7">
        <f t="shared" si="101"/>
        <v>5.5036262983790079E-4</v>
      </c>
      <c r="W145" s="2"/>
      <c r="X145" s="6">
        <f t="shared" si="102"/>
        <v>845.82</v>
      </c>
      <c r="Y145" s="2"/>
      <c r="Z145" s="7">
        <f t="shared" si="103"/>
        <v>1.4913251992383103</v>
      </c>
    </row>
    <row r="146" spans="1:26" s="24" customFormat="1" hidden="1" outlineLevel="2" x14ac:dyDescent="0.3">
      <c r="A146" s="28"/>
      <c r="B146" s="11" t="str">
        <f>CONCATENATE("          ", "6245", " - ", "PRINTING")</f>
        <v xml:space="preserve">          6245 - PRINTING</v>
      </c>
      <c r="C146" s="11"/>
      <c r="D146" s="6">
        <v>24.75</v>
      </c>
      <c r="E146" s="2"/>
      <c r="F146" s="7">
        <f t="shared" si="96"/>
        <v>5.7438032601409576E-5</v>
      </c>
      <c r="G146" s="2"/>
      <c r="H146" s="6"/>
      <c r="I146" s="2"/>
      <c r="J146" s="7">
        <f t="shared" si="97"/>
        <v>0</v>
      </c>
      <c r="K146" s="2"/>
      <c r="L146" s="6">
        <f t="shared" si="98"/>
        <v>24.75</v>
      </c>
      <c r="M146" s="2"/>
      <c r="N146" s="7">
        <f t="shared" si="99"/>
        <v>0</v>
      </c>
      <c r="O146" s="11"/>
      <c r="P146" s="6">
        <v>24.75</v>
      </c>
      <c r="Q146" s="2"/>
      <c r="R146" s="7">
        <f t="shared" si="100"/>
        <v>1.1964420048135256E-5</v>
      </c>
      <c r="S146" s="2"/>
      <c r="T146" s="6"/>
      <c r="U146" s="2"/>
      <c r="V146" s="7">
        <f t="shared" si="101"/>
        <v>0</v>
      </c>
      <c r="W146" s="2"/>
      <c r="X146" s="6">
        <f t="shared" si="102"/>
        <v>24.75</v>
      </c>
      <c r="Y146" s="2"/>
      <c r="Z146" s="7">
        <f t="shared" si="103"/>
        <v>0</v>
      </c>
    </row>
    <row r="147" spans="1:26" s="24" customFormat="1" hidden="1" outlineLevel="2" x14ac:dyDescent="0.3">
      <c r="A147" s="28"/>
      <c r="B147" s="11" t="str">
        <f>CONCATENATE("          ", "6247", " - ", "STORE SUPPLIES")</f>
        <v xml:space="preserve">          6247 - STORE SUPPLIES</v>
      </c>
      <c r="C147" s="11"/>
      <c r="D147" s="6">
        <v>441.49</v>
      </c>
      <c r="E147" s="2"/>
      <c r="F147" s="7">
        <f t="shared" si="96"/>
        <v>1.0245784651796491E-3</v>
      </c>
      <c r="G147" s="2"/>
      <c r="H147" s="6">
        <v>6.75</v>
      </c>
      <c r="I147" s="2"/>
      <c r="J147" s="7">
        <f t="shared" si="97"/>
        <v>3.1446154121374893E-5</v>
      </c>
      <c r="K147" s="2"/>
      <c r="L147" s="6">
        <f t="shared" si="98"/>
        <v>434.74</v>
      </c>
      <c r="M147" s="2"/>
      <c r="N147" s="7">
        <f t="shared" si="99"/>
        <v>64.405925925925928</v>
      </c>
      <c r="O147" s="11"/>
      <c r="P147" s="6">
        <v>7071.66</v>
      </c>
      <c r="Q147" s="2"/>
      <c r="R147" s="7">
        <f t="shared" si="100"/>
        <v>3.4185176031351987E-3</v>
      </c>
      <c r="S147" s="2"/>
      <c r="T147" s="6">
        <v>193.46</v>
      </c>
      <c r="U147" s="2"/>
      <c r="V147" s="7">
        <f t="shared" si="101"/>
        <v>1.8773036597863088E-4</v>
      </c>
      <c r="W147" s="2"/>
      <c r="X147" s="6">
        <f t="shared" si="102"/>
        <v>6878.2</v>
      </c>
      <c r="Y147" s="2"/>
      <c r="Z147" s="7">
        <f t="shared" si="103"/>
        <v>35.553602811950789</v>
      </c>
    </row>
    <row r="148" spans="1:26" s="29" customFormat="1" outlineLevel="1" collapsed="1" x14ac:dyDescent="0.3">
      <c r="A148" s="27"/>
      <c r="B148" s="14" t="str">
        <f>CONCATENATE("     ","Telephone/Data Lines                              ")</f>
        <v xml:space="preserve">     Telephone/Data Lines                              </v>
      </c>
      <c r="C148" s="14"/>
      <c r="D148" s="1">
        <f>SUM(OSRRefD22_19x_0)</f>
        <v>409.69</v>
      </c>
      <c r="E148" s="1"/>
      <c r="F148" s="5">
        <f t="shared" ref="F148:F153" si="104">IF(D$12=0,0,D148/D$12)</f>
        <v>9.507792960190501E-4</v>
      </c>
      <c r="G148" s="1"/>
      <c r="H148" s="1">
        <f>SUM(OSRRefH22_19x_0)</f>
        <v>693.58</v>
      </c>
      <c r="I148" s="1"/>
      <c r="J148" s="5">
        <f t="shared" ref="J148:J153" si="105">IF(H$12=0,0,H148/H$12)</f>
        <v>3.2311738630375112E-3</v>
      </c>
      <c r="K148" s="1"/>
      <c r="L148" s="1">
        <f t="shared" ref="L148:L153" si="106">+D148-H148</f>
        <v>-283.89000000000004</v>
      </c>
      <c r="M148" s="1"/>
      <c r="N148" s="5">
        <f t="shared" ref="N148:N153" si="107">IF(H148=0,0,L148/H148)</f>
        <v>-0.40931111047031349</v>
      </c>
      <c r="O148" s="14"/>
      <c r="P148" s="1">
        <f>SUM(OSRRefP22_19x_0)</f>
        <v>3033.34</v>
      </c>
      <c r="Q148" s="1"/>
      <c r="R148" s="5">
        <f t="shared" ref="R148:R153" si="108">IF(P$12=0,0,P148/P$12)</f>
        <v>1.4663496528812363E-3</v>
      </c>
      <c r="S148" s="1"/>
      <c r="T148" s="1">
        <f>SUM(OSRRefT22_19x_0)</f>
        <v>4629.7</v>
      </c>
      <c r="U148" s="1"/>
      <c r="V148" s="5">
        <f t="shared" ref="V148:V153" si="109">IF(T$12=0,0,T148/T$12)</f>
        <v>4.4925838693852345E-3</v>
      </c>
      <c r="W148" s="1"/>
      <c r="X148" s="1">
        <f t="shared" ref="X148:X153" si="110">+P148-T148</f>
        <v>-1596.3599999999997</v>
      </c>
      <c r="Y148" s="1"/>
      <c r="Z148" s="5">
        <f t="shared" ref="Z148:Z153" si="111">IF(T148=0,0,X148/T148)</f>
        <v>-0.34480851891051251</v>
      </c>
    </row>
    <row r="149" spans="1:26" s="24" customFormat="1" hidden="1" outlineLevel="2" x14ac:dyDescent="0.3">
      <c r="A149" s="28"/>
      <c r="B149" s="11" t="str">
        <f>CONCATENATE("          ", "6309", " - ", "TELEPHONE")</f>
        <v xml:space="preserve">          6309 - TELEPHONE</v>
      </c>
      <c r="C149" s="11"/>
      <c r="D149" s="6">
        <v>409.69</v>
      </c>
      <c r="E149" s="2"/>
      <c r="F149" s="7">
        <f t="shared" si="104"/>
        <v>9.507792960190501E-4</v>
      </c>
      <c r="G149" s="2"/>
      <c r="H149" s="6">
        <v>693.58</v>
      </c>
      <c r="I149" s="2"/>
      <c r="J149" s="7">
        <f t="shared" si="105"/>
        <v>3.2311738630375112E-3</v>
      </c>
      <c r="K149" s="2"/>
      <c r="L149" s="6">
        <f t="shared" si="106"/>
        <v>-283.89000000000004</v>
      </c>
      <c r="M149" s="2"/>
      <c r="N149" s="7">
        <f t="shared" si="107"/>
        <v>-0.40931111047031349</v>
      </c>
      <c r="O149" s="11"/>
      <c r="P149" s="6">
        <v>3033.34</v>
      </c>
      <c r="Q149" s="2"/>
      <c r="R149" s="7">
        <f t="shared" si="108"/>
        <v>1.4663496528812363E-3</v>
      </c>
      <c r="S149" s="2"/>
      <c r="T149" s="6">
        <v>4629.7</v>
      </c>
      <c r="U149" s="2"/>
      <c r="V149" s="7">
        <f t="shared" si="109"/>
        <v>4.4925838693852345E-3</v>
      </c>
      <c r="W149" s="2"/>
      <c r="X149" s="6">
        <f t="shared" si="110"/>
        <v>-1596.3599999999997</v>
      </c>
      <c r="Y149" s="2"/>
      <c r="Z149" s="7">
        <f t="shared" si="111"/>
        <v>-0.34480851891051251</v>
      </c>
    </row>
    <row r="150" spans="1:26" s="29" customFormat="1" outlineLevel="1" collapsed="1" x14ac:dyDescent="0.3">
      <c r="A150" s="27"/>
      <c r="B150" s="14" t="str">
        <f>CONCATENATE("     ","Travel                                            ")</f>
        <v xml:space="preserve">     Travel                                            </v>
      </c>
      <c r="C150" s="14"/>
      <c r="D150" s="1">
        <f>SUM(OSRRefD22_20x_0)</f>
        <v>24.4</v>
      </c>
      <c r="E150" s="1"/>
      <c r="F150" s="5">
        <f t="shared" si="104"/>
        <v>5.6625777594924995E-5</v>
      </c>
      <c r="G150" s="1"/>
      <c r="H150" s="1">
        <f>SUM(OSRRefH22_20x_0)</f>
        <v>0</v>
      </c>
      <c r="I150" s="1"/>
      <c r="J150" s="5">
        <f t="shared" si="105"/>
        <v>0</v>
      </c>
      <c r="K150" s="1"/>
      <c r="L150" s="1">
        <f t="shared" si="106"/>
        <v>24.4</v>
      </c>
      <c r="M150" s="1"/>
      <c r="N150" s="5">
        <f t="shared" si="107"/>
        <v>0</v>
      </c>
      <c r="O150" s="14"/>
      <c r="P150" s="1">
        <f>SUM(OSRRefP22_20x_0)</f>
        <v>239.93</v>
      </c>
      <c r="Q150" s="1"/>
      <c r="R150" s="5">
        <f t="shared" si="108"/>
        <v>1.1598477988481181E-4</v>
      </c>
      <c r="S150" s="1"/>
      <c r="T150" s="1">
        <f>SUM(OSRRefT22_20x_0)</f>
        <v>321.88</v>
      </c>
      <c r="U150" s="1"/>
      <c r="V150" s="5">
        <f t="shared" si="109"/>
        <v>3.1234699783522023E-4</v>
      </c>
      <c r="W150" s="1"/>
      <c r="X150" s="1">
        <f t="shared" si="110"/>
        <v>-81.949999999999989</v>
      </c>
      <c r="Y150" s="1"/>
      <c r="Z150" s="5">
        <f t="shared" si="111"/>
        <v>-0.25459798682738904</v>
      </c>
    </row>
    <row r="151" spans="1:26" s="24" customFormat="1" hidden="1" outlineLevel="2" x14ac:dyDescent="0.3">
      <c r="A151" s="28"/>
      <c r="B151" s="11" t="str">
        <f>CONCATENATE("          ", "6294", " - ", "TRAVEL OPERATIONAL")</f>
        <v xml:space="preserve">          6294 - TRAVEL OPERATIONAL</v>
      </c>
      <c r="C151" s="11"/>
      <c r="D151" s="6">
        <v>24.4</v>
      </c>
      <c r="E151" s="2"/>
      <c r="F151" s="7">
        <f t="shared" si="104"/>
        <v>5.6625777594924995E-5</v>
      </c>
      <c r="G151" s="2"/>
      <c r="H151" s="6"/>
      <c r="I151" s="2"/>
      <c r="J151" s="7">
        <f t="shared" si="105"/>
        <v>0</v>
      </c>
      <c r="K151" s="2"/>
      <c r="L151" s="6">
        <f t="shared" si="106"/>
        <v>24.4</v>
      </c>
      <c r="M151" s="2"/>
      <c r="N151" s="7">
        <f t="shared" si="107"/>
        <v>0</v>
      </c>
      <c r="O151" s="11"/>
      <c r="P151" s="6">
        <v>239.93</v>
      </c>
      <c r="Q151" s="2"/>
      <c r="R151" s="7">
        <f t="shared" si="108"/>
        <v>1.1598477988481181E-4</v>
      </c>
      <c r="S151" s="2"/>
      <c r="T151" s="6">
        <v>321.88</v>
      </c>
      <c r="U151" s="2"/>
      <c r="V151" s="7">
        <f t="shared" si="109"/>
        <v>3.1234699783522023E-4</v>
      </c>
      <c r="W151" s="2"/>
      <c r="X151" s="6">
        <f t="shared" si="110"/>
        <v>-81.949999999999989</v>
      </c>
      <c r="Y151" s="2"/>
      <c r="Z151" s="7">
        <f t="shared" si="111"/>
        <v>-0.25459798682738904</v>
      </c>
    </row>
    <row r="152" spans="1:26" s="29" customFormat="1" outlineLevel="1" collapsed="1" x14ac:dyDescent="0.3">
      <c r="A152" s="27"/>
      <c r="B152" s="14" t="str">
        <f>CONCATENATE("     ","Utilities                                         ")</f>
        <v xml:space="preserve">     Utilities                                         </v>
      </c>
      <c r="C152" s="14"/>
      <c r="D152" s="1">
        <f>SUM(OSRRefD22_21x_0)</f>
        <v>62.92</v>
      </c>
      <c r="E152" s="1"/>
      <c r="F152" s="5">
        <f t="shared" si="104"/>
        <v>1.460202428800279E-4</v>
      </c>
      <c r="G152" s="1"/>
      <c r="H152" s="1">
        <f>SUM(OSRRefH22_21x_0)</f>
        <v>42.61</v>
      </c>
      <c r="I152" s="1"/>
      <c r="J152" s="5">
        <f t="shared" si="105"/>
        <v>1.9850675957211618E-4</v>
      </c>
      <c r="K152" s="1"/>
      <c r="L152" s="1">
        <f t="shared" si="106"/>
        <v>20.310000000000002</v>
      </c>
      <c r="M152" s="1"/>
      <c r="N152" s="5">
        <f t="shared" si="107"/>
        <v>0.47664867402018313</v>
      </c>
      <c r="O152" s="14"/>
      <c r="P152" s="1">
        <f>SUM(OSRRefP22_21x_0)</f>
        <v>246.51</v>
      </c>
      <c r="Q152" s="1"/>
      <c r="R152" s="5">
        <f t="shared" si="108"/>
        <v>1.1916562367942714E-4</v>
      </c>
      <c r="S152" s="1"/>
      <c r="T152" s="1">
        <f>SUM(OSRRefT22_21x_0)</f>
        <v>144.4</v>
      </c>
      <c r="U152" s="1"/>
      <c r="V152" s="5">
        <f t="shared" si="109"/>
        <v>1.4012335804463094E-4</v>
      </c>
      <c r="W152" s="1"/>
      <c r="X152" s="1">
        <f t="shared" si="110"/>
        <v>102.10999999999999</v>
      </c>
      <c r="Y152" s="1"/>
      <c r="Z152" s="5">
        <f t="shared" si="111"/>
        <v>0.70713296398891956</v>
      </c>
    </row>
    <row r="153" spans="1:26" s="24" customFormat="1" hidden="1" outlineLevel="2" x14ac:dyDescent="0.3">
      <c r="A153" s="28"/>
      <c r="B153" s="11" t="str">
        <f>CONCATENATE("          ", "6274", " - ", "UTILITIES")</f>
        <v xml:space="preserve">          6274 - UTILITIES</v>
      </c>
      <c r="C153" s="11"/>
      <c r="D153" s="6">
        <v>62.92</v>
      </c>
      <c r="E153" s="2"/>
      <c r="F153" s="7">
        <f t="shared" si="104"/>
        <v>1.460202428800279E-4</v>
      </c>
      <c r="G153" s="2"/>
      <c r="H153" s="6">
        <v>42.61</v>
      </c>
      <c r="I153" s="2"/>
      <c r="J153" s="7">
        <f t="shared" si="105"/>
        <v>1.9850675957211618E-4</v>
      </c>
      <c r="K153" s="2"/>
      <c r="L153" s="6">
        <f t="shared" si="106"/>
        <v>20.310000000000002</v>
      </c>
      <c r="M153" s="2"/>
      <c r="N153" s="7">
        <f t="shared" si="107"/>
        <v>0.47664867402018313</v>
      </c>
      <c r="O153" s="11"/>
      <c r="P153" s="6">
        <v>246.51</v>
      </c>
      <c r="Q153" s="2"/>
      <c r="R153" s="7">
        <f t="shared" si="108"/>
        <v>1.1916562367942714E-4</v>
      </c>
      <c r="S153" s="2"/>
      <c r="T153" s="6">
        <v>144.4</v>
      </c>
      <c r="U153" s="2"/>
      <c r="V153" s="7">
        <f t="shared" si="109"/>
        <v>1.4012335804463094E-4</v>
      </c>
      <c r="W153" s="2"/>
      <c r="X153" s="6">
        <f t="shared" si="110"/>
        <v>102.10999999999999</v>
      </c>
      <c r="Y153" s="2"/>
      <c r="Z153" s="7">
        <f t="shared" si="111"/>
        <v>0.70713296398891956</v>
      </c>
    </row>
    <row r="154" spans="1:26" s="53" customFormat="1" x14ac:dyDescent="0.3">
      <c r="A154" s="37"/>
      <c r="B154" s="37"/>
      <c r="C154" s="37"/>
      <c r="D154" s="1"/>
      <c r="E154" s="1"/>
      <c r="F154" s="5"/>
      <c r="G154" s="1"/>
      <c r="H154" s="1"/>
      <c r="I154" s="1"/>
      <c r="J154" s="5"/>
      <c r="K154" s="1"/>
      <c r="L154" s="1"/>
      <c r="M154" s="1"/>
      <c r="N154" s="5"/>
      <c r="O154" s="37"/>
      <c r="P154" s="1"/>
      <c r="Q154" s="1"/>
      <c r="R154" s="5"/>
      <c r="S154" s="1"/>
      <c r="T154" s="1"/>
      <c r="U154" s="1"/>
      <c r="V154" s="5"/>
      <c r="W154" s="1"/>
      <c r="X154" s="1"/>
      <c r="Y154" s="1"/>
      <c r="Z154" s="5"/>
    </row>
    <row r="155" spans="1:26" s="23" customFormat="1" collapsed="1" x14ac:dyDescent="0.3">
      <c r="A155" s="10"/>
      <c r="B155" s="25" t="s">
        <v>292</v>
      </c>
      <c r="C155" s="10"/>
      <c r="D155" s="4">
        <f>SUM(OSRRefD25x_0)</f>
        <v>290</v>
      </c>
      <c r="E155" s="4"/>
      <c r="F155" s="12">
        <f t="shared" ref="F155:F157" si="112">IF(D$12=0,0,D155/D$12)</f>
        <v>6.7301129108722328E-4</v>
      </c>
      <c r="G155" s="4"/>
      <c r="H155" s="4">
        <f>SUM(OSRRefH25x_0)</f>
        <v>-1666.87</v>
      </c>
      <c r="I155" s="4"/>
      <c r="J155" s="12">
        <f t="shared" ref="J155:J157" si="113">IF(H$12=0,0,H155/H$12)</f>
        <v>-7.7654297659698023E-3</v>
      </c>
      <c r="K155" s="4"/>
      <c r="L155" s="4">
        <f t="shared" ref="L155:L157" si="114">+D155-H155</f>
        <v>1956.87</v>
      </c>
      <c r="M155" s="4"/>
      <c r="N155" s="12">
        <f t="shared" ref="N155:N157" si="115">IF(H155=0,0,L155/H155)</f>
        <v>-1.1739787745895001</v>
      </c>
      <c r="O155" s="10"/>
      <c r="P155" s="4">
        <f>SUM(OSRRefP25x_0)</f>
        <v>119353.12</v>
      </c>
      <c r="Q155" s="4"/>
      <c r="R155" s="12">
        <f t="shared" ref="R155:R157" si="116">IF(P$12=0,0,P155/P$12)</f>
        <v>5.7696600474161329E-2</v>
      </c>
      <c r="S155" s="4"/>
      <c r="T155" s="4">
        <f>SUM(OSRRefT25x_0)</f>
        <v>206207.58</v>
      </c>
      <c r="U155" s="4"/>
      <c r="V155" s="12">
        <f t="shared" ref="V155:V157" si="117">IF(T$12=0,0,T155/T$12)</f>
        <v>0.20010040556687586</v>
      </c>
      <c r="W155" s="4"/>
      <c r="X155" s="4">
        <f t="shared" ref="X155:X157" si="118">+P155-T155</f>
        <v>-86854.459999999992</v>
      </c>
      <c r="Y155" s="4"/>
      <c r="Z155" s="12">
        <f t="shared" ref="Z155:Z157" si="119">IF(T155=0,0,X155/T155)</f>
        <v>-0.42119916251381251</v>
      </c>
    </row>
    <row r="156" spans="1:26" s="24" customFormat="1" hidden="1" outlineLevel="1" x14ac:dyDescent="0.3">
      <c r="A156" s="44"/>
      <c r="B156" s="11" t="str">
        <f>CONCATENATE("          ", "9150", " - ", "MISC. INCOME")</f>
        <v xml:space="preserve">          9150 - MISC. INCOME</v>
      </c>
      <c r="C156" s="11"/>
      <c r="D156" s="2">
        <f>--290</f>
        <v>290</v>
      </c>
      <c r="E156" s="2"/>
      <c r="F156" s="19">
        <f t="shared" si="112"/>
        <v>6.7301129108722328E-4</v>
      </c>
      <c r="G156" s="2"/>
      <c r="H156" s="2">
        <f>-1666.87</f>
        <v>-1666.87</v>
      </c>
      <c r="I156" s="2"/>
      <c r="J156" s="19">
        <f t="shared" si="113"/>
        <v>-7.7654297659698023E-3</v>
      </c>
      <c r="K156" s="2"/>
      <c r="L156" s="2">
        <f t="shared" si="114"/>
        <v>1956.87</v>
      </c>
      <c r="M156" s="2"/>
      <c r="N156" s="19">
        <f t="shared" si="115"/>
        <v>-1.1739787745895001</v>
      </c>
      <c r="O156" s="11"/>
      <c r="P156" s="2">
        <f>--46604.92</f>
        <v>46604.92</v>
      </c>
      <c r="Q156" s="2"/>
      <c r="R156" s="19">
        <f t="shared" si="116"/>
        <v>2.252932683594908E-2</v>
      </c>
      <c r="S156" s="2"/>
      <c r="T156" s="2">
        <f>--30801.74</f>
        <v>30801.74</v>
      </c>
      <c r="U156" s="2"/>
      <c r="V156" s="19">
        <f t="shared" si="117"/>
        <v>2.9889496138626251E-2</v>
      </c>
      <c r="W156" s="2"/>
      <c r="X156" s="2">
        <f t="shared" si="118"/>
        <v>15803.179999999997</v>
      </c>
      <c r="Y156" s="2"/>
      <c r="Z156" s="19">
        <f t="shared" si="119"/>
        <v>0.51306127510978261</v>
      </c>
    </row>
    <row r="157" spans="1:26" s="24" customFormat="1" hidden="1" outlineLevel="1" x14ac:dyDescent="0.3">
      <c r="A157" s="44"/>
      <c r="B157" s="11" t="str">
        <f>CONCATENATE("          ", "9163", " - ", "MISC. INCOME")</f>
        <v xml:space="preserve">          9163 - MISC. INCOME</v>
      </c>
      <c r="C157" s="11"/>
      <c r="D157" s="2">
        <f>0</f>
        <v>0</v>
      </c>
      <c r="E157" s="2"/>
      <c r="F157" s="19">
        <f t="shared" si="112"/>
        <v>0</v>
      </c>
      <c r="G157" s="2"/>
      <c r="H157" s="2">
        <f>0</f>
        <v>0</v>
      </c>
      <c r="I157" s="2"/>
      <c r="J157" s="19">
        <f t="shared" si="113"/>
        <v>0</v>
      </c>
      <c r="K157" s="2"/>
      <c r="L157" s="2">
        <f t="shared" si="114"/>
        <v>0</v>
      </c>
      <c r="M157" s="2"/>
      <c r="N157" s="19">
        <f t="shared" si="115"/>
        <v>0</v>
      </c>
      <c r="O157" s="11"/>
      <c r="P157" s="2">
        <f>--72748.2</f>
        <v>72748.2</v>
      </c>
      <c r="Q157" s="2"/>
      <c r="R157" s="19">
        <f t="shared" si="116"/>
        <v>3.5167273638212253E-2</v>
      </c>
      <c r="S157" s="2"/>
      <c r="T157" s="2">
        <f>--175405.84</f>
        <v>175405.84</v>
      </c>
      <c r="U157" s="2"/>
      <c r="V157" s="19">
        <f t="shared" si="117"/>
        <v>0.17021090942824962</v>
      </c>
      <c r="W157" s="2"/>
      <c r="X157" s="2">
        <f t="shared" si="118"/>
        <v>-102657.64</v>
      </c>
      <c r="Y157" s="2"/>
      <c r="Z157" s="19">
        <f t="shared" si="119"/>
        <v>-0.58525782265858428</v>
      </c>
    </row>
    <row r="158" spans="1:26" x14ac:dyDescent="0.3">
      <c r="A158" s="9"/>
      <c r="B158" s="10"/>
      <c r="C158" s="10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O158" s="10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s="23" customFormat="1" x14ac:dyDescent="0.3">
      <c r="A159" s="10"/>
      <c r="B159" s="26" t="s">
        <v>276</v>
      </c>
      <c r="C159" s="26"/>
      <c r="D159" s="20">
        <f>+D83-D85+D155</f>
        <v>130239.74</v>
      </c>
      <c r="E159" s="13"/>
      <c r="F159" s="21">
        <f>IF(D$12=0,0,D159/D$12)</f>
        <v>0.30225108816642859</v>
      </c>
      <c r="G159" s="13"/>
      <c r="H159" s="20">
        <f>+H83-H85+H155</f>
        <v>25567.449999999972</v>
      </c>
      <c r="I159" s="13"/>
      <c r="J159" s="21">
        <f>IF(H$12=0,0,H159/H$12)</f>
        <v>0.1191108108430438</v>
      </c>
      <c r="K159" s="15"/>
      <c r="L159" s="20">
        <f>+D159-H159</f>
        <v>104672.29000000004</v>
      </c>
      <c r="M159" s="15"/>
      <c r="N159" s="21">
        <f>IF(H159=0,0,L159/H159)</f>
        <v>4.093966742870335</v>
      </c>
      <c r="O159" s="25"/>
      <c r="P159" s="20">
        <f>+P83-P85+P155</f>
        <v>615262.99999999965</v>
      </c>
      <c r="Q159" s="13"/>
      <c r="R159" s="21">
        <f>IF(P$12=0,0,P159/P$12)</f>
        <v>0.29742484735659952</v>
      </c>
      <c r="S159" s="13"/>
      <c r="T159" s="20">
        <f>+T83-T85+T155</f>
        <v>232840.65000000005</v>
      </c>
      <c r="U159" s="13"/>
      <c r="V159" s="21">
        <f>IF(T$12=0,0,T159/T$12)</f>
        <v>0.22594469367932551</v>
      </c>
      <c r="W159" s="15"/>
      <c r="X159" s="20">
        <f>+P159-T159</f>
        <v>382422.34999999963</v>
      </c>
      <c r="Y159" s="15"/>
      <c r="Z159" s="21">
        <f>IF(T159=0,0,X159/T159)</f>
        <v>1.6424209003024151</v>
      </c>
    </row>
    <row r="160" spans="1:26" x14ac:dyDescent="0.3">
      <c r="A160" s="9"/>
      <c r="B160" s="10"/>
      <c r="C160" s="9"/>
      <c r="D160" s="3"/>
      <c r="E160" s="3"/>
      <c r="F160" s="8"/>
      <c r="G160" s="3"/>
      <c r="H160" s="3"/>
      <c r="I160" s="3"/>
      <c r="J160" s="8"/>
      <c r="K160" s="3"/>
      <c r="L160" s="3"/>
      <c r="M160" s="3"/>
      <c r="N160" s="8"/>
      <c r="P160" s="3"/>
      <c r="Q160" s="3"/>
      <c r="R160" s="8"/>
      <c r="S160" s="3"/>
      <c r="T160" s="3"/>
      <c r="U160" s="3"/>
      <c r="V160" s="8"/>
      <c r="W160" s="3"/>
      <c r="X160" s="3"/>
      <c r="Y160" s="3"/>
      <c r="Z160" s="8"/>
    </row>
    <row r="161" spans="1:26" s="23" customFormat="1" x14ac:dyDescent="0.3">
      <c r="A161" s="51"/>
      <c r="B161" s="10" t="s">
        <v>127</v>
      </c>
      <c r="C161" s="10"/>
      <c r="D161" s="4">
        <v>53929.69</v>
      </c>
      <c r="E161" s="4"/>
      <c r="F161" s="12">
        <f>IF(D$12=0,0,D161/D$12)</f>
        <v>0.12515617343046109</v>
      </c>
      <c r="G161" s="4"/>
      <c r="H161" s="4">
        <v>66763.31</v>
      </c>
      <c r="I161" s="4"/>
      <c r="J161" s="12">
        <f>IF(H$12=0,0,H161/H$12)</f>
        <v>0.31102953124638955</v>
      </c>
      <c r="K161" s="4"/>
      <c r="L161" s="4">
        <f>+D161-H161</f>
        <v>-12833.619999999995</v>
      </c>
      <c r="M161" s="4"/>
      <c r="N161" s="12">
        <f>IF(H161=0,0,L161/H161)</f>
        <v>-0.19222564010082777</v>
      </c>
      <c r="O161" s="10"/>
      <c r="P161" s="4">
        <v>249003.07</v>
      </c>
      <c r="Q161" s="4"/>
      <c r="R161" s="12">
        <f>IF(P$12=0,0,P161/P$12)</f>
        <v>0.1203708009194031</v>
      </c>
      <c r="S161" s="4"/>
      <c r="T161" s="4">
        <v>196404.74</v>
      </c>
      <c r="U161" s="4"/>
      <c r="V161" s="12">
        <f>IF(T$12=0,0,T161/T$12)</f>
        <v>0.19058789269170806</v>
      </c>
      <c r="W161" s="4"/>
      <c r="X161" s="4">
        <f>+P161-T161</f>
        <v>52598.330000000016</v>
      </c>
      <c r="Y161" s="4"/>
      <c r="Z161" s="12">
        <f>IF(T161=0,0,X161/T161)</f>
        <v>0.26780580753804628</v>
      </c>
    </row>
    <row r="162" spans="1:26" x14ac:dyDescent="0.3">
      <c r="A162" s="9"/>
      <c r="B162" s="10"/>
      <c r="C162" s="10"/>
      <c r="D162" s="3"/>
      <c r="E162" s="3"/>
      <c r="F162" s="8"/>
      <c r="G162" s="3"/>
      <c r="H162" s="3"/>
      <c r="I162" s="3"/>
      <c r="J162" s="8"/>
      <c r="K162" s="3"/>
      <c r="L162" s="3"/>
      <c r="M162" s="3"/>
      <c r="N162" s="8"/>
      <c r="O162" s="10"/>
      <c r="P162" s="3"/>
      <c r="Q162" s="3"/>
      <c r="R162" s="8"/>
      <c r="S162" s="3"/>
      <c r="T162" s="3"/>
      <c r="U162" s="3"/>
      <c r="V162" s="8"/>
      <c r="W162" s="3"/>
      <c r="X162" s="3"/>
      <c r="Y162" s="3"/>
      <c r="Z162" s="8"/>
    </row>
    <row r="163" spans="1:26" s="23" customFormat="1" ht="15" thickBot="1" x14ac:dyDescent="0.35">
      <c r="A163" s="10"/>
      <c r="B163" s="26" t="s">
        <v>125</v>
      </c>
      <c r="C163" s="26"/>
      <c r="D163" s="32">
        <f>+D159-D161</f>
        <v>76310.05</v>
      </c>
      <c r="E163" s="13"/>
      <c r="F163" s="35">
        <f>IF(D$12=0,0,D163/D$12)</f>
        <v>0.17709491473596747</v>
      </c>
      <c r="G163" s="13"/>
      <c r="H163" s="32">
        <f>+H159-H161</f>
        <v>-41195.86000000003</v>
      </c>
      <c r="I163" s="13"/>
      <c r="J163" s="35">
        <f>IF(H$12=0,0,H163/H$12)</f>
        <v>-0.19191872040334579</v>
      </c>
      <c r="K163" s="15"/>
      <c r="L163" s="32">
        <f>D163-H163</f>
        <v>117505.91000000003</v>
      </c>
      <c r="M163" s="15"/>
      <c r="N163" s="35">
        <f>IF(H163=0,0,L163/H163)</f>
        <v>-2.852371816002869</v>
      </c>
      <c r="O163" s="25"/>
      <c r="P163" s="32">
        <f>+P159-P161</f>
        <v>366259.92999999964</v>
      </c>
      <c r="Q163" s="13"/>
      <c r="R163" s="35">
        <f>IF(P$12=0,0,P163/P$12)</f>
        <v>0.17705404643719641</v>
      </c>
      <c r="S163" s="13"/>
      <c r="T163" s="32">
        <f>+T159-T161</f>
        <v>36435.910000000062</v>
      </c>
      <c r="U163" s="13"/>
      <c r="V163" s="35">
        <f>IF(T$12=0,0,T163/T$12)</f>
        <v>3.5356800987617433E-2</v>
      </c>
      <c r="W163" s="15"/>
      <c r="X163" s="32">
        <f>P163-T163</f>
        <v>329824.01999999955</v>
      </c>
      <c r="Y163" s="15"/>
      <c r="Z163" s="35">
        <f>IF(T163=0,0,X163/T163)</f>
        <v>9.0521691375348929</v>
      </c>
    </row>
    <row r="164" spans="1:26" ht="15" thickTop="1" x14ac:dyDescent="0.3">
      <c r="A164" s="9"/>
      <c r="B164" s="9"/>
      <c r="C164" s="9"/>
      <c r="D164" s="3"/>
      <c r="E164" s="3"/>
      <c r="F164" s="8"/>
      <c r="G164" s="3"/>
      <c r="H164" s="3"/>
      <c r="I164" s="3"/>
      <c r="J164" s="8"/>
      <c r="K164" s="3"/>
      <c r="L164" s="3"/>
      <c r="M164" s="3"/>
      <c r="N164" s="8"/>
      <c r="P164" s="3"/>
      <c r="Q164" s="3"/>
      <c r="R164" s="8"/>
      <c r="S164" s="3"/>
      <c r="T164" s="3"/>
      <c r="U164" s="3"/>
      <c r="V164" s="8"/>
      <c r="W164" s="3"/>
      <c r="X164" s="3"/>
      <c r="Y164" s="3"/>
      <c r="Z164" s="8"/>
    </row>
    <row r="165" spans="1:26" x14ac:dyDescent="0.3">
      <c r="A165" s="9"/>
      <c r="B165" s="9"/>
      <c r="C165" s="9"/>
      <c r="D165" s="3"/>
      <c r="E165" s="3"/>
      <c r="F165" s="8"/>
      <c r="G165" s="3"/>
      <c r="H165" s="3"/>
      <c r="I165" s="3"/>
      <c r="J165" s="8"/>
      <c r="K165" s="3"/>
      <c r="L165" s="3"/>
      <c r="M165" s="3"/>
      <c r="N165" s="8"/>
      <c r="P165" s="3"/>
      <c r="Q165" s="3"/>
      <c r="R165" s="8"/>
      <c r="S165" s="3"/>
      <c r="T165" s="3"/>
      <c r="U165" s="3"/>
      <c r="V165" s="8"/>
      <c r="W165" s="3"/>
      <c r="X165" s="3"/>
      <c r="Y165" s="3"/>
      <c r="Z165" s="8"/>
    </row>
    <row r="166" spans="1:26" s="23" customFormat="1" ht="15" thickBot="1" x14ac:dyDescent="0.35">
      <c r="A166" s="10"/>
      <c r="B166" s="26" t="s">
        <v>293</v>
      </c>
      <c r="C166" s="26"/>
      <c r="D166" s="31">
        <f>SUM(D163:D165)</f>
        <v>76310.05</v>
      </c>
      <c r="E166" s="13"/>
      <c r="F166" s="33">
        <f>IF(D$12=0,0,D166/D$12)</f>
        <v>0.17709491473596747</v>
      </c>
      <c r="G166" s="13"/>
      <c r="H166" s="31">
        <f>SUM(H163:H165)</f>
        <v>-41195.86000000003</v>
      </c>
      <c r="I166" s="13"/>
      <c r="J166" s="33">
        <f>IF(H$12=0,0,H166/H$12)</f>
        <v>-0.19191872040334579</v>
      </c>
      <c r="K166" s="15"/>
      <c r="L166" s="31">
        <f>+D166-H166</f>
        <v>117505.91000000003</v>
      </c>
      <c r="M166" s="15"/>
      <c r="N166" s="33">
        <f>IF(H166=0,0,L166/H166)</f>
        <v>-2.852371816002869</v>
      </c>
      <c r="O166" s="25"/>
      <c r="P166" s="31">
        <f>SUM(P163:P165)</f>
        <v>366259.92999999964</v>
      </c>
      <c r="Q166" s="13"/>
      <c r="R166" s="33">
        <f>IF(P$12=0,0,P166/P$12)</f>
        <v>0.17705404643719641</v>
      </c>
      <c r="S166" s="13"/>
      <c r="T166" s="31">
        <f>SUM(T163:T165)</f>
        <v>36435.910000000062</v>
      </c>
      <c r="U166" s="13"/>
      <c r="V166" s="33">
        <f>IF(T$12=0,0,T166/T$12)</f>
        <v>3.5356800987617433E-2</v>
      </c>
      <c r="W166" s="15"/>
      <c r="X166" s="31">
        <f>+P166-T166</f>
        <v>329824.01999999955</v>
      </c>
      <c r="Y166" s="15"/>
      <c r="Z166" s="33">
        <f>IF(T166=0,0,X166/T166)</f>
        <v>9.0521691375348929</v>
      </c>
    </row>
    <row r="167" spans="1:26" ht="15" thickTop="1" x14ac:dyDescent="0.3">
      <c r="A167" s="9"/>
      <c r="C167" s="9"/>
      <c r="D167" s="17"/>
      <c r="E167" s="17"/>
      <c r="G167" s="17"/>
      <c r="H167" s="17"/>
      <c r="I167" s="17"/>
      <c r="J167" s="43"/>
      <c r="K167" s="17"/>
      <c r="L167" s="17"/>
      <c r="M167" s="17"/>
      <c r="P167" s="17"/>
      <c r="Q167" s="17"/>
      <c r="R167" s="43"/>
      <c r="S167" s="17"/>
      <c r="T167" s="17"/>
      <c r="U167" s="17"/>
      <c r="V167" s="43"/>
      <c r="W167" s="17"/>
      <c r="X167" s="17"/>
    </row>
    <row r="168" spans="1:26" x14ac:dyDescent="0.3">
      <c r="A168" s="9"/>
      <c r="B168" s="60">
        <v>44575.854665659725</v>
      </c>
      <c r="D168" s="17"/>
      <c r="E168" s="17"/>
      <c r="G168" s="17"/>
      <c r="H168" s="17"/>
      <c r="I168" s="17"/>
      <c r="J168" s="43"/>
      <c r="K168" s="17"/>
      <c r="L168" s="17"/>
      <c r="M168" s="17"/>
      <c r="P168" s="17"/>
      <c r="Q168" s="17"/>
      <c r="R168" s="43"/>
      <c r="S168" s="17"/>
      <c r="T168" s="17"/>
      <c r="U168" s="17"/>
      <c r="V168" s="43"/>
      <c r="W168" s="17"/>
      <c r="X168" s="17"/>
    </row>
    <row r="169" spans="1:26" x14ac:dyDescent="0.3">
      <c r="A169" s="9"/>
      <c r="B169" s="57" t="s">
        <v>56</v>
      </c>
      <c r="D169" s="17"/>
      <c r="E169" s="17"/>
      <c r="G169" s="17"/>
      <c r="H169" s="17"/>
      <c r="I169" s="17"/>
      <c r="J169" s="43"/>
      <c r="K169" s="17"/>
      <c r="L169" s="17"/>
      <c r="M169" s="17"/>
      <c r="P169" s="17"/>
      <c r="Q169" s="17"/>
      <c r="R169" s="43"/>
      <c r="S169" s="17"/>
      <c r="T169" s="17"/>
      <c r="U169" s="17"/>
      <c r="V169" s="43"/>
      <c r="W169" s="17"/>
      <c r="X169" s="17"/>
    </row>
    <row r="170" spans="1:26" x14ac:dyDescent="0.3">
      <c r="A170" s="9"/>
      <c r="B170" s="59"/>
      <c r="D170" s="17"/>
      <c r="E170" s="17"/>
      <c r="G170" s="17"/>
      <c r="H170" s="17"/>
      <c r="I170" s="17"/>
      <c r="J170" s="43"/>
      <c r="K170" s="17"/>
      <c r="L170" s="17"/>
      <c r="M170" s="17"/>
      <c r="P170" s="17"/>
      <c r="Q170" s="17"/>
      <c r="R170" s="43"/>
      <c r="S170" s="17"/>
      <c r="T170" s="17"/>
      <c r="U170" s="17"/>
      <c r="V170" s="43"/>
      <c r="W170" s="17"/>
      <c r="X170" s="17"/>
    </row>
    <row r="171" spans="1:26" x14ac:dyDescent="0.3">
      <c r="D171" s="17"/>
      <c r="E171" s="17"/>
      <c r="G171" s="17"/>
      <c r="H171" s="17"/>
      <c r="I171" s="17"/>
      <c r="J171" s="43"/>
      <c r="K171" s="17"/>
      <c r="L171" s="17"/>
      <c r="M171" s="17"/>
      <c r="P171" s="17"/>
      <c r="Q171" s="17"/>
      <c r="R171" s="43"/>
      <c r="S171" s="17"/>
      <c r="T171" s="17"/>
      <c r="U171" s="17"/>
      <c r="V171" s="43"/>
      <c r="W171" s="17"/>
      <c r="X171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outlinePr summaryBelow="0" summaryRight="0"/>
  </sheetPr>
  <dimension ref="A2:Z15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","315", " - ", "Bookstore Retail")</f>
        <v>Department 315 - Bookstore Retail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373398.06000000006</v>
      </c>
      <c r="E12" s="4"/>
      <c r="F12" s="12"/>
      <c r="G12" s="4"/>
      <c r="H12" s="4">
        <f>SUM(OSRRefH13x_0)</f>
        <v>175750.66999999995</v>
      </c>
      <c r="I12" s="4"/>
      <c r="J12" s="12"/>
      <c r="K12" s="4"/>
      <c r="L12" s="4">
        <f t="shared" ref="L12:L54" si="0">+D12-H12</f>
        <v>197647.3900000001</v>
      </c>
      <c r="M12" s="4"/>
      <c r="N12" s="12">
        <f t="shared" ref="N12:N54" si="1">IF(H12=0,0,L12/H12)</f>
        <v>1.1245896815073317</v>
      </c>
      <c r="O12" s="10"/>
      <c r="P12" s="4">
        <f>SUM(OSRRefP13x_0)</f>
        <v>1863918.91</v>
      </c>
      <c r="Q12" s="4"/>
      <c r="R12" s="12"/>
      <c r="S12" s="4"/>
      <c r="T12" s="4">
        <f>SUM(OSRRefT13x_0)</f>
        <v>885603.4600000002</v>
      </c>
      <c r="U12" s="4"/>
      <c r="V12" s="12"/>
      <c r="W12" s="4"/>
      <c r="X12" s="4">
        <f t="shared" ref="X12:X54" si="2">+P12-T12</f>
        <v>978315.44999999972</v>
      </c>
      <c r="Y12" s="4"/>
      <c r="Z12" s="12">
        <f t="shared" ref="Z12:Z54" si="3">IF(T12=0,0,X12/T12)</f>
        <v>1.1046879265805933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--386085.06</f>
        <v>386085.06</v>
      </c>
      <c r="E13" s="2"/>
      <c r="F13" s="19"/>
      <c r="G13" s="2"/>
      <c r="H13" s="2">
        <f>-31005.23</f>
        <v>-31005.23</v>
      </c>
      <c r="I13" s="2"/>
      <c r="J13" s="19"/>
      <c r="K13" s="2"/>
      <c r="L13" s="2">
        <f t="shared" si="0"/>
        <v>417090.29</v>
      </c>
      <c r="M13" s="2"/>
      <c r="N13" s="19">
        <f t="shared" si="1"/>
        <v>-13.452255958107711</v>
      </c>
      <c r="O13" s="11"/>
      <c r="P13" s="2">
        <f>--1743476.49</f>
        <v>1743476.49</v>
      </c>
      <c r="Q13" s="2"/>
      <c r="R13" s="19"/>
      <c r="S13" s="2"/>
      <c r="T13" s="2">
        <f>-77454.56</f>
        <v>-77454.559999999998</v>
      </c>
      <c r="U13" s="2"/>
      <c r="V13" s="19"/>
      <c r="W13" s="2"/>
      <c r="X13" s="2">
        <f t="shared" si="2"/>
        <v>1820931.05</v>
      </c>
      <c r="Y13" s="2"/>
      <c r="Z13" s="19">
        <f t="shared" si="3"/>
        <v>-23.509668765789904</v>
      </c>
    </row>
    <row r="14" spans="1:26" s="24" customFormat="1" hidden="1" outlineLevel="1" x14ac:dyDescent="0.3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24" si="4"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24" si="5">0</f>
        <v>0</v>
      </c>
      <c r="Q14" s="2"/>
      <c r="R14" s="19"/>
      <c r="S14" s="2"/>
      <c r="T14" s="2">
        <f>--221.99</f>
        <v>221.99</v>
      </c>
      <c r="U14" s="2"/>
      <c r="V14" s="19"/>
      <c r="W14" s="2"/>
      <c r="X14" s="2">
        <f t="shared" si="2"/>
        <v>-221.99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>--3073.53</f>
        <v>3073.53</v>
      </c>
      <c r="I15" s="2"/>
      <c r="J15" s="19"/>
      <c r="K15" s="2"/>
      <c r="L15" s="2">
        <f t="shared" si="0"/>
        <v>-3073.53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--31753.44</f>
        <v>31753.439999999999</v>
      </c>
      <c r="U15" s="2"/>
      <c r="V15" s="19"/>
      <c r="W15" s="2"/>
      <c r="X15" s="2">
        <f t="shared" si="2"/>
        <v>-31753.439999999999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>
        <f>--1152.99</f>
        <v>1152.99</v>
      </c>
      <c r="I16" s="2"/>
      <c r="J16" s="19"/>
      <c r="K16" s="2"/>
      <c r="L16" s="2">
        <f t="shared" si="0"/>
        <v>-1152.99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--4673.52</f>
        <v>4673.5200000000004</v>
      </c>
      <c r="U16" s="2"/>
      <c r="V16" s="19"/>
      <c r="W16" s="2"/>
      <c r="X16" s="2">
        <f t="shared" si="2"/>
        <v>-4673.5200000000004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>
        <f>--247.04</f>
        <v>247.04</v>
      </c>
      <c r="I17" s="2"/>
      <c r="J17" s="19"/>
      <c r="K17" s="2"/>
      <c r="L17" s="2">
        <f t="shared" si="0"/>
        <v>-247.04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--1735.1</f>
        <v>1735.1</v>
      </c>
      <c r="U17" s="2"/>
      <c r="V17" s="19"/>
      <c r="W17" s="2"/>
      <c r="X17" s="2">
        <f t="shared" si="2"/>
        <v>-1735.1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>
        <f>--6.78</f>
        <v>6.78</v>
      </c>
      <c r="U18" s="2"/>
      <c r="V18" s="19"/>
      <c r="W18" s="2"/>
      <c r="X18" s="2">
        <f t="shared" si="2"/>
        <v>-6.78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 t="shared" si="4"/>
        <v>0</v>
      </c>
      <c r="E19" s="2"/>
      <c r="F19" s="19"/>
      <c r="G19" s="2"/>
      <c r="H19" s="2">
        <f>--54055.34</f>
        <v>54055.34</v>
      </c>
      <c r="I19" s="2"/>
      <c r="J19" s="19"/>
      <c r="K19" s="2"/>
      <c r="L19" s="2">
        <f t="shared" si="0"/>
        <v>-54055.34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--389247.05</f>
        <v>389247.05</v>
      </c>
      <c r="U19" s="2"/>
      <c r="V19" s="19"/>
      <c r="W19" s="2"/>
      <c r="X19" s="2">
        <f t="shared" si="2"/>
        <v>-389247.05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 t="shared" si="4"/>
        <v>0</v>
      </c>
      <c r="E20" s="2"/>
      <c r="F20" s="19"/>
      <c r="G20" s="2"/>
      <c r="H20" s="2">
        <f>--26720.7</f>
        <v>26720.7</v>
      </c>
      <c r="I20" s="2"/>
      <c r="J20" s="19"/>
      <c r="K20" s="2"/>
      <c r="L20" s="2">
        <f t="shared" si="0"/>
        <v>-26720.7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--117726.63</f>
        <v>117726.63</v>
      </c>
      <c r="U20" s="2"/>
      <c r="V20" s="19"/>
      <c r="W20" s="2"/>
      <c r="X20" s="2">
        <f t="shared" si="2"/>
        <v>-117726.63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 t="shared" si="4"/>
        <v>0</v>
      </c>
      <c r="E21" s="2"/>
      <c r="F21" s="19"/>
      <c r="G21" s="2"/>
      <c r="H21" s="2">
        <f>--5908.46</f>
        <v>5908.46</v>
      </c>
      <c r="I21" s="2"/>
      <c r="J21" s="19"/>
      <c r="K21" s="2"/>
      <c r="L21" s="2">
        <f t="shared" si="0"/>
        <v>-5908.46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--45889.91</f>
        <v>45889.91</v>
      </c>
      <c r="U21" s="2"/>
      <c r="V21" s="19"/>
      <c r="W21" s="2"/>
      <c r="X21" s="2">
        <f t="shared" si="2"/>
        <v>-45889.91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 t="shared" si="4"/>
        <v>0</v>
      </c>
      <c r="E22" s="2"/>
      <c r="F22" s="19"/>
      <c r="G22" s="2"/>
      <c r="H22" s="2">
        <f>--32553.7</f>
        <v>32553.7</v>
      </c>
      <c r="I22" s="2"/>
      <c r="J22" s="19"/>
      <c r="K22" s="2"/>
      <c r="L22" s="2">
        <f t="shared" si="0"/>
        <v>-32553.7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--86852.96</f>
        <v>86852.96</v>
      </c>
      <c r="U22" s="2"/>
      <c r="V22" s="19"/>
      <c r="W22" s="2"/>
      <c r="X22" s="2">
        <f t="shared" si="2"/>
        <v>-86852.96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 t="shared" si="4"/>
        <v>0</v>
      </c>
      <c r="E23" s="2"/>
      <c r="F23" s="19"/>
      <c r="G23" s="2"/>
      <c r="H23" s="2">
        <f>--10654.64</f>
        <v>10654.64</v>
      </c>
      <c r="I23" s="2"/>
      <c r="J23" s="19"/>
      <c r="K23" s="2"/>
      <c r="L23" s="2">
        <f t="shared" si="0"/>
        <v>-10654.64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--24432.81</f>
        <v>24432.81</v>
      </c>
      <c r="U23" s="2"/>
      <c r="V23" s="19"/>
      <c r="W23" s="2"/>
      <c r="X23" s="2">
        <f t="shared" si="2"/>
        <v>-24432.81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 t="shared" si="4"/>
        <v>0</v>
      </c>
      <c r="E24" s="2"/>
      <c r="F24" s="19"/>
      <c r="G24" s="2"/>
      <c r="H24" s="2">
        <f>--13809.08</f>
        <v>13809.08</v>
      </c>
      <c r="I24" s="2"/>
      <c r="J24" s="19"/>
      <c r="K24" s="2"/>
      <c r="L24" s="2">
        <f t="shared" si="0"/>
        <v>-13809.08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--121734.78</f>
        <v>121734.78</v>
      </c>
      <c r="U24" s="2"/>
      <c r="V24" s="19"/>
      <c r="W24" s="2"/>
      <c r="X24" s="2">
        <f t="shared" si="2"/>
        <v>-121734.78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"4100", " - ", "NON-TAXABLE SALES")</f>
        <v xml:space="preserve">          4100 - NON-TAXABLE SALES</v>
      </c>
      <c r="C25" s="11"/>
      <c r="D25" s="2">
        <f>--43630.31</f>
        <v>43630.31</v>
      </c>
      <c r="E25" s="2"/>
      <c r="F25" s="19"/>
      <c r="G25" s="2"/>
      <c r="H25" s="2">
        <f t="shared" ref="H25:H26" si="6">0</f>
        <v>0</v>
      </c>
      <c r="I25" s="2"/>
      <c r="J25" s="19"/>
      <c r="K25" s="2"/>
      <c r="L25" s="2">
        <f t="shared" si="0"/>
        <v>43630.31</v>
      </c>
      <c r="M25" s="2"/>
      <c r="N25" s="19">
        <f t="shared" si="1"/>
        <v>0</v>
      </c>
      <c r="O25" s="11"/>
      <c r="P25" s="2">
        <f>--228030.8</f>
        <v>228030.8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228030.8</v>
      </c>
      <c r="Y25" s="2"/>
      <c r="Z25" s="19">
        <f t="shared" si="3"/>
        <v>0</v>
      </c>
    </row>
    <row r="26" spans="1:26" s="24" customFormat="1" hidden="1" outlineLevel="1" x14ac:dyDescent="0.3">
      <c r="A26" s="44"/>
      <c r="B26" s="11" t="str">
        <f>CONCATENATE("          ", "4126", " - ", "NON-TAXABLE SALES-WRITING INST")</f>
        <v xml:space="preserve">          4126 - NON-TAXABLE SALES-WRITING INST</v>
      </c>
      <c r="C26" s="11"/>
      <c r="D26" s="2">
        <f t="shared" ref="D26:D39" si="7">0</f>
        <v>0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39" si="8">0</f>
        <v>0</v>
      </c>
      <c r="Q26" s="2"/>
      <c r="R26" s="19"/>
      <c r="S26" s="2"/>
      <c r="T26" s="2">
        <f>--52.68</f>
        <v>52.68</v>
      </c>
      <c r="U26" s="2"/>
      <c r="V26" s="19"/>
      <c r="W26" s="2"/>
      <c r="X26" s="2">
        <f t="shared" si="2"/>
        <v>-52.68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"4127", " - ", "NON-TAXABLE SALES-SCHOOL SUPPL")</f>
        <v xml:space="preserve">          4127 - NON-TAXABLE SALES-SCHOOL SUPPL</v>
      </c>
      <c r="C27" s="11"/>
      <c r="D27" s="2">
        <f t="shared" si="7"/>
        <v>0</v>
      </c>
      <c r="E27" s="2"/>
      <c r="F27" s="19"/>
      <c r="G27" s="2"/>
      <c r="H27" s="2">
        <f>--259.53</f>
        <v>259.52999999999997</v>
      </c>
      <c r="I27" s="2"/>
      <c r="J27" s="19"/>
      <c r="K27" s="2"/>
      <c r="L27" s="2">
        <f t="shared" si="0"/>
        <v>-259.52999999999997</v>
      </c>
      <c r="M27" s="2"/>
      <c r="N27" s="19">
        <f t="shared" si="1"/>
        <v>-1</v>
      </c>
      <c r="O27" s="11"/>
      <c r="P27" s="2">
        <f t="shared" si="8"/>
        <v>0</v>
      </c>
      <c r="Q27" s="2"/>
      <c r="R27" s="19"/>
      <c r="S27" s="2"/>
      <c r="T27" s="2">
        <f>--3206.11</f>
        <v>3206.11</v>
      </c>
      <c r="U27" s="2"/>
      <c r="V27" s="19"/>
      <c r="W27" s="2"/>
      <c r="X27" s="2">
        <f t="shared" si="2"/>
        <v>-3206.11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"4128", " - ", "NON-TAXABLE SALES-ART/TECH")</f>
        <v xml:space="preserve">          4128 - NON-TAXABLE SALES-ART/TECH</v>
      </c>
      <c r="C28" s="11"/>
      <c r="D28" s="2">
        <f t="shared" si="7"/>
        <v>0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 t="shared" si="8"/>
        <v>0</v>
      </c>
      <c r="Q28" s="2"/>
      <c r="R28" s="19"/>
      <c r="S28" s="2"/>
      <c r="T28" s="2">
        <f>--24.78</f>
        <v>24.78</v>
      </c>
      <c r="U28" s="2"/>
      <c r="V28" s="19"/>
      <c r="W28" s="2"/>
      <c r="X28" s="2">
        <f t="shared" si="2"/>
        <v>-24.78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"4131", " - ", "NON-TAXABLE SALES-FOOD")</f>
        <v xml:space="preserve">          4131 - NON-TAXABLE SALES-FOOD</v>
      </c>
      <c r="C29" s="11"/>
      <c r="D29" s="2">
        <f t="shared" si="7"/>
        <v>0</v>
      </c>
      <c r="E29" s="2"/>
      <c r="F29" s="19"/>
      <c r="G29" s="2"/>
      <c r="H29" s="2">
        <f>--1031.32</f>
        <v>1031.32</v>
      </c>
      <c r="I29" s="2"/>
      <c r="J29" s="19"/>
      <c r="K29" s="2"/>
      <c r="L29" s="2">
        <f t="shared" si="0"/>
        <v>-1031.32</v>
      </c>
      <c r="M29" s="2"/>
      <c r="N29" s="19">
        <f t="shared" si="1"/>
        <v>-1</v>
      </c>
      <c r="O29" s="11"/>
      <c r="P29" s="2">
        <f t="shared" si="8"/>
        <v>0</v>
      </c>
      <c r="Q29" s="2"/>
      <c r="R29" s="19"/>
      <c r="S29" s="2"/>
      <c r="T29" s="2">
        <f>--5657.49</f>
        <v>5657.49</v>
      </c>
      <c r="U29" s="2"/>
      <c r="V29" s="19"/>
      <c r="W29" s="2"/>
      <c r="X29" s="2">
        <f t="shared" si="2"/>
        <v>-5657.49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"4132", " - ", "NON-TAXABLE SALES-JUICE")</f>
        <v xml:space="preserve">          4132 - NON-TAXABLE SALES-JUICE</v>
      </c>
      <c r="C30" s="11"/>
      <c r="D30" s="2">
        <f t="shared" si="7"/>
        <v>0</v>
      </c>
      <c r="E30" s="2"/>
      <c r="F30" s="19"/>
      <c r="G30" s="2"/>
      <c r="H30" s="2">
        <f t="shared" ref="H30:H33" si="9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 t="shared" si="8"/>
        <v>0</v>
      </c>
      <c r="Q30" s="2"/>
      <c r="R30" s="19"/>
      <c r="S30" s="2"/>
      <c r="T30" s="2">
        <f>--22.49</f>
        <v>22.49</v>
      </c>
      <c r="U30" s="2"/>
      <c r="V30" s="19"/>
      <c r="W30" s="2"/>
      <c r="X30" s="2">
        <f t="shared" si="2"/>
        <v>-22.49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"4133", " - ", "NON-TAXABLE SALES-CANDY")</f>
        <v xml:space="preserve">          4133 - NON-TAXABLE SALES-CANDY</v>
      </c>
      <c r="C31" s="11"/>
      <c r="D31" s="2">
        <f t="shared" si="7"/>
        <v>0</v>
      </c>
      <c r="E31" s="2"/>
      <c r="F31" s="19"/>
      <c r="G31" s="2"/>
      <c r="H31" s="2">
        <f t="shared" si="9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 t="shared" si="8"/>
        <v>0</v>
      </c>
      <c r="Q31" s="2"/>
      <c r="R31" s="19"/>
      <c r="S31" s="2"/>
      <c r="T31" s="2">
        <f>--80.71</f>
        <v>80.709999999999994</v>
      </c>
      <c r="U31" s="2"/>
      <c r="V31" s="19"/>
      <c r="W31" s="2"/>
      <c r="X31" s="2">
        <f t="shared" si="2"/>
        <v>-80.709999999999994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"4134", " - ", "NON-TAXABLE SALES-SODA")</f>
        <v xml:space="preserve">          4134 - NON-TAXABLE SALES-SODA</v>
      </c>
      <c r="C32" s="11"/>
      <c r="D32" s="2">
        <f t="shared" si="7"/>
        <v>0</v>
      </c>
      <c r="E32" s="2"/>
      <c r="F32" s="19"/>
      <c r="G32" s="2"/>
      <c r="H32" s="2">
        <f t="shared" si="9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8"/>
        <v>0</v>
      </c>
      <c r="Q32" s="2"/>
      <c r="R32" s="19"/>
      <c r="S32" s="2"/>
      <c r="T32" s="2">
        <f>--45.53</f>
        <v>45.53</v>
      </c>
      <c r="U32" s="2"/>
      <c r="V32" s="19"/>
      <c r="W32" s="2"/>
      <c r="X32" s="2">
        <f t="shared" si="2"/>
        <v>-45.53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"4137", " - ", "NON-TAXABLE SALES-WATER")</f>
        <v xml:space="preserve">          4137 - NON-TAXABLE SALES-WATER</v>
      </c>
      <c r="C33" s="11"/>
      <c r="D33" s="2">
        <f t="shared" si="7"/>
        <v>0</v>
      </c>
      <c r="E33" s="2"/>
      <c r="F33" s="19"/>
      <c r="G33" s="2"/>
      <c r="H33" s="2">
        <f t="shared" si="9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 t="shared" si="8"/>
        <v>0</v>
      </c>
      <c r="Q33" s="2"/>
      <c r="R33" s="19"/>
      <c r="S33" s="2"/>
      <c r="T33" s="2">
        <f>--59.25</f>
        <v>59.25</v>
      </c>
      <c r="U33" s="2"/>
      <c r="V33" s="19"/>
      <c r="W33" s="2"/>
      <c r="X33" s="2">
        <f t="shared" si="2"/>
        <v>-59.25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"4140", " - ", "NON-TAXABLE SALES-LOGO CLOTHIN")</f>
        <v xml:space="preserve">          4140 - NON-TAXABLE SALES-LOGO CLOTHIN</v>
      </c>
      <c r="C34" s="11"/>
      <c r="D34" s="2">
        <f t="shared" si="7"/>
        <v>0</v>
      </c>
      <c r="E34" s="2"/>
      <c r="F34" s="19"/>
      <c r="G34" s="2"/>
      <c r="H34" s="2">
        <f>--53650.7</f>
        <v>53650.7</v>
      </c>
      <c r="I34" s="2"/>
      <c r="J34" s="19"/>
      <c r="K34" s="2"/>
      <c r="L34" s="2">
        <f t="shared" si="0"/>
        <v>-53650.7</v>
      </c>
      <c r="M34" s="2"/>
      <c r="N34" s="19">
        <f t="shared" si="1"/>
        <v>-1</v>
      </c>
      <c r="O34" s="11"/>
      <c r="P34" s="2">
        <f t="shared" si="8"/>
        <v>0</v>
      </c>
      <c r="Q34" s="2"/>
      <c r="R34" s="19"/>
      <c r="S34" s="2"/>
      <c r="T34" s="2">
        <f>--103805.19</f>
        <v>103805.19</v>
      </c>
      <c r="U34" s="2"/>
      <c r="V34" s="19"/>
      <c r="W34" s="2"/>
      <c r="X34" s="2">
        <f t="shared" si="2"/>
        <v>-103805.19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"4141", " - ", "NON-TAXABLE SALES-LOGO GIFTS")</f>
        <v xml:space="preserve">          4141 - NON-TAXABLE SALES-LOGO GIFTS</v>
      </c>
      <c r="C35" s="11"/>
      <c r="D35" s="2">
        <f t="shared" si="7"/>
        <v>0</v>
      </c>
      <c r="E35" s="2"/>
      <c r="F35" s="19"/>
      <c r="G35" s="2"/>
      <c r="H35" s="2">
        <f>--1772.08</f>
        <v>1772.08</v>
      </c>
      <c r="I35" s="2"/>
      <c r="J35" s="19"/>
      <c r="K35" s="2"/>
      <c r="L35" s="2">
        <f t="shared" si="0"/>
        <v>-1772.08</v>
      </c>
      <c r="M35" s="2"/>
      <c r="N35" s="19">
        <f t="shared" si="1"/>
        <v>-1</v>
      </c>
      <c r="O35" s="11"/>
      <c r="P35" s="2">
        <f t="shared" si="8"/>
        <v>0</v>
      </c>
      <c r="Q35" s="2"/>
      <c r="R35" s="19"/>
      <c r="S35" s="2"/>
      <c r="T35" s="2">
        <f>--5449.6</f>
        <v>5449.6</v>
      </c>
      <c r="U35" s="2"/>
      <c r="V35" s="19"/>
      <c r="W35" s="2"/>
      <c r="X35" s="2">
        <f t="shared" si="2"/>
        <v>-5449.6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"4142", " - ", "NON-TAXABLE SALES-EVERYDAY GIF")</f>
        <v xml:space="preserve">          4142 - NON-TAXABLE SALES-EVERYDAY GIF</v>
      </c>
      <c r="C36" s="11"/>
      <c r="D36" s="2">
        <f t="shared" si="7"/>
        <v>0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 t="shared" si="8"/>
        <v>0</v>
      </c>
      <c r="Q36" s="2"/>
      <c r="R36" s="19"/>
      <c r="S36" s="2"/>
      <c r="T36" s="2">
        <f>--1097.6</f>
        <v>1097.5999999999999</v>
      </c>
      <c r="U36" s="2"/>
      <c r="V36" s="19"/>
      <c r="W36" s="2"/>
      <c r="X36" s="2">
        <f t="shared" si="2"/>
        <v>-1097.5999999999999</v>
      </c>
      <c r="Y36" s="2"/>
      <c r="Z36" s="19">
        <f t="shared" si="3"/>
        <v>-1</v>
      </c>
    </row>
    <row r="37" spans="1:26" s="24" customFormat="1" hidden="1" outlineLevel="1" x14ac:dyDescent="0.3">
      <c r="A37" s="44"/>
      <c r="B37" s="11" t="str">
        <f>CONCATENATE("          ", "4143", " - ", "NON-TAXABLE SALES-CARDS")</f>
        <v xml:space="preserve">          4143 - NON-TAXABLE SALES-CARDS</v>
      </c>
      <c r="C37" s="11"/>
      <c r="D37" s="2">
        <f t="shared" si="7"/>
        <v>0</v>
      </c>
      <c r="E37" s="2"/>
      <c r="F37" s="19"/>
      <c r="G37" s="2"/>
      <c r="H37" s="2">
        <f>--1697.07</f>
        <v>1697.07</v>
      </c>
      <c r="I37" s="2"/>
      <c r="J37" s="19"/>
      <c r="K37" s="2"/>
      <c r="L37" s="2">
        <f t="shared" si="0"/>
        <v>-1697.07</v>
      </c>
      <c r="M37" s="2"/>
      <c r="N37" s="19">
        <f t="shared" si="1"/>
        <v>-1</v>
      </c>
      <c r="O37" s="11"/>
      <c r="P37" s="2">
        <f t="shared" si="8"/>
        <v>0</v>
      </c>
      <c r="Q37" s="2"/>
      <c r="R37" s="19"/>
      <c r="S37" s="2"/>
      <c r="T37" s="2">
        <f>--1737.03</f>
        <v>1737.03</v>
      </c>
      <c r="U37" s="2"/>
      <c r="V37" s="19"/>
      <c r="W37" s="2"/>
      <c r="X37" s="2">
        <f t="shared" si="2"/>
        <v>-1737.03</v>
      </c>
      <c r="Y37" s="2"/>
      <c r="Z37" s="19">
        <f t="shared" si="3"/>
        <v>-1</v>
      </c>
    </row>
    <row r="38" spans="1:26" s="24" customFormat="1" hidden="1" outlineLevel="1" x14ac:dyDescent="0.3">
      <c r="A38" s="44"/>
      <c r="B38" s="11" t="str">
        <f>CONCATENATE("          ", "4144", " - ", "NON-TAXABLE SALES-ACCESSORIES")</f>
        <v xml:space="preserve">          4144 - NON-TAXABLE SALES-ACCESSORIES</v>
      </c>
      <c r="C38" s="11"/>
      <c r="D38" s="2">
        <f t="shared" si="7"/>
        <v>0</v>
      </c>
      <c r="E38" s="2"/>
      <c r="F38" s="19"/>
      <c r="G38" s="2"/>
      <c r="H38" s="2">
        <f>--99.8</f>
        <v>99.8</v>
      </c>
      <c r="I38" s="2"/>
      <c r="J38" s="19"/>
      <c r="K38" s="2"/>
      <c r="L38" s="2">
        <f t="shared" si="0"/>
        <v>-99.8</v>
      </c>
      <c r="M38" s="2"/>
      <c r="N38" s="19">
        <f t="shared" si="1"/>
        <v>-1</v>
      </c>
      <c r="O38" s="11"/>
      <c r="P38" s="2">
        <f t="shared" si="8"/>
        <v>0</v>
      </c>
      <c r="Q38" s="2"/>
      <c r="R38" s="19"/>
      <c r="S38" s="2"/>
      <c r="T38" s="2">
        <f>--489.5</f>
        <v>489.5</v>
      </c>
      <c r="U38" s="2"/>
      <c r="V38" s="19"/>
      <c r="W38" s="2"/>
      <c r="X38" s="2">
        <f t="shared" si="2"/>
        <v>-489.5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"4145", " - ", "NON-TAXABLE SALES-SPECIAL ORDE")</f>
        <v xml:space="preserve">          4145 - NON-TAXABLE SALES-SPECIAL ORDE</v>
      </c>
      <c r="C39" s="11"/>
      <c r="D39" s="2">
        <f t="shared" si="7"/>
        <v>0</v>
      </c>
      <c r="E39" s="2"/>
      <c r="F39" s="19"/>
      <c r="G39" s="2"/>
      <c r="H39" s="2">
        <f>--16747.77</f>
        <v>16747.77</v>
      </c>
      <c r="I39" s="2"/>
      <c r="J39" s="19"/>
      <c r="K39" s="2"/>
      <c r="L39" s="2">
        <f t="shared" si="0"/>
        <v>-16747.77</v>
      </c>
      <c r="M39" s="2"/>
      <c r="N39" s="19">
        <f t="shared" si="1"/>
        <v>-1</v>
      </c>
      <c r="O39" s="11"/>
      <c r="P39" s="2">
        <f t="shared" si="8"/>
        <v>0</v>
      </c>
      <c r="Q39" s="2"/>
      <c r="R39" s="19"/>
      <c r="S39" s="2"/>
      <c r="T39" s="2">
        <f>--55386.77</f>
        <v>55386.77</v>
      </c>
      <c r="U39" s="2"/>
      <c r="V39" s="19"/>
      <c r="W39" s="2"/>
      <c r="X39" s="2">
        <f t="shared" si="2"/>
        <v>-55386.77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"4200", " - ", "TAXABLE RETURNS")</f>
        <v xml:space="preserve">          4200 - TAXABLE RETURNS</v>
      </c>
      <c r="C40" s="11"/>
      <c r="D40" s="2">
        <f>-12312.36</f>
        <v>-12312.36</v>
      </c>
      <c r="E40" s="2"/>
      <c r="F40" s="19"/>
      <c r="G40" s="2"/>
      <c r="H40" s="2">
        <f t="shared" ref="H40:H41" si="10">0</f>
        <v>0</v>
      </c>
      <c r="I40" s="2"/>
      <c r="J40" s="19"/>
      <c r="K40" s="2"/>
      <c r="L40" s="2">
        <f t="shared" si="0"/>
        <v>-12312.36</v>
      </c>
      <c r="M40" s="2"/>
      <c r="N40" s="19">
        <f t="shared" si="1"/>
        <v>0</v>
      </c>
      <c r="O40" s="11"/>
      <c r="P40" s="2">
        <f>-49816.82</f>
        <v>-49816.82</v>
      </c>
      <c r="Q40" s="2"/>
      <c r="R40" s="19"/>
      <c r="S40" s="2"/>
      <c r="T40" s="2">
        <f>0</f>
        <v>0</v>
      </c>
      <c r="U40" s="2"/>
      <c r="V40" s="19"/>
      <c r="W40" s="2"/>
      <c r="X40" s="2">
        <f t="shared" si="2"/>
        <v>-49816.82</v>
      </c>
      <c r="Y40" s="2"/>
      <c r="Z40" s="19">
        <f t="shared" si="3"/>
        <v>0</v>
      </c>
    </row>
    <row r="41" spans="1:26" s="24" customFormat="1" hidden="1" outlineLevel="1" x14ac:dyDescent="0.3">
      <c r="A41" s="44"/>
      <c r="B41" s="11" t="str">
        <f>CONCATENATE("          ", "4226", " - ", "SALES RETURN TAXABLE-WRITING I")</f>
        <v xml:space="preserve">          4226 - SALES RETURN TAXABLE-WRITING I</v>
      </c>
      <c r="C41" s="11"/>
      <c r="D41" s="2">
        <f t="shared" ref="D41:D49" si="11">0</f>
        <v>0</v>
      </c>
      <c r="E41" s="2"/>
      <c r="F41" s="19"/>
      <c r="G41" s="2"/>
      <c r="H41" s="2">
        <f t="shared" si="10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 t="shared" ref="P41:P49" si="12">0</f>
        <v>0</v>
      </c>
      <c r="Q41" s="2"/>
      <c r="R41" s="19"/>
      <c r="S41" s="2"/>
      <c r="T41" s="2">
        <f>-6.38</f>
        <v>-6.38</v>
      </c>
      <c r="U41" s="2"/>
      <c r="V41" s="19"/>
      <c r="W41" s="2"/>
      <c r="X41" s="2">
        <f t="shared" si="2"/>
        <v>6.38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"4227", " - ", "SALES RETURN TAXABLE-SCHOOL SU")</f>
        <v xml:space="preserve">          4227 - SALES RETURN TAXABLE-SCHOOL SU</v>
      </c>
      <c r="C42" s="11"/>
      <c r="D42" s="2">
        <f t="shared" si="11"/>
        <v>0</v>
      </c>
      <c r="E42" s="2"/>
      <c r="F42" s="19"/>
      <c r="G42" s="2"/>
      <c r="H42" s="2">
        <f>-16.6</f>
        <v>-16.600000000000001</v>
      </c>
      <c r="I42" s="2"/>
      <c r="J42" s="19"/>
      <c r="K42" s="2"/>
      <c r="L42" s="2">
        <f t="shared" si="0"/>
        <v>16.600000000000001</v>
      </c>
      <c r="M42" s="2"/>
      <c r="N42" s="19">
        <f t="shared" si="1"/>
        <v>-1</v>
      </c>
      <c r="O42" s="11"/>
      <c r="P42" s="2">
        <f t="shared" si="12"/>
        <v>0</v>
      </c>
      <c r="Q42" s="2"/>
      <c r="R42" s="19"/>
      <c r="S42" s="2"/>
      <c r="T42" s="2">
        <f>-437.27</f>
        <v>-437.27</v>
      </c>
      <c r="U42" s="2"/>
      <c r="V42" s="19"/>
      <c r="W42" s="2"/>
      <c r="X42" s="2">
        <f t="shared" si="2"/>
        <v>437.27</v>
      </c>
      <c r="Y42" s="2"/>
      <c r="Z42" s="19">
        <f t="shared" si="3"/>
        <v>-1</v>
      </c>
    </row>
    <row r="43" spans="1:26" s="24" customFormat="1" hidden="1" outlineLevel="1" x14ac:dyDescent="0.3">
      <c r="A43" s="44"/>
      <c r="B43" s="11" t="str">
        <f>CONCATENATE("          ", "4228", " - ", "SALES RETURN TAXABLE-ART/TECH")</f>
        <v xml:space="preserve">          4228 - SALES RETURN TAXABLE-ART/TECH</v>
      </c>
      <c r="C43" s="11"/>
      <c r="D43" s="2">
        <f t="shared" si="11"/>
        <v>0</v>
      </c>
      <c r="E43" s="2"/>
      <c r="F43" s="19"/>
      <c r="G43" s="2"/>
      <c r="H43" s="2">
        <f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 t="shared" si="12"/>
        <v>0</v>
      </c>
      <c r="Q43" s="2"/>
      <c r="R43" s="19"/>
      <c r="S43" s="2"/>
      <c r="T43" s="2">
        <f>-32.49</f>
        <v>-32.49</v>
      </c>
      <c r="U43" s="2"/>
      <c r="V43" s="19"/>
      <c r="W43" s="2"/>
      <c r="X43" s="2">
        <f t="shared" si="2"/>
        <v>32.49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"4240", " - ", "SALES RETURN TAXABLE-LOGO CLOT")</f>
        <v xml:space="preserve">          4240 - SALES RETURN TAXABLE-LOGO CLOT</v>
      </c>
      <c r="C44" s="11"/>
      <c r="D44" s="2">
        <f t="shared" si="11"/>
        <v>0</v>
      </c>
      <c r="E44" s="2"/>
      <c r="F44" s="19"/>
      <c r="G44" s="2"/>
      <c r="H44" s="2">
        <f>-3521.73</f>
        <v>-3521.73</v>
      </c>
      <c r="I44" s="2"/>
      <c r="J44" s="19"/>
      <c r="K44" s="2"/>
      <c r="L44" s="2">
        <f t="shared" si="0"/>
        <v>3521.73</v>
      </c>
      <c r="M44" s="2"/>
      <c r="N44" s="19">
        <f t="shared" si="1"/>
        <v>-1</v>
      </c>
      <c r="O44" s="11"/>
      <c r="P44" s="2">
        <f t="shared" si="12"/>
        <v>0</v>
      </c>
      <c r="Q44" s="2"/>
      <c r="R44" s="19"/>
      <c r="S44" s="2"/>
      <c r="T44" s="2">
        <f>-16327.37</f>
        <v>-16327.37</v>
      </c>
      <c r="U44" s="2"/>
      <c r="V44" s="19"/>
      <c r="W44" s="2"/>
      <c r="X44" s="2">
        <f t="shared" si="2"/>
        <v>16327.37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"4241", " - ", "SALES RETURN TAXABLE-LOGO GIFT")</f>
        <v xml:space="preserve">          4241 - SALES RETURN TAXABLE-LOGO GIFT</v>
      </c>
      <c r="C45" s="11"/>
      <c r="D45" s="2">
        <f t="shared" si="11"/>
        <v>0</v>
      </c>
      <c r="E45" s="2"/>
      <c r="F45" s="19"/>
      <c r="G45" s="2"/>
      <c r="H45" s="2">
        <f>-623</f>
        <v>-623</v>
      </c>
      <c r="I45" s="2"/>
      <c r="J45" s="19"/>
      <c r="K45" s="2"/>
      <c r="L45" s="2">
        <f t="shared" si="0"/>
        <v>623</v>
      </c>
      <c r="M45" s="2"/>
      <c r="N45" s="19">
        <f t="shared" si="1"/>
        <v>-1</v>
      </c>
      <c r="O45" s="11"/>
      <c r="P45" s="2">
        <f t="shared" si="12"/>
        <v>0</v>
      </c>
      <c r="Q45" s="2"/>
      <c r="R45" s="19"/>
      <c r="S45" s="2"/>
      <c r="T45" s="2">
        <f>-2447.25</f>
        <v>-2447.25</v>
      </c>
      <c r="U45" s="2"/>
      <c r="V45" s="19"/>
      <c r="W45" s="2"/>
      <c r="X45" s="2">
        <f t="shared" si="2"/>
        <v>2447.25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"4242", " - ", "SALES RETURN TAXABLE-EVERYDAY")</f>
        <v xml:space="preserve">          4242 - SALES RETURN TAXABLE-EVERYDAY</v>
      </c>
      <c r="C46" s="11"/>
      <c r="D46" s="2">
        <f t="shared" si="11"/>
        <v>0</v>
      </c>
      <c r="E46" s="2"/>
      <c r="F46" s="19"/>
      <c r="G46" s="2"/>
      <c r="H46" s="2">
        <f>-151.56</f>
        <v>-151.56</v>
      </c>
      <c r="I46" s="2"/>
      <c r="J46" s="19"/>
      <c r="K46" s="2"/>
      <c r="L46" s="2">
        <f t="shared" si="0"/>
        <v>151.56</v>
      </c>
      <c r="M46" s="2"/>
      <c r="N46" s="19">
        <f t="shared" si="1"/>
        <v>-1</v>
      </c>
      <c r="O46" s="11"/>
      <c r="P46" s="2">
        <f t="shared" si="12"/>
        <v>0</v>
      </c>
      <c r="Q46" s="2"/>
      <c r="R46" s="19"/>
      <c r="S46" s="2"/>
      <c r="T46" s="2">
        <f>-1365.77</f>
        <v>-1365.77</v>
      </c>
      <c r="U46" s="2"/>
      <c r="V46" s="19"/>
      <c r="W46" s="2"/>
      <c r="X46" s="2">
        <f t="shared" si="2"/>
        <v>1365.77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"4243", " - ", "SALES RETURN TAXABLE-CARDS")</f>
        <v xml:space="preserve">          4243 - SALES RETURN TAXABLE-CARDS</v>
      </c>
      <c r="C47" s="11"/>
      <c r="D47" s="2">
        <f t="shared" si="11"/>
        <v>0</v>
      </c>
      <c r="E47" s="2"/>
      <c r="F47" s="19"/>
      <c r="G47" s="2"/>
      <c r="H47" s="2">
        <f>-1765.08</f>
        <v>-1765.08</v>
      </c>
      <c r="I47" s="2"/>
      <c r="J47" s="19"/>
      <c r="K47" s="2"/>
      <c r="L47" s="2">
        <f t="shared" si="0"/>
        <v>1765.08</v>
      </c>
      <c r="M47" s="2"/>
      <c r="N47" s="19">
        <f t="shared" si="1"/>
        <v>-1</v>
      </c>
      <c r="O47" s="11"/>
      <c r="P47" s="2">
        <f t="shared" si="12"/>
        <v>0</v>
      </c>
      <c r="Q47" s="2"/>
      <c r="R47" s="19"/>
      <c r="S47" s="2"/>
      <c r="T47" s="2">
        <f>-3577.54</f>
        <v>-3577.54</v>
      </c>
      <c r="U47" s="2"/>
      <c r="V47" s="19"/>
      <c r="W47" s="2"/>
      <c r="X47" s="2">
        <f t="shared" si="2"/>
        <v>3577.54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"4244", " - ", "SALES RETURN TAXABLE-ACCESSORI")</f>
        <v xml:space="preserve">          4244 - SALES RETURN TAXABLE-ACCESSORI</v>
      </c>
      <c r="C48" s="11"/>
      <c r="D48" s="2">
        <f t="shared" si="11"/>
        <v>0</v>
      </c>
      <c r="E48" s="2"/>
      <c r="F48" s="19"/>
      <c r="G48" s="2"/>
      <c r="H48" s="2">
        <f>-270</f>
        <v>-270</v>
      </c>
      <c r="I48" s="2"/>
      <c r="J48" s="19"/>
      <c r="K48" s="2"/>
      <c r="L48" s="2">
        <f t="shared" si="0"/>
        <v>270</v>
      </c>
      <c r="M48" s="2"/>
      <c r="N48" s="19">
        <f t="shared" si="1"/>
        <v>-1</v>
      </c>
      <c r="O48" s="11"/>
      <c r="P48" s="2">
        <f t="shared" si="12"/>
        <v>0</v>
      </c>
      <c r="Q48" s="2"/>
      <c r="R48" s="19"/>
      <c r="S48" s="2"/>
      <c r="T48" s="2">
        <f>-860.94</f>
        <v>-860.94</v>
      </c>
      <c r="U48" s="2"/>
      <c r="V48" s="19"/>
      <c r="W48" s="2"/>
      <c r="X48" s="2">
        <f t="shared" si="2"/>
        <v>860.94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"4245", " - ", "SALES RETURN TAXABLE-SPECIAL O")</f>
        <v xml:space="preserve">          4245 - SALES RETURN TAXABLE-SPECIAL O</v>
      </c>
      <c r="C49" s="11"/>
      <c r="D49" s="2">
        <f t="shared" si="11"/>
        <v>0</v>
      </c>
      <c r="E49" s="2"/>
      <c r="F49" s="19"/>
      <c r="G49" s="2"/>
      <c r="H49" s="2">
        <f>-9752.79</f>
        <v>-9752.7900000000009</v>
      </c>
      <c r="I49" s="2"/>
      <c r="J49" s="19"/>
      <c r="K49" s="2"/>
      <c r="L49" s="2">
        <f t="shared" si="0"/>
        <v>9752.7900000000009</v>
      </c>
      <c r="M49" s="2"/>
      <c r="N49" s="19">
        <f t="shared" si="1"/>
        <v>-1</v>
      </c>
      <c r="O49" s="11"/>
      <c r="P49" s="2">
        <f t="shared" si="12"/>
        <v>0</v>
      </c>
      <c r="Q49" s="2"/>
      <c r="R49" s="19"/>
      <c r="S49" s="2"/>
      <c r="T49" s="2">
        <f>-11338.61</f>
        <v>-11338.61</v>
      </c>
      <c r="U49" s="2"/>
      <c r="V49" s="19"/>
      <c r="W49" s="2"/>
      <c r="X49" s="2">
        <f t="shared" si="2"/>
        <v>11338.61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"4300", " - ", "NON-TAX RETURNS")</f>
        <v xml:space="preserve">          4300 - NON-TAX RETURNS</v>
      </c>
      <c r="C50" s="11"/>
      <c r="D50" s="2">
        <f>-168.79</f>
        <v>-168.79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-168.79</v>
      </c>
      <c r="M50" s="2"/>
      <c r="N50" s="19">
        <f t="shared" si="1"/>
        <v>0</v>
      </c>
      <c r="O50" s="11"/>
      <c r="P50" s="2">
        <f>-1276.2</f>
        <v>-1276.2</v>
      </c>
      <c r="Q50" s="2"/>
      <c r="R50" s="19"/>
      <c r="S50" s="2"/>
      <c r="T50" s="2">
        <f>0</f>
        <v>0</v>
      </c>
      <c r="U50" s="2"/>
      <c r="V50" s="19"/>
      <c r="W50" s="2"/>
      <c r="X50" s="2">
        <f t="shared" si="2"/>
        <v>-1276.2</v>
      </c>
      <c r="Y50" s="2"/>
      <c r="Z50" s="19">
        <f t="shared" si="3"/>
        <v>0</v>
      </c>
    </row>
    <row r="51" spans="1:26" s="24" customFormat="1" hidden="1" outlineLevel="1" x14ac:dyDescent="0.3">
      <c r="A51" s="44"/>
      <c r="B51" s="11" t="str">
        <f>CONCATENATE("          ", "4340", " - ", "SALES RETURN NON TAXABLE-LOGO")</f>
        <v xml:space="preserve">          4340 - SALES RETURN NON TAXABLE-LOGO</v>
      </c>
      <c r="C51" s="11"/>
      <c r="D51" s="2">
        <f t="shared" ref="D51:D53" si="13">0</f>
        <v>0</v>
      </c>
      <c r="E51" s="2"/>
      <c r="F51" s="19"/>
      <c r="G51" s="2"/>
      <c r="H51" s="2">
        <f>-543.24</f>
        <v>-543.24</v>
      </c>
      <c r="I51" s="2"/>
      <c r="J51" s="19"/>
      <c r="K51" s="2"/>
      <c r="L51" s="2">
        <f t="shared" si="0"/>
        <v>543.24</v>
      </c>
      <c r="M51" s="2"/>
      <c r="N51" s="19">
        <f t="shared" si="1"/>
        <v>-1</v>
      </c>
      <c r="O51" s="11"/>
      <c r="P51" s="2">
        <f t="shared" ref="P51:P53" si="14">0</f>
        <v>0</v>
      </c>
      <c r="Q51" s="2"/>
      <c r="R51" s="19"/>
      <c r="S51" s="2"/>
      <c r="T51" s="2">
        <f>-1483.72</f>
        <v>-1483.72</v>
      </c>
      <c r="U51" s="2"/>
      <c r="V51" s="19"/>
      <c r="W51" s="2"/>
      <c r="X51" s="2">
        <f t="shared" si="2"/>
        <v>1483.72</v>
      </c>
      <c r="Y51" s="2"/>
      <c r="Z51" s="19">
        <f t="shared" si="3"/>
        <v>-1</v>
      </c>
    </row>
    <row r="52" spans="1:26" s="24" customFormat="1" hidden="1" outlineLevel="1" x14ac:dyDescent="0.3">
      <c r="A52" s="44"/>
      <c r="B52" s="11" t="str">
        <f>CONCATENATE("          ", "4341", " - ", "SALES RETURN NON TAXABLE-LOGO")</f>
        <v xml:space="preserve">          4341 - SALES RETURN NON TAXABLE-LOGO</v>
      </c>
      <c r="C52" s="11"/>
      <c r="D52" s="2">
        <f t="shared" si="13"/>
        <v>0</v>
      </c>
      <c r="E52" s="2"/>
      <c r="F52" s="19"/>
      <c r="G52" s="2"/>
      <c r="H52" s="2">
        <f>-33.85</f>
        <v>-33.85</v>
      </c>
      <c r="I52" s="2"/>
      <c r="J52" s="19"/>
      <c r="K52" s="2"/>
      <c r="L52" s="2">
        <f t="shared" si="0"/>
        <v>33.85</v>
      </c>
      <c r="M52" s="2"/>
      <c r="N52" s="19">
        <f t="shared" si="1"/>
        <v>-1</v>
      </c>
      <c r="O52" s="11"/>
      <c r="P52" s="2">
        <f t="shared" si="14"/>
        <v>0</v>
      </c>
      <c r="Q52" s="2"/>
      <c r="R52" s="19"/>
      <c r="S52" s="2"/>
      <c r="T52" s="2">
        <f>-335.64</f>
        <v>-335.64</v>
      </c>
      <c r="U52" s="2"/>
      <c r="V52" s="19"/>
      <c r="W52" s="2"/>
      <c r="X52" s="2">
        <f t="shared" si="2"/>
        <v>335.64</v>
      </c>
      <c r="Y52" s="2"/>
      <c r="Z52" s="19">
        <f t="shared" si="3"/>
        <v>-1</v>
      </c>
    </row>
    <row r="53" spans="1:26" s="24" customFormat="1" hidden="1" outlineLevel="1" x14ac:dyDescent="0.3">
      <c r="A53" s="44"/>
      <c r="B53" s="11" t="str">
        <f>CONCATENATE("          ", "4342", " - ", "SALES RETURN NON TAXABLE-EVERY")</f>
        <v xml:space="preserve">          4342 - SALES RETURN NON TAXABLE-EVERY</v>
      </c>
      <c r="C53" s="11"/>
      <c r="D53" s="2">
        <f t="shared" si="13"/>
        <v>0</v>
      </c>
      <c r="E53" s="2"/>
      <c r="F53" s="19"/>
      <c r="G53" s="2"/>
      <c r="H53" s="2">
        <f t="shared" ref="H53:H54" si="15"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 t="shared" si="14"/>
        <v>0</v>
      </c>
      <c r="Q53" s="2"/>
      <c r="R53" s="19"/>
      <c r="S53" s="2"/>
      <c r="T53" s="2">
        <f>-118.7</f>
        <v>-118.7</v>
      </c>
      <c r="U53" s="2"/>
      <c r="V53" s="19"/>
      <c r="W53" s="2"/>
      <c r="X53" s="2">
        <f t="shared" si="2"/>
        <v>118.7</v>
      </c>
      <c r="Y53" s="2"/>
      <c r="Z53" s="19">
        <f t="shared" si="3"/>
        <v>-1</v>
      </c>
    </row>
    <row r="54" spans="1:26" s="24" customFormat="1" hidden="1" outlineLevel="1" x14ac:dyDescent="0.3">
      <c r="A54" s="44"/>
      <c r="B54" s="11" t="str">
        <f>CONCATENATE("          ", "4500", " - ", "SALES DISCOUNT")</f>
        <v xml:space="preserve">          4500 - SALES DISCOUNT</v>
      </c>
      <c r="C54" s="11"/>
      <c r="D54" s="2">
        <f>-43836.16</f>
        <v>-43836.160000000003</v>
      </c>
      <c r="E54" s="2"/>
      <c r="F54" s="19"/>
      <c r="G54" s="2"/>
      <c r="H54" s="2">
        <f t="shared" si="15"/>
        <v>0</v>
      </c>
      <c r="I54" s="2"/>
      <c r="J54" s="19"/>
      <c r="K54" s="2"/>
      <c r="L54" s="2">
        <f t="shared" si="0"/>
        <v>-43836.160000000003</v>
      </c>
      <c r="M54" s="2"/>
      <c r="N54" s="19">
        <f t="shared" si="1"/>
        <v>0</v>
      </c>
      <c r="O54" s="11"/>
      <c r="P54" s="2">
        <f>-56495.36</f>
        <v>-56495.360000000001</v>
      </c>
      <c r="Q54" s="2"/>
      <c r="R54" s="19"/>
      <c r="S54" s="2"/>
      <c r="T54" s="2">
        <f>0</f>
        <v>0</v>
      </c>
      <c r="U54" s="2"/>
      <c r="V54" s="19"/>
      <c r="W54" s="2"/>
      <c r="X54" s="2">
        <f t="shared" si="2"/>
        <v>-56495.360000000001</v>
      </c>
      <c r="Y54" s="2"/>
      <c r="Z54" s="19">
        <f t="shared" si="3"/>
        <v>0</v>
      </c>
    </row>
    <row r="55" spans="1:26" x14ac:dyDescent="0.3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collapsed="1" x14ac:dyDescent="0.3">
      <c r="A56" s="10"/>
      <c r="B56" s="25" t="s">
        <v>256</v>
      </c>
      <c r="C56" s="10"/>
      <c r="D56" s="4">
        <f>SUM(OSRRefD16x_0)</f>
        <v>185783.58</v>
      </c>
      <c r="E56" s="4"/>
      <c r="F56" s="12">
        <f t="shared" ref="F56:F81" si="16">IF(D$12=0,0,D56/D$12)</f>
        <v>0.49754832684454753</v>
      </c>
      <c r="G56" s="4"/>
      <c r="H56" s="4">
        <f>SUM(OSRRefH16x_0)</f>
        <v>103947.99999999999</v>
      </c>
      <c r="I56" s="4"/>
      <c r="J56" s="12">
        <f t="shared" ref="J56:J81" si="17">IF(H$12=0,0,H56/H$12)</f>
        <v>0.59145151480788105</v>
      </c>
      <c r="K56" s="4"/>
      <c r="L56" s="4">
        <f t="shared" ref="L56:L81" si="18">+D56-H56</f>
        <v>81835.58</v>
      </c>
      <c r="M56" s="4"/>
      <c r="N56" s="12">
        <f t="shared" ref="N56:N81" si="19">IF(H56=0,0,L56/H56)</f>
        <v>0.78727421403009212</v>
      </c>
      <c r="O56" s="10"/>
      <c r="P56" s="4">
        <f>SUM(OSRRefP16x_0)</f>
        <v>920687.18</v>
      </c>
      <c r="Q56" s="4"/>
      <c r="R56" s="12">
        <f t="shared" ref="R56:R81" si="20">IF(P$12=0,0,P56/P$12)</f>
        <v>0.49395237907640527</v>
      </c>
      <c r="S56" s="4"/>
      <c r="T56" s="4">
        <f>SUM(OSRRefT16x_0)</f>
        <v>534667.54</v>
      </c>
      <c r="U56" s="4"/>
      <c r="V56" s="12">
        <f t="shared" ref="V56:V81" si="21">IF(T$12=0,0,T56/T$12)</f>
        <v>0.6037324425087498</v>
      </c>
      <c r="W56" s="4"/>
      <c r="X56" s="4">
        <f t="shared" ref="X56:X81" si="22">+P56-T56</f>
        <v>386019.64</v>
      </c>
      <c r="Y56" s="4"/>
      <c r="Z56" s="12">
        <f t="shared" ref="Z56:Z81" si="23">IF(T56=0,0,X56/T56)</f>
        <v>0.72198069102904583</v>
      </c>
    </row>
    <row r="57" spans="1:26" s="24" customFormat="1" hidden="1" outlineLevel="1" x14ac:dyDescent="0.3">
      <c r="A57" s="44"/>
      <c r="B57" s="11" t="str">
        <f>CONCATENATE("          ", "5000", " - ", "PURCHASES @ COST")</f>
        <v xml:space="preserve">          5000 - PURCHASES @ COST</v>
      </c>
      <c r="C57" s="11"/>
      <c r="D57" s="2">
        <v>210648.98</v>
      </c>
      <c r="E57" s="2"/>
      <c r="F57" s="19">
        <f t="shared" si="16"/>
        <v>0.56414053142107912</v>
      </c>
      <c r="G57" s="2"/>
      <c r="H57" s="2"/>
      <c r="I57" s="2"/>
      <c r="J57" s="19">
        <f t="shared" si="17"/>
        <v>0</v>
      </c>
      <c r="K57" s="2"/>
      <c r="L57" s="2">
        <f t="shared" si="18"/>
        <v>210648.98</v>
      </c>
      <c r="M57" s="2"/>
      <c r="N57" s="19">
        <f t="shared" si="19"/>
        <v>0</v>
      </c>
      <c r="O57" s="11"/>
      <c r="P57" s="2">
        <v>1043534.1</v>
      </c>
      <c r="Q57" s="2"/>
      <c r="R57" s="19">
        <f t="shared" si="20"/>
        <v>0.55986024628077835</v>
      </c>
      <c r="S57" s="2"/>
      <c r="T57" s="2"/>
      <c r="U57" s="2"/>
      <c r="V57" s="19">
        <f t="shared" si="21"/>
        <v>0</v>
      </c>
      <c r="W57" s="2"/>
      <c r="X57" s="2">
        <f t="shared" si="22"/>
        <v>1043534.1</v>
      </c>
      <c r="Y57" s="2"/>
      <c r="Z57" s="19">
        <f t="shared" si="23"/>
        <v>0</v>
      </c>
    </row>
    <row r="58" spans="1:26" s="24" customFormat="1" hidden="1" outlineLevel="1" x14ac:dyDescent="0.3">
      <c r="A58" s="44"/>
      <c r="B58" s="11" t="str">
        <f>CONCATENATE("          ", "5025", " - ", "PURCHASES @ COST-TEST FORMS")</f>
        <v xml:space="preserve">          5025 - PURCHASES @ COST-TEST FORMS</v>
      </c>
      <c r="C58" s="11"/>
      <c r="D58" s="2"/>
      <c r="E58" s="2"/>
      <c r="F58" s="19">
        <f t="shared" si="16"/>
        <v>0</v>
      </c>
      <c r="G58" s="2"/>
      <c r="H58" s="2"/>
      <c r="I58" s="2"/>
      <c r="J58" s="19">
        <f t="shared" si="17"/>
        <v>0</v>
      </c>
      <c r="K58" s="2"/>
      <c r="L58" s="2">
        <f t="shared" si="18"/>
        <v>0</v>
      </c>
      <c r="M58" s="2"/>
      <c r="N58" s="19">
        <f t="shared" si="19"/>
        <v>0</v>
      </c>
      <c r="O58" s="11"/>
      <c r="P58" s="2"/>
      <c r="Q58" s="2"/>
      <c r="R58" s="19">
        <f t="shared" si="20"/>
        <v>0</v>
      </c>
      <c r="S58" s="2"/>
      <c r="T58" s="2">
        <v>599.29</v>
      </c>
      <c r="U58" s="2"/>
      <c r="V58" s="19">
        <f t="shared" si="21"/>
        <v>6.7670241487087219E-4</v>
      </c>
      <c r="W58" s="2"/>
      <c r="X58" s="2">
        <f t="shared" si="22"/>
        <v>-599.29</v>
      </c>
      <c r="Y58" s="2"/>
      <c r="Z58" s="19">
        <f t="shared" si="23"/>
        <v>-1</v>
      </c>
    </row>
    <row r="59" spans="1:26" s="24" customFormat="1" hidden="1" outlineLevel="1" x14ac:dyDescent="0.3">
      <c r="A59" s="44"/>
      <c r="B59" s="11" t="str">
        <f>CONCATENATE("          ", "5026", " - ", "PURCHASES @ COST-WRITING INSTR")</f>
        <v xml:space="preserve">          5026 - PURCHASES @ COST-WRITING INSTR</v>
      </c>
      <c r="C59" s="11"/>
      <c r="D59" s="2"/>
      <c r="E59" s="2"/>
      <c r="F59" s="19">
        <f t="shared" si="16"/>
        <v>0</v>
      </c>
      <c r="G59" s="2"/>
      <c r="H59" s="2"/>
      <c r="I59" s="2"/>
      <c r="J59" s="19">
        <f t="shared" si="17"/>
        <v>0</v>
      </c>
      <c r="K59" s="2"/>
      <c r="L59" s="2">
        <f t="shared" si="18"/>
        <v>0</v>
      </c>
      <c r="M59" s="2"/>
      <c r="N59" s="19">
        <f t="shared" si="19"/>
        <v>0</v>
      </c>
      <c r="O59" s="11"/>
      <c r="P59" s="2"/>
      <c r="Q59" s="2"/>
      <c r="R59" s="19">
        <f t="shared" si="20"/>
        <v>0</v>
      </c>
      <c r="S59" s="2"/>
      <c r="T59" s="2">
        <v>10</v>
      </c>
      <c r="U59" s="2"/>
      <c r="V59" s="19">
        <f t="shared" si="21"/>
        <v>1.129173546815185E-5</v>
      </c>
      <c r="W59" s="2"/>
      <c r="X59" s="2">
        <f t="shared" si="22"/>
        <v>-10</v>
      </c>
      <c r="Y59" s="2"/>
      <c r="Z59" s="19">
        <f t="shared" si="23"/>
        <v>-1</v>
      </c>
    </row>
    <row r="60" spans="1:26" s="24" customFormat="1" hidden="1" outlineLevel="1" x14ac:dyDescent="0.3">
      <c r="A60" s="44"/>
      <c r="B60" s="11" t="str">
        <f>CONCATENATE("          ", "5027", " - ", "PURCHASES @ COST-SCHOOL SUPPLI")</f>
        <v xml:space="preserve">          5027 - PURCHASES @ COST-SCHOOL SUPPLI</v>
      </c>
      <c r="C60" s="11"/>
      <c r="D60" s="2"/>
      <c r="E60" s="2"/>
      <c r="F60" s="19">
        <f t="shared" si="16"/>
        <v>0</v>
      </c>
      <c r="G60" s="2"/>
      <c r="H60" s="2"/>
      <c r="I60" s="2"/>
      <c r="J60" s="19">
        <f t="shared" si="17"/>
        <v>0</v>
      </c>
      <c r="K60" s="2"/>
      <c r="L60" s="2">
        <f t="shared" si="18"/>
        <v>0</v>
      </c>
      <c r="M60" s="2"/>
      <c r="N60" s="19">
        <f t="shared" si="19"/>
        <v>0</v>
      </c>
      <c r="O60" s="11"/>
      <c r="P60" s="2">
        <v>0</v>
      </c>
      <c r="Q60" s="2"/>
      <c r="R60" s="19">
        <f t="shared" si="20"/>
        <v>0</v>
      </c>
      <c r="S60" s="2"/>
      <c r="T60" s="2">
        <v>18175.88</v>
      </c>
      <c r="U60" s="2"/>
      <c r="V60" s="19">
        <f t="shared" si="21"/>
        <v>2.0523722886087184E-2</v>
      </c>
      <c r="W60" s="2"/>
      <c r="X60" s="2">
        <f t="shared" si="22"/>
        <v>-18175.88</v>
      </c>
      <c r="Y60" s="2"/>
      <c r="Z60" s="19">
        <f t="shared" si="23"/>
        <v>-1</v>
      </c>
    </row>
    <row r="61" spans="1:26" s="24" customFormat="1" hidden="1" outlineLevel="1" x14ac:dyDescent="0.3">
      <c r="A61" s="44"/>
      <c r="B61" s="11" t="str">
        <f>CONCATENATE("          ", "5028", " - ", "PURCHASES @ COST-ART/TECH")</f>
        <v xml:space="preserve">          5028 - PURCHASES @ COST-ART/TECH</v>
      </c>
      <c r="C61" s="11"/>
      <c r="D61" s="2"/>
      <c r="E61" s="2"/>
      <c r="F61" s="19">
        <f t="shared" si="16"/>
        <v>0</v>
      </c>
      <c r="G61" s="2"/>
      <c r="H61" s="2"/>
      <c r="I61" s="2"/>
      <c r="J61" s="19">
        <f t="shared" si="17"/>
        <v>0</v>
      </c>
      <c r="K61" s="2"/>
      <c r="L61" s="2">
        <f t="shared" si="18"/>
        <v>0</v>
      </c>
      <c r="M61" s="2"/>
      <c r="N61" s="19">
        <f t="shared" si="19"/>
        <v>0</v>
      </c>
      <c r="O61" s="11"/>
      <c r="P61" s="2">
        <v>0</v>
      </c>
      <c r="Q61" s="2"/>
      <c r="R61" s="19">
        <f t="shared" si="20"/>
        <v>0</v>
      </c>
      <c r="S61" s="2"/>
      <c r="T61" s="2">
        <v>-83.4</v>
      </c>
      <c r="U61" s="2"/>
      <c r="V61" s="19">
        <f t="shared" si="21"/>
        <v>-9.4173073804386438E-5</v>
      </c>
      <c r="W61" s="2"/>
      <c r="X61" s="2">
        <f t="shared" si="22"/>
        <v>83.4</v>
      </c>
      <c r="Y61" s="2"/>
      <c r="Z61" s="19">
        <f t="shared" si="23"/>
        <v>-1</v>
      </c>
    </row>
    <row r="62" spans="1:26" s="24" customFormat="1" hidden="1" outlineLevel="1" x14ac:dyDescent="0.3">
      <c r="A62" s="44"/>
      <c r="B62" s="11" t="str">
        <f>CONCATENATE("          ", "5031", " - ", "PURCHASES @ COST-FOOD")</f>
        <v xml:space="preserve">          5031 - PURCHASES @ COST-FOOD</v>
      </c>
      <c r="C62" s="11"/>
      <c r="D62" s="2"/>
      <c r="E62" s="2"/>
      <c r="F62" s="19">
        <f t="shared" si="16"/>
        <v>0</v>
      </c>
      <c r="G62" s="2"/>
      <c r="H62" s="2">
        <v>-771.9</v>
      </c>
      <c r="I62" s="2"/>
      <c r="J62" s="19">
        <f t="shared" si="17"/>
        <v>-4.3920173960076518E-3</v>
      </c>
      <c r="K62" s="2"/>
      <c r="L62" s="2">
        <f t="shared" si="18"/>
        <v>771.9</v>
      </c>
      <c r="M62" s="2"/>
      <c r="N62" s="19">
        <f t="shared" si="19"/>
        <v>-1</v>
      </c>
      <c r="O62" s="11"/>
      <c r="P62" s="2">
        <v>0</v>
      </c>
      <c r="Q62" s="2"/>
      <c r="R62" s="19">
        <f t="shared" si="20"/>
        <v>0</v>
      </c>
      <c r="S62" s="2"/>
      <c r="T62" s="2">
        <v>4833.53</v>
      </c>
      <c r="U62" s="2"/>
      <c r="V62" s="19">
        <f t="shared" si="21"/>
        <v>5.457894213737601E-3</v>
      </c>
      <c r="W62" s="2"/>
      <c r="X62" s="2">
        <f t="shared" si="22"/>
        <v>-4833.53</v>
      </c>
      <c r="Y62" s="2"/>
      <c r="Z62" s="19">
        <f t="shared" si="23"/>
        <v>-1</v>
      </c>
    </row>
    <row r="63" spans="1:26" s="24" customFormat="1" hidden="1" outlineLevel="1" x14ac:dyDescent="0.3">
      <c r="A63" s="44"/>
      <c r="B63" s="11" t="str">
        <f>CONCATENATE("          ", "5040", " - ", "PURCHASES @ COST-LOGO CLOTHING")</f>
        <v xml:space="preserve">          5040 - PURCHASES @ COST-LOGO CLOTHING</v>
      </c>
      <c r="C63" s="11"/>
      <c r="D63" s="2"/>
      <c r="E63" s="2"/>
      <c r="F63" s="19">
        <f t="shared" si="16"/>
        <v>0</v>
      </c>
      <c r="G63" s="2"/>
      <c r="H63" s="2">
        <v>38175.120000000003</v>
      </c>
      <c r="I63" s="2"/>
      <c r="J63" s="19">
        <f t="shared" si="17"/>
        <v>0.21721180351687996</v>
      </c>
      <c r="K63" s="2"/>
      <c r="L63" s="2">
        <f t="shared" si="18"/>
        <v>-38175.120000000003</v>
      </c>
      <c r="M63" s="2"/>
      <c r="N63" s="19">
        <f t="shared" si="19"/>
        <v>-1</v>
      </c>
      <c r="O63" s="11"/>
      <c r="P63" s="2">
        <v>0</v>
      </c>
      <c r="Q63" s="2"/>
      <c r="R63" s="19">
        <f t="shared" si="20"/>
        <v>0</v>
      </c>
      <c r="S63" s="2"/>
      <c r="T63" s="2">
        <v>132470.39999999999</v>
      </c>
      <c r="U63" s="2"/>
      <c r="V63" s="19">
        <f t="shared" si="21"/>
        <v>0.14958207141602628</v>
      </c>
      <c r="W63" s="2"/>
      <c r="X63" s="2">
        <f t="shared" si="22"/>
        <v>-132470.39999999999</v>
      </c>
      <c r="Y63" s="2"/>
      <c r="Z63" s="19">
        <f t="shared" si="23"/>
        <v>-1</v>
      </c>
    </row>
    <row r="64" spans="1:26" s="24" customFormat="1" hidden="1" outlineLevel="1" x14ac:dyDescent="0.3">
      <c r="A64" s="44"/>
      <c r="B64" s="11" t="str">
        <f>CONCATENATE("          ", "5041", " - ", "PURCHASES @ COST-LOGO GIFTS")</f>
        <v xml:space="preserve">          5041 - PURCHASES @ COST-LOGO GIFTS</v>
      </c>
      <c r="C64" s="11"/>
      <c r="D64" s="2"/>
      <c r="E64" s="2"/>
      <c r="F64" s="19">
        <f t="shared" si="16"/>
        <v>0</v>
      </c>
      <c r="G64" s="2"/>
      <c r="H64" s="2">
        <v>5559.99</v>
      </c>
      <c r="I64" s="2"/>
      <c r="J64" s="19">
        <f t="shared" si="17"/>
        <v>3.1635668871134323E-2</v>
      </c>
      <c r="K64" s="2"/>
      <c r="L64" s="2">
        <f t="shared" si="18"/>
        <v>-5559.99</v>
      </c>
      <c r="M64" s="2"/>
      <c r="N64" s="19">
        <f t="shared" si="19"/>
        <v>-1</v>
      </c>
      <c r="O64" s="11"/>
      <c r="P64" s="2">
        <v>0</v>
      </c>
      <c r="Q64" s="2"/>
      <c r="R64" s="19">
        <f t="shared" si="20"/>
        <v>0</v>
      </c>
      <c r="S64" s="2"/>
      <c r="T64" s="2">
        <v>31994.16</v>
      </c>
      <c r="U64" s="2"/>
      <c r="V64" s="19">
        <f t="shared" si="21"/>
        <v>3.6126959124572519E-2</v>
      </c>
      <c r="W64" s="2"/>
      <c r="X64" s="2">
        <f t="shared" si="22"/>
        <v>-31994.16</v>
      </c>
      <c r="Y64" s="2"/>
      <c r="Z64" s="19">
        <f t="shared" si="23"/>
        <v>-1</v>
      </c>
    </row>
    <row r="65" spans="1:26" s="24" customFormat="1" hidden="1" outlineLevel="1" x14ac:dyDescent="0.3">
      <c r="A65" s="44"/>
      <c r="B65" s="11" t="str">
        <f>CONCATENATE("          ", "5042", " - ", "PURCHASES @ COST-EVERYDAY GIFT")</f>
        <v xml:space="preserve">          5042 - PURCHASES @ COST-EVERYDAY GIFT</v>
      </c>
      <c r="C65" s="11"/>
      <c r="D65" s="2"/>
      <c r="E65" s="2"/>
      <c r="F65" s="19">
        <f t="shared" si="16"/>
        <v>0</v>
      </c>
      <c r="G65" s="2"/>
      <c r="H65" s="2">
        <v>148.6</v>
      </c>
      <c r="I65" s="2"/>
      <c r="J65" s="19">
        <f t="shared" si="17"/>
        <v>8.4551598010977733E-4</v>
      </c>
      <c r="K65" s="2"/>
      <c r="L65" s="2">
        <f t="shared" si="18"/>
        <v>-148.6</v>
      </c>
      <c r="M65" s="2"/>
      <c r="N65" s="19">
        <f t="shared" si="19"/>
        <v>-1</v>
      </c>
      <c r="O65" s="11"/>
      <c r="P65" s="2">
        <v>0</v>
      </c>
      <c r="Q65" s="2"/>
      <c r="R65" s="19">
        <f t="shared" si="20"/>
        <v>0</v>
      </c>
      <c r="S65" s="2"/>
      <c r="T65" s="2">
        <v>3115.24</v>
      </c>
      <c r="U65" s="2"/>
      <c r="V65" s="19">
        <f t="shared" si="21"/>
        <v>3.5176465999805367E-3</v>
      </c>
      <c r="W65" s="2"/>
      <c r="X65" s="2">
        <f t="shared" si="22"/>
        <v>-3115.24</v>
      </c>
      <c r="Y65" s="2"/>
      <c r="Z65" s="19">
        <f t="shared" si="23"/>
        <v>-1</v>
      </c>
    </row>
    <row r="66" spans="1:26" s="24" customFormat="1" hidden="1" outlineLevel="1" x14ac:dyDescent="0.3">
      <c r="A66" s="44"/>
      <c r="B66" s="11" t="str">
        <f>CONCATENATE("          ", "5043", " - ", "PURCHASES @ COST-CARDS")</f>
        <v xml:space="preserve">          5043 - PURCHASES @ COST-CARDS</v>
      </c>
      <c r="C66" s="11"/>
      <c r="D66" s="2"/>
      <c r="E66" s="2"/>
      <c r="F66" s="19">
        <f t="shared" si="16"/>
        <v>0</v>
      </c>
      <c r="G66" s="2"/>
      <c r="H66" s="2">
        <v>2448</v>
      </c>
      <c r="I66" s="2"/>
      <c r="J66" s="19">
        <f t="shared" si="17"/>
        <v>1.3928823144742496E-2</v>
      </c>
      <c r="K66" s="2"/>
      <c r="L66" s="2">
        <f t="shared" si="18"/>
        <v>-2448</v>
      </c>
      <c r="M66" s="2"/>
      <c r="N66" s="19">
        <f t="shared" si="19"/>
        <v>-1</v>
      </c>
      <c r="O66" s="11"/>
      <c r="P66" s="2">
        <v>0</v>
      </c>
      <c r="Q66" s="2"/>
      <c r="R66" s="19">
        <f t="shared" si="20"/>
        <v>0</v>
      </c>
      <c r="S66" s="2"/>
      <c r="T66" s="2">
        <v>46621.23</v>
      </c>
      <c r="U66" s="2"/>
      <c r="V66" s="19">
        <f t="shared" si="21"/>
        <v>5.264345963598651E-2</v>
      </c>
      <c r="W66" s="2"/>
      <c r="X66" s="2">
        <f t="shared" si="22"/>
        <v>-46621.23</v>
      </c>
      <c r="Y66" s="2"/>
      <c r="Z66" s="19">
        <f t="shared" si="23"/>
        <v>-1</v>
      </c>
    </row>
    <row r="67" spans="1:26" s="24" customFormat="1" hidden="1" outlineLevel="1" x14ac:dyDescent="0.3">
      <c r="A67" s="44"/>
      <c r="B67" s="11" t="str">
        <f>CONCATENATE("          ", "5044", " - ", "PURCHASES @ COST-ACCESSORIES")</f>
        <v xml:space="preserve">          5044 - PURCHASES @ COST-ACCESSORIES</v>
      </c>
      <c r="C67" s="11"/>
      <c r="D67" s="2"/>
      <c r="E67" s="2"/>
      <c r="F67" s="19">
        <f t="shared" si="16"/>
        <v>0</v>
      </c>
      <c r="G67" s="2"/>
      <c r="H67" s="2"/>
      <c r="I67" s="2"/>
      <c r="J67" s="19">
        <f t="shared" si="17"/>
        <v>0</v>
      </c>
      <c r="K67" s="2"/>
      <c r="L67" s="2">
        <f t="shared" si="18"/>
        <v>0</v>
      </c>
      <c r="M67" s="2"/>
      <c r="N67" s="19">
        <f t="shared" si="19"/>
        <v>0</v>
      </c>
      <c r="O67" s="11"/>
      <c r="P67" s="2">
        <v>0</v>
      </c>
      <c r="Q67" s="2"/>
      <c r="R67" s="19">
        <f t="shared" si="20"/>
        <v>0</v>
      </c>
      <c r="S67" s="2"/>
      <c r="T67" s="2">
        <v>282.33</v>
      </c>
      <c r="U67" s="2"/>
      <c r="V67" s="19">
        <f t="shared" si="21"/>
        <v>3.1879956747233115E-4</v>
      </c>
      <c r="W67" s="2"/>
      <c r="X67" s="2">
        <f t="shared" si="22"/>
        <v>-282.33</v>
      </c>
      <c r="Y67" s="2"/>
      <c r="Z67" s="19">
        <f t="shared" si="23"/>
        <v>-1</v>
      </c>
    </row>
    <row r="68" spans="1:26" s="24" customFormat="1" hidden="1" outlineLevel="1" x14ac:dyDescent="0.3">
      <c r="A68" s="44"/>
      <c r="B68" s="11" t="str">
        <f>CONCATENATE("          ", "5045", " - ", "PURCHASES @ COST-SPECIAL ORDER")</f>
        <v xml:space="preserve">          5045 - PURCHASES @ COST-SPECIAL ORDER</v>
      </c>
      <c r="C68" s="11"/>
      <c r="D68" s="2"/>
      <c r="E68" s="2"/>
      <c r="F68" s="19">
        <f t="shared" si="16"/>
        <v>0</v>
      </c>
      <c r="G68" s="2"/>
      <c r="H68" s="2">
        <v>10676.48</v>
      </c>
      <c r="I68" s="2"/>
      <c r="J68" s="19">
        <f t="shared" si="17"/>
        <v>6.0747876523031194E-2</v>
      </c>
      <c r="K68" s="2"/>
      <c r="L68" s="2">
        <f t="shared" si="18"/>
        <v>-10676.48</v>
      </c>
      <c r="M68" s="2"/>
      <c r="N68" s="19">
        <f t="shared" si="19"/>
        <v>-1</v>
      </c>
      <c r="O68" s="11"/>
      <c r="P68" s="2">
        <v>0</v>
      </c>
      <c r="Q68" s="2"/>
      <c r="R68" s="19">
        <f t="shared" si="20"/>
        <v>0</v>
      </c>
      <c r="S68" s="2"/>
      <c r="T68" s="2">
        <v>87609</v>
      </c>
      <c r="U68" s="2"/>
      <c r="V68" s="19">
        <f t="shared" si="21"/>
        <v>9.8925765262931536E-2</v>
      </c>
      <c r="W68" s="2"/>
      <c r="X68" s="2">
        <f t="shared" si="22"/>
        <v>-87609</v>
      </c>
      <c r="Y68" s="2"/>
      <c r="Z68" s="19">
        <f t="shared" si="23"/>
        <v>-1</v>
      </c>
    </row>
    <row r="69" spans="1:26" s="24" customFormat="1" hidden="1" outlineLevel="1" x14ac:dyDescent="0.3">
      <c r="A69" s="44"/>
      <c r="B69" s="11" t="str">
        <f>CONCATENATE("          ", "5200", " - ", "PURCHASES OFFSET")</f>
        <v xml:space="preserve">          5200 - PURCHASES OFFSET</v>
      </c>
      <c r="C69" s="11"/>
      <c r="D69" s="2">
        <v>-219133.53</v>
      </c>
      <c r="E69" s="2"/>
      <c r="F69" s="19">
        <f t="shared" si="16"/>
        <v>-0.58686306511608544</v>
      </c>
      <c r="G69" s="2"/>
      <c r="H69" s="2">
        <v>-58180.68</v>
      </c>
      <c r="I69" s="2"/>
      <c r="J69" s="19">
        <f t="shared" si="17"/>
        <v>-0.3310410139545984</v>
      </c>
      <c r="K69" s="2"/>
      <c r="L69" s="2">
        <f t="shared" si="18"/>
        <v>-160952.85</v>
      </c>
      <c r="M69" s="2"/>
      <c r="N69" s="19">
        <f t="shared" si="19"/>
        <v>2.7664312276858918</v>
      </c>
      <c r="O69" s="11"/>
      <c r="P69" s="2">
        <v>-1075384</v>
      </c>
      <c r="Q69" s="2"/>
      <c r="R69" s="19">
        <f t="shared" si="20"/>
        <v>-0.57694784586953951</v>
      </c>
      <c r="S69" s="2"/>
      <c r="T69" s="2">
        <v>-340331.66</v>
      </c>
      <c r="U69" s="2"/>
      <c r="V69" s="19">
        <f t="shared" si="21"/>
        <v>-0.38429350761569958</v>
      </c>
      <c r="W69" s="2"/>
      <c r="X69" s="2">
        <f t="shared" si="22"/>
        <v>-735052.34000000008</v>
      </c>
      <c r="Y69" s="2"/>
      <c r="Z69" s="19">
        <f t="shared" si="23"/>
        <v>2.1598118141579898</v>
      </c>
    </row>
    <row r="70" spans="1:26" s="24" customFormat="1" hidden="1" outlineLevel="1" x14ac:dyDescent="0.3">
      <c r="A70" s="44"/>
      <c r="B70" s="11" t="str">
        <f>CONCATENATE("          ", "5300", " - ", "COG$ OFFSET")</f>
        <v xml:space="preserve">          5300 - COG$ OFFSET</v>
      </c>
      <c r="C70" s="11"/>
      <c r="D70" s="2">
        <v>185783.58</v>
      </c>
      <c r="E70" s="2"/>
      <c r="F70" s="19">
        <f t="shared" si="16"/>
        <v>0.49754832684454753</v>
      </c>
      <c r="G70" s="2"/>
      <c r="H70" s="2">
        <v>103948</v>
      </c>
      <c r="I70" s="2"/>
      <c r="J70" s="19">
        <f t="shared" si="17"/>
        <v>0.59145151480788116</v>
      </c>
      <c r="K70" s="2"/>
      <c r="L70" s="2">
        <f t="shared" si="18"/>
        <v>81835.579999999987</v>
      </c>
      <c r="M70" s="2"/>
      <c r="N70" s="19">
        <f t="shared" si="19"/>
        <v>0.7872742140300919</v>
      </c>
      <c r="O70" s="11"/>
      <c r="P70" s="2">
        <v>920687.18</v>
      </c>
      <c r="Q70" s="2"/>
      <c r="R70" s="19">
        <f t="shared" si="20"/>
        <v>0.49395237907640527</v>
      </c>
      <c r="S70" s="2"/>
      <c r="T70" s="2">
        <v>533751</v>
      </c>
      <c r="U70" s="2"/>
      <c r="V70" s="19">
        <f t="shared" si="21"/>
        <v>0.60269750978615177</v>
      </c>
      <c r="W70" s="2"/>
      <c r="X70" s="2">
        <f t="shared" si="22"/>
        <v>386936.18000000005</v>
      </c>
      <c r="Y70" s="2"/>
      <c r="Z70" s="19">
        <f t="shared" si="23"/>
        <v>0.72493762072576928</v>
      </c>
    </row>
    <row r="71" spans="1:26" s="24" customFormat="1" hidden="1" outlineLevel="1" x14ac:dyDescent="0.3">
      <c r="A71" s="44"/>
      <c r="B71" s="11" t="str">
        <f>CONCATENATE("          ", "5500", " - ", "FREIGHT-IN")</f>
        <v xml:space="preserve">          5500 - FREIGHT-IN</v>
      </c>
      <c r="C71" s="11"/>
      <c r="D71" s="2">
        <v>8484.5499999999993</v>
      </c>
      <c r="E71" s="2"/>
      <c r="F71" s="19">
        <f t="shared" si="16"/>
        <v>2.2722533695006337E-2</v>
      </c>
      <c r="G71" s="2"/>
      <c r="H71" s="2"/>
      <c r="I71" s="2"/>
      <c r="J71" s="19">
        <f t="shared" si="17"/>
        <v>0</v>
      </c>
      <c r="K71" s="2"/>
      <c r="L71" s="2">
        <f t="shared" si="18"/>
        <v>8484.5499999999993</v>
      </c>
      <c r="M71" s="2"/>
      <c r="N71" s="19">
        <f t="shared" si="19"/>
        <v>0</v>
      </c>
      <c r="O71" s="11"/>
      <c r="P71" s="2">
        <v>31849.9</v>
      </c>
      <c r="Q71" s="2"/>
      <c r="R71" s="19">
        <f t="shared" si="20"/>
        <v>1.708759958876108E-2</v>
      </c>
      <c r="S71" s="2"/>
      <c r="T71" s="2"/>
      <c r="U71" s="2"/>
      <c r="V71" s="19">
        <f t="shared" si="21"/>
        <v>0</v>
      </c>
      <c r="W71" s="2"/>
      <c r="X71" s="2">
        <f t="shared" si="22"/>
        <v>31849.9</v>
      </c>
      <c r="Y71" s="2"/>
      <c r="Z71" s="19">
        <f t="shared" si="23"/>
        <v>0</v>
      </c>
    </row>
    <row r="72" spans="1:26" s="24" customFormat="1" hidden="1" outlineLevel="1" x14ac:dyDescent="0.3">
      <c r="A72" s="44"/>
      <c r="B72" s="11" t="str">
        <f>CONCATENATE("          ", "5525", " - ", "FREIGHT-IN-TEST FORMS")</f>
        <v xml:space="preserve">          5525 - FREIGHT-IN-TEST FORMS</v>
      </c>
      <c r="C72" s="11"/>
      <c r="D72" s="2"/>
      <c r="E72" s="2"/>
      <c r="F72" s="19">
        <f t="shared" si="16"/>
        <v>0</v>
      </c>
      <c r="G72" s="2"/>
      <c r="H72" s="2"/>
      <c r="I72" s="2"/>
      <c r="J72" s="19">
        <f t="shared" si="17"/>
        <v>0</v>
      </c>
      <c r="K72" s="2"/>
      <c r="L72" s="2">
        <f t="shared" si="18"/>
        <v>0</v>
      </c>
      <c r="M72" s="2"/>
      <c r="N72" s="19">
        <f t="shared" si="19"/>
        <v>0</v>
      </c>
      <c r="O72" s="11"/>
      <c r="P72" s="2"/>
      <c r="Q72" s="2"/>
      <c r="R72" s="19">
        <f t="shared" si="20"/>
        <v>0</v>
      </c>
      <c r="S72" s="2"/>
      <c r="T72" s="2">
        <v>48.14</v>
      </c>
      <c r="U72" s="2"/>
      <c r="V72" s="19">
        <f t="shared" si="21"/>
        <v>5.4358414543683008E-5</v>
      </c>
      <c r="W72" s="2"/>
      <c r="X72" s="2">
        <f t="shared" si="22"/>
        <v>-48.14</v>
      </c>
      <c r="Y72" s="2"/>
      <c r="Z72" s="19">
        <f t="shared" si="23"/>
        <v>-1</v>
      </c>
    </row>
    <row r="73" spans="1:26" s="24" customFormat="1" hidden="1" outlineLevel="1" x14ac:dyDescent="0.3">
      <c r="A73" s="44"/>
      <c r="B73" s="11" t="str">
        <f>CONCATENATE("          ", "5526", " - ", "FREIGHT-IN-WRITING INSTRUMENTS")</f>
        <v xml:space="preserve">          5526 - FREIGHT-IN-WRITING INSTRUMENTS</v>
      </c>
      <c r="C73" s="11"/>
      <c r="D73" s="2"/>
      <c r="E73" s="2"/>
      <c r="F73" s="19">
        <f t="shared" si="16"/>
        <v>0</v>
      </c>
      <c r="G73" s="2"/>
      <c r="H73" s="2">
        <v>0</v>
      </c>
      <c r="I73" s="2"/>
      <c r="J73" s="19">
        <f t="shared" si="17"/>
        <v>0</v>
      </c>
      <c r="K73" s="2"/>
      <c r="L73" s="2">
        <f t="shared" si="18"/>
        <v>0</v>
      </c>
      <c r="M73" s="2"/>
      <c r="N73" s="19">
        <f t="shared" si="19"/>
        <v>0</v>
      </c>
      <c r="O73" s="11"/>
      <c r="P73" s="2"/>
      <c r="Q73" s="2"/>
      <c r="R73" s="19">
        <f t="shared" si="20"/>
        <v>0</v>
      </c>
      <c r="S73" s="2"/>
      <c r="T73" s="2">
        <v>0</v>
      </c>
      <c r="U73" s="2"/>
      <c r="V73" s="19">
        <f t="shared" si="21"/>
        <v>0</v>
      </c>
      <c r="W73" s="2"/>
      <c r="X73" s="2">
        <f t="shared" si="22"/>
        <v>0</v>
      </c>
      <c r="Y73" s="2"/>
      <c r="Z73" s="19">
        <f t="shared" si="23"/>
        <v>0</v>
      </c>
    </row>
    <row r="74" spans="1:26" s="24" customFormat="1" hidden="1" outlineLevel="1" x14ac:dyDescent="0.3">
      <c r="A74" s="44"/>
      <c r="B74" s="11" t="str">
        <f>CONCATENATE("          ", "5527", " - ", "FREIGHT-IN-SCHOOL SUPPLIES")</f>
        <v xml:space="preserve">          5527 - FREIGHT-IN-SCHOOL SUPPLIES</v>
      </c>
      <c r="C74" s="11"/>
      <c r="D74" s="2"/>
      <c r="E74" s="2"/>
      <c r="F74" s="19">
        <f t="shared" si="16"/>
        <v>0</v>
      </c>
      <c r="G74" s="2"/>
      <c r="H74" s="2">
        <v>121.5</v>
      </c>
      <c r="I74" s="2"/>
      <c r="J74" s="19">
        <f t="shared" si="17"/>
        <v>6.9132026637508707E-4</v>
      </c>
      <c r="K74" s="2"/>
      <c r="L74" s="2">
        <f t="shared" si="18"/>
        <v>-121.5</v>
      </c>
      <c r="M74" s="2"/>
      <c r="N74" s="19">
        <f t="shared" si="19"/>
        <v>-1</v>
      </c>
      <c r="O74" s="11"/>
      <c r="P74" s="2">
        <v>0</v>
      </c>
      <c r="Q74" s="2"/>
      <c r="R74" s="19">
        <f t="shared" si="20"/>
        <v>0</v>
      </c>
      <c r="S74" s="2"/>
      <c r="T74" s="2">
        <v>177.5</v>
      </c>
      <c r="U74" s="2"/>
      <c r="V74" s="19">
        <f t="shared" si="21"/>
        <v>2.0042830455969533E-4</v>
      </c>
      <c r="W74" s="2"/>
      <c r="X74" s="2">
        <f t="shared" si="22"/>
        <v>-177.5</v>
      </c>
      <c r="Y74" s="2"/>
      <c r="Z74" s="19">
        <f t="shared" si="23"/>
        <v>-1</v>
      </c>
    </row>
    <row r="75" spans="1:26" s="24" customFormat="1" hidden="1" outlineLevel="1" x14ac:dyDescent="0.3">
      <c r="A75" s="44"/>
      <c r="B75" s="11" t="str">
        <f>CONCATENATE("          ", "5528", " - ", "FREIGHT-IN-ART/TECH")</f>
        <v xml:space="preserve">          5528 - FREIGHT-IN-ART/TECH</v>
      </c>
      <c r="C75" s="11"/>
      <c r="D75" s="2"/>
      <c r="E75" s="2"/>
      <c r="F75" s="19">
        <f t="shared" si="16"/>
        <v>0</v>
      </c>
      <c r="G75" s="2"/>
      <c r="H75" s="2"/>
      <c r="I75" s="2"/>
      <c r="J75" s="19">
        <f t="shared" si="17"/>
        <v>0</v>
      </c>
      <c r="K75" s="2"/>
      <c r="L75" s="2">
        <f t="shared" si="18"/>
        <v>0</v>
      </c>
      <c r="M75" s="2"/>
      <c r="N75" s="19">
        <f t="shared" si="19"/>
        <v>0</v>
      </c>
      <c r="O75" s="11"/>
      <c r="P75" s="2"/>
      <c r="Q75" s="2"/>
      <c r="R75" s="19">
        <f t="shared" si="20"/>
        <v>0</v>
      </c>
      <c r="S75" s="2"/>
      <c r="T75" s="2">
        <v>3.94</v>
      </c>
      <c r="U75" s="2"/>
      <c r="V75" s="19">
        <f t="shared" si="21"/>
        <v>4.448943774451829E-6</v>
      </c>
      <c r="W75" s="2"/>
      <c r="X75" s="2">
        <f t="shared" si="22"/>
        <v>-3.94</v>
      </c>
      <c r="Y75" s="2"/>
      <c r="Z75" s="19">
        <f t="shared" si="23"/>
        <v>-1</v>
      </c>
    </row>
    <row r="76" spans="1:26" s="24" customFormat="1" hidden="1" outlineLevel="1" x14ac:dyDescent="0.3">
      <c r="A76" s="44"/>
      <c r="B76" s="11" t="str">
        <f>CONCATENATE("          ", "5540", " - ", "FREIGHT-IN-LOGO CLOTHING")</f>
        <v xml:space="preserve">          5540 - FREIGHT-IN-LOGO CLOTHING</v>
      </c>
      <c r="C76" s="11"/>
      <c r="D76" s="2"/>
      <c r="E76" s="2"/>
      <c r="F76" s="19">
        <f t="shared" si="16"/>
        <v>0</v>
      </c>
      <c r="G76" s="2"/>
      <c r="H76" s="2">
        <v>907.48</v>
      </c>
      <c r="I76" s="2"/>
      <c r="J76" s="19">
        <f t="shared" si="17"/>
        <v>5.1634511549799511E-3</v>
      </c>
      <c r="K76" s="2"/>
      <c r="L76" s="2">
        <f t="shared" si="18"/>
        <v>-907.48</v>
      </c>
      <c r="M76" s="2"/>
      <c r="N76" s="19">
        <f t="shared" si="19"/>
        <v>-1</v>
      </c>
      <c r="O76" s="11"/>
      <c r="P76" s="2">
        <v>0</v>
      </c>
      <c r="Q76" s="2"/>
      <c r="R76" s="19">
        <f t="shared" si="20"/>
        <v>0</v>
      </c>
      <c r="S76" s="2"/>
      <c r="T76" s="2">
        <v>5442.96</v>
      </c>
      <c r="U76" s="2"/>
      <c r="V76" s="19">
        <f t="shared" si="21"/>
        <v>6.1460464483731794E-3</v>
      </c>
      <c r="W76" s="2"/>
      <c r="X76" s="2">
        <f t="shared" si="22"/>
        <v>-5442.96</v>
      </c>
      <c r="Y76" s="2"/>
      <c r="Z76" s="19">
        <f t="shared" si="23"/>
        <v>-1</v>
      </c>
    </row>
    <row r="77" spans="1:26" s="24" customFormat="1" hidden="1" outlineLevel="1" x14ac:dyDescent="0.3">
      <c r="A77" s="44"/>
      <c r="B77" s="11" t="str">
        <f>CONCATENATE("          ", "5541", " - ", "FREIGHT-IN-LOGO GIFTS")</f>
        <v xml:space="preserve">          5541 - FREIGHT-IN-LOGO GIFTS</v>
      </c>
      <c r="C77" s="11"/>
      <c r="D77" s="2"/>
      <c r="E77" s="2"/>
      <c r="F77" s="19">
        <f t="shared" si="16"/>
        <v>0</v>
      </c>
      <c r="G77" s="2"/>
      <c r="H77" s="2">
        <v>84.07</v>
      </c>
      <c r="I77" s="2"/>
      <c r="J77" s="19">
        <f t="shared" si="17"/>
        <v>4.7834810530167544E-4</v>
      </c>
      <c r="K77" s="2"/>
      <c r="L77" s="2">
        <f t="shared" si="18"/>
        <v>-84.07</v>
      </c>
      <c r="M77" s="2"/>
      <c r="N77" s="19">
        <f t="shared" si="19"/>
        <v>-1</v>
      </c>
      <c r="O77" s="11"/>
      <c r="P77" s="2">
        <v>0</v>
      </c>
      <c r="Q77" s="2"/>
      <c r="R77" s="19">
        <f t="shared" si="20"/>
        <v>0</v>
      </c>
      <c r="S77" s="2"/>
      <c r="T77" s="2">
        <v>1519.94</v>
      </c>
      <c r="U77" s="2"/>
      <c r="V77" s="19">
        <f t="shared" si="21"/>
        <v>1.7162760407462723E-3</v>
      </c>
      <c r="W77" s="2"/>
      <c r="X77" s="2">
        <f t="shared" si="22"/>
        <v>-1519.94</v>
      </c>
      <c r="Y77" s="2"/>
      <c r="Z77" s="19">
        <f t="shared" si="23"/>
        <v>-1</v>
      </c>
    </row>
    <row r="78" spans="1:26" s="24" customFormat="1" hidden="1" outlineLevel="1" x14ac:dyDescent="0.3">
      <c r="A78" s="44"/>
      <c r="B78" s="11" t="str">
        <f>CONCATENATE("          ", "5542", " - ", "FREIGHT-IN-EVERYDAY GIFTS")</f>
        <v xml:space="preserve">          5542 - FREIGHT-IN-EVERYDAY GIFTS</v>
      </c>
      <c r="C78" s="11"/>
      <c r="D78" s="2"/>
      <c r="E78" s="2"/>
      <c r="F78" s="19">
        <f t="shared" si="16"/>
        <v>0</v>
      </c>
      <c r="G78" s="2"/>
      <c r="H78" s="2"/>
      <c r="I78" s="2"/>
      <c r="J78" s="19">
        <f t="shared" si="17"/>
        <v>0</v>
      </c>
      <c r="K78" s="2"/>
      <c r="L78" s="2">
        <f t="shared" si="18"/>
        <v>0</v>
      </c>
      <c r="M78" s="2"/>
      <c r="N78" s="19">
        <f t="shared" si="19"/>
        <v>0</v>
      </c>
      <c r="O78" s="11"/>
      <c r="P78" s="2">
        <v>0</v>
      </c>
      <c r="Q78" s="2"/>
      <c r="R78" s="19">
        <f t="shared" si="20"/>
        <v>0</v>
      </c>
      <c r="S78" s="2"/>
      <c r="T78" s="2">
        <v>196.55</v>
      </c>
      <c r="U78" s="2"/>
      <c r="V78" s="19">
        <f t="shared" si="21"/>
        <v>2.2193906062652462E-4</v>
      </c>
      <c r="W78" s="2"/>
      <c r="X78" s="2">
        <f t="shared" si="22"/>
        <v>-196.55</v>
      </c>
      <c r="Y78" s="2"/>
      <c r="Z78" s="19">
        <f t="shared" si="23"/>
        <v>-1</v>
      </c>
    </row>
    <row r="79" spans="1:26" s="24" customFormat="1" hidden="1" outlineLevel="1" x14ac:dyDescent="0.3">
      <c r="A79" s="44"/>
      <c r="B79" s="11" t="str">
        <f>CONCATENATE("          ", "5543", " - ", "FREIGHT-IN-CARDS")</f>
        <v xml:space="preserve">          5543 - FREIGHT-IN-CARDS</v>
      </c>
      <c r="C79" s="11"/>
      <c r="D79" s="2"/>
      <c r="E79" s="2"/>
      <c r="F79" s="19">
        <f t="shared" si="16"/>
        <v>0</v>
      </c>
      <c r="G79" s="2"/>
      <c r="H79" s="2">
        <v>605.41</v>
      </c>
      <c r="I79" s="2"/>
      <c r="J79" s="19">
        <f t="shared" si="17"/>
        <v>3.4447094853180369E-3</v>
      </c>
      <c r="K79" s="2"/>
      <c r="L79" s="2">
        <f t="shared" si="18"/>
        <v>-605.41</v>
      </c>
      <c r="M79" s="2"/>
      <c r="N79" s="19">
        <f t="shared" si="19"/>
        <v>-1</v>
      </c>
      <c r="O79" s="11"/>
      <c r="P79" s="2"/>
      <c r="Q79" s="2"/>
      <c r="R79" s="19">
        <f t="shared" si="20"/>
        <v>0</v>
      </c>
      <c r="S79" s="2"/>
      <c r="T79" s="2">
        <v>7117.72</v>
      </c>
      <c r="U79" s="2"/>
      <c r="V79" s="19">
        <f t="shared" si="21"/>
        <v>8.0371411376373783E-3</v>
      </c>
      <c r="W79" s="2"/>
      <c r="X79" s="2">
        <f t="shared" si="22"/>
        <v>-7117.72</v>
      </c>
      <c r="Y79" s="2"/>
      <c r="Z79" s="19">
        <f t="shared" si="23"/>
        <v>-1</v>
      </c>
    </row>
    <row r="80" spans="1:26" s="24" customFormat="1" hidden="1" outlineLevel="1" x14ac:dyDescent="0.3">
      <c r="A80" s="44"/>
      <c r="B80" s="11" t="str">
        <f>CONCATENATE("          ", "5544", " - ", "FREIGHT-IN-ACCESSORIES")</f>
        <v xml:space="preserve">          5544 - FREIGHT-IN-ACCESSORIES</v>
      </c>
      <c r="C80" s="11"/>
      <c r="D80" s="2"/>
      <c r="E80" s="2"/>
      <c r="F80" s="19">
        <f t="shared" si="16"/>
        <v>0</v>
      </c>
      <c r="G80" s="2"/>
      <c r="H80" s="2"/>
      <c r="I80" s="2"/>
      <c r="J80" s="19">
        <f t="shared" si="17"/>
        <v>0</v>
      </c>
      <c r="K80" s="2"/>
      <c r="L80" s="2">
        <f t="shared" si="18"/>
        <v>0</v>
      </c>
      <c r="M80" s="2"/>
      <c r="N80" s="19">
        <f t="shared" si="19"/>
        <v>0</v>
      </c>
      <c r="O80" s="11"/>
      <c r="P80" s="2">
        <v>0</v>
      </c>
      <c r="Q80" s="2"/>
      <c r="R80" s="19">
        <f t="shared" si="20"/>
        <v>0</v>
      </c>
      <c r="S80" s="2"/>
      <c r="T80" s="2"/>
      <c r="U80" s="2"/>
      <c r="V80" s="19">
        <f t="shared" si="21"/>
        <v>0</v>
      </c>
      <c r="W80" s="2"/>
      <c r="X80" s="2">
        <f t="shared" si="22"/>
        <v>0</v>
      </c>
      <c r="Y80" s="2"/>
      <c r="Z80" s="19">
        <f t="shared" si="23"/>
        <v>0</v>
      </c>
    </row>
    <row r="81" spans="1:26" s="24" customFormat="1" hidden="1" outlineLevel="1" x14ac:dyDescent="0.3">
      <c r="A81" s="44"/>
      <c r="B81" s="11" t="str">
        <f>CONCATENATE("          ", "5545", " - ", "FREIGHT-IN-SPECIAL ORDERS")</f>
        <v xml:space="preserve">          5545 - FREIGHT-IN-SPECIAL ORDERS</v>
      </c>
      <c r="C81" s="11"/>
      <c r="D81" s="2"/>
      <c r="E81" s="2"/>
      <c r="F81" s="19">
        <f t="shared" si="16"/>
        <v>0</v>
      </c>
      <c r="G81" s="2"/>
      <c r="H81" s="2">
        <v>225.93</v>
      </c>
      <c r="I81" s="2"/>
      <c r="J81" s="19">
        <f t="shared" si="17"/>
        <v>1.2855143027335262E-3</v>
      </c>
      <c r="K81" s="2"/>
      <c r="L81" s="2">
        <f t="shared" si="18"/>
        <v>-225.93</v>
      </c>
      <c r="M81" s="2"/>
      <c r="N81" s="19">
        <f t="shared" si="19"/>
        <v>-1</v>
      </c>
      <c r="O81" s="11"/>
      <c r="P81" s="2">
        <v>0</v>
      </c>
      <c r="Q81" s="2"/>
      <c r="R81" s="19">
        <f t="shared" si="20"/>
        <v>0</v>
      </c>
      <c r="S81" s="2"/>
      <c r="T81" s="2">
        <v>1113.79</v>
      </c>
      <c r="U81" s="2"/>
      <c r="V81" s="19">
        <f t="shared" si="21"/>
        <v>1.2576622047072849E-3</v>
      </c>
      <c r="W81" s="2"/>
      <c r="X81" s="2">
        <f t="shared" si="22"/>
        <v>-1113.79</v>
      </c>
      <c r="Y81" s="2"/>
      <c r="Z81" s="19">
        <f t="shared" si="23"/>
        <v>-1</v>
      </c>
    </row>
    <row r="82" spans="1:26" x14ac:dyDescent="0.3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3">
      <c r="A83" s="10"/>
      <c r="B83" s="26" t="s">
        <v>107</v>
      </c>
      <c r="C83" s="26"/>
      <c r="D83" s="20">
        <f>D12-D56</f>
        <v>187614.48000000007</v>
      </c>
      <c r="E83" s="13"/>
      <c r="F83" s="21">
        <f>IF(D$12=0,0,D83/D$12)</f>
        <v>0.50245167315545247</v>
      </c>
      <c r="G83" s="13"/>
      <c r="H83" s="20">
        <f>H12-H56</f>
        <v>71802.669999999969</v>
      </c>
      <c r="I83" s="13"/>
      <c r="J83" s="21">
        <f>IF(H$12=0,0,H83/H$12)</f>
        <v>0.40854848519211895</v>
      </c>
      <c r="K83" s="15"/>
      <c r="L83" s="20">
        <f>+D83-H83</f>
        <v>115811.8100000001</v>
      </c>
      <c r="M83" s="15"/>
      <c r="N83" s="21">
        <f>IF(H83=0,0,L83/H83)</f>
        <v>1.6129178761736875</v>
      </c>
      <c r="O83" s="25"/>
      <c r="P83" s="20">
        <f>P12-P56</f>
        <v>943231.72999999986</v>
      </c>
      <c r="Q83" s="13"/>
      <c r="R83" s="21">
        <f>IF(P$12=0,0,P83/P$12)</f>
        <v>0.50604762092359479</v>
      </c>
      <c r="S83" s="13"/>
      <c r="T83" s="20">
        <f>T12-T56</f>
        <v>350935.92000000016</v>
      </c>
      <c r="U83" s="13"/>
      <c r="V83" s="21">
        <f>IF(T$12=0,0,T83/T$12)</f>
        <v>0.3962675574912502</v>
      </c>
      <c r="W83" s="15"/>
      <c r="X83" s="20">
        <f>+P83-T83</f>
        <v>592295.80999999971</v>
      </c>
      <c r="Y83" s="15"/>
      <c r="Z83" s="21">
        <f>IF(T83=0,0,X83/T83)</f>
        <v>1.6877605746371003</v>
      </c>
    </row>
    <row r="84" spans="1:26" x14ac:dyDescent="0.3">
      <c r="A84" s="9"/>
      <c r="B84" s="10"/>
      <c r="C84" s="9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3">
      <c r="A85" s="10"/>
      <c r="B85" s="25" t="s">
        <v>294</v>
      </c>
      <c r="C85" s="10"/>
      <c r="D85" s="22">
        <f>SUM(OSRRefD22x_0)</f>
        <v>69462.920000000013</v>
      </c>
      <c r="E85" s="22"/>
      <c r="F85" s="34">
        <f t="shared" ref="F85:F94" si="24">IF(D$12=0,0,D85/D$12)</f>
        <v>0.18602914005498583</v>
      </c>
      <c r="G85" s="22"/>
      <c r="H85" s="22">
        <f>SUM(OSRRefH22x_0)</f>
        <v>39948.689999999995</v>
      </c>
      <c r="I85" s="22"/>
      <c r="J85" s="34">
        <f t="shared" ref="J85:J94" si="25">IF(H$12=0,0,H85/H$12)</f>
        <v>0.22730320174597346</v>
      </c>
      <c r="K85" s="4"/>
      <c r="L85" s="22">
        <f t="shared" ref="L85:L94" si="26">+D85-H85</f>
        <v>29514.230000000018</v>
      </c>
      <c r="M85" s="4"/>
      <c r="N85" s="34">
        <f t="shared" ref="N85:N94" si="27">IF(H85=0,0,L85/H85)</f>
        <v>0.73880345012564919</v>
      </c>
      <c r="O85" s="10"/>
      <c r="P85" s="22">
        <f>SUM(OSRRefP22x_0)</f>
        <v>451976.61999999994</v>
      </c>
      <c r="Q85" s="22"/>
      <c r="R85" s="34">
        <f t="shared" ref="R85:R94" si="28">IF(P$12=0,0,P85/P$12)</f>
        <v>0.24248727644487494</v>
      </c>
      <c r="S85" s="22"/>
      <c r="T85" s="22">
        <f>SUM(OSRRefT22x_0)</f>
        <v>275658.52</v>
      </c>
      <c r="U85" s="22"/>
      <c r="V85" s="34">
        <f t="shared" ref="V85:V94" si="29">IF(T$12=0,0,T85/T$12)</f>
        <v>0.31126630873822464</v>
      </c>
      <c r="W85" s="4"/>
      <c r="X85" s="22">
        <f t="shared" ref="X85:X94" si="30">+P85-T85</f>
        <v>176318.09999999992</v>
      </c>
      <c r="Y85" s="4"/>
      <c r="Z85" s="34">
        <f t="shared" ref="Z85:Z94" si="31">IF(T85=0,0,X85/T85)</f>
        <v>0.63962506945187081</v>
      </c>
    </row>
    <row r="86" spans="1:26" s="29" customFormat="1" outlineLevel="1" collapsed="1" x14ac:dyDescent="0.3">
      <c r="A86" s="27"/>
      <c r="B86" s="14" t="str">
        <f>CONCATENATE("     ","*Benefits                                         ")</f>
        <v xml:space="preserve">     *Benefits                                         </v>
      </c>
      <c r="C86" s="14"/>
      <c r="D86" s="1">
        <f>SUM(OSRRefD22_0x_0)</f>
        <v>12134.150000000001</v>
      </c>
      <c r="E86" s="1"/>
      <c r="F86" s="5">
        <f t="shared" si="24"/>
        <v>3.2496553410052531E-2</v>
      </c>
      <c r="G86" s="1"/>
      <c r="H86" s="1">
        <f>SUM(OSRRefH22_0x_0)</f>
        <v>9530.380000000001</v>
      </c>
      <c r="I86" s="1"/>
      <c r="J86" s="5">
        <f t="shared" si="25"/>
        <v>5.4226706504162989E-2</v>
      </c>
      <c r="K86" s="1"/>
      <c r="L86" s="1">
        <f t="shared" si="26"/>
        <v>2603.7700000000004</v>
      </c>
      <c r="M86" s="1"/>
      <c r="N86" s="5">
        <f t="shared" si="27"/>
        <v>0.27320736423941122</v>
      </c>
      <c r="O86" s="14"/>
      <c r="P86" s="1">
        <f>SUM(OSRRefP22_0x_0)</f>
        <v>78478.710000000006</v>
      </c>
      <c r="Q86" s="1"/>
      <c r="R86" s="5">
        <f t="shared" si="28"/>
        <v>4.2104143897547568E-2</v>
      </c>
      <c r="S86" s="1"/>
      <c r="T86" s="1">
        <f>SUM(OSRRefT22_0x_0)</f>
        <v>61853.48</v>
      </c>
      <c r="U86" s="1"/>
      <c r="V86" s="5">
        <f t="shared" si="29"/>
        <v>6.9843313394462106E-2</v>
      </c>
      <c r="W86" s="1"/>
      <c r="X86" s="1">
        <f t="shared" si="30"/>
        <v>16625.230000000003</v>
      </c>
      <c r="Y86" s="1"/>
      <c r="Z86" s="5">
        <f t="shared" si="31"/>
        <v>0.26878406841458236</v>
      </c>
    </row>
    <row r="87" spans="1:26" s="24" customFormat="1" hidden="1" outlineLevel="2" x14ac:dyDescent="0.3">
      <c r="A87" s="28"/>
      <c r="B87" s="11" t="str">
        <f>CONCATENATE("          ", "6111", " - ", "F.I.C.A.")</f>
        <v xml:space="preserve">          6111 - F.I.C.A.</v>
      </c>
      <c r="C87" s="11"/>
      <c r="D87" s="6">
        <v>1919.5</v>
      </c>
      <c r="E87" s="2"/>
      <c r="F87" s="7">
        <f t="shared" si="24"/>
        <v>5.1406266010059071E-3</v>
      </c>
      <c r="G87" s="2"/>
      <c r="H87" s="6">
        <v>1745.09</v>
      </c>
      <c r="I87" s="2"/>
      <c r="J87" s="7">
        <f t="shared" si="25"/>
        <v>9.9293504827037103E-3</v>
      </c>
      <c r="K87" s="2"/>
      <c r="L87" s="6">
        <f t="shared" si="26"/>
        <v>174.41000000000008</v>
      </c>
      <c r="M87" s="2"/>
      <c r="N87" s="7">
        <f t="shared" si="27"/>
        <v>9.9943269401578189E-2</v>
      </c>
      <c r="O87" s="11"/>
      <c r="P87" s="6">
        <v>15612.8</v>
      </c>
      <c r="Q87" s="2"/>
      <c r="R87" s="7">
        <f t="shared" si="28"/>
        <v>8.376330062556208E-3</v>
      </c>
      <c r="S87" s="2"/>
      <c r="T87" s="6">
        <v>14401.66</v>
      </c>
      <c r="U87" s="2"/>
      <c r="V87" s="7">
        <f t="shared" si="29"/>
        <v>1.6261973502226378E-2</v>
      </c>
      <c r="W87" s="2"/>
      <c r="X87" s="6">
        <f t="shared" si="30"/>
        <v>1211.1399999999994</v>
      </c>
      <c r="Y87" s="2"/>
      <c r="Z87" s="7">
        <f t="shared" si="31"/>
        <v>8.4097249900358675E-2</v>
      </c>
    </row>
    <row r="88" spans="1:26" s="24" customFormat="1" hidden="1" outlineLevel="2" x14ac:dyDescent="0.3">
      <c r="A88" s="28"/>
      <c r="B88" s="11" t="str">
        <f>CONCATENATE("          ", "6112", " - ", "COMPENSATION INSURANCE")</f>
        <v xml:space="preserve">          6112 - COMPENSATION INSURANCE</v>
      </c>
      <c r="C88" s="11"/>
      <c r="D88" s="6">
        <v>791.11</v>
      </c>
      <c r="E88" s="2"/>
      <c r="F88" s="7">
        <f t="shared" si="24"/>
        <v>2.1186773171772769E-3</v>
      </c>
      <c r="G88" s="2"/>
      <c r="H88" s="6">
        <v>881.73</v>
      </c>
      <c r="I88" s="2"/>
      <c r="J88" s="7">
        <f t="shared" si="25"/>
        <v>5.0169367775383172E-3</v>
      </c>
      <c r="K88" s="2"/>
      <c r="L88" s="6">
        <f t="shared" si="26"/>
        <v>-90.62</v>
      </c>
      <c r="M88" s="2"/>
      <c r="N88" s="7">
        <f t="shared" si="27"/>
        <v>-0.10277522597620588</v>
      </c>
      <c r="O88" s="11"/>
      <c r="P88" s="6">
        <v>5166.8900000000003</v>
      </c>
      <c r="Q88" s="2"/>
      <c r="R88" s="7">
        <f t="shared" si="28"/>
        <v>2.7720572886939594E-3</v>
      </c>
      <c r="S88" s="2"/>
      <c r="T88" s="6">
        <v>5692.11</v>
      </c>
      <c r="U88" s="2"/>
      <c r="V88" s="7">
        <f t="shared" si="29"/>
        <v>6.4273800375621824E-3</v>
      </c>
      <c r="W88" s="2"/>
      <c r="X88" s="6">
        <f t="shared" si="30"/>
        <v>-525.21999999999935</v>
      </c>
      <c r="Y88" s="2"/>
      <c r="Z88" s="7">
        <f t="shared" si="31"/>
        <v>-9.2271582945515698E-2</v>
      </c>
    </row>
    <row r="89" spans="1:26" s="24" customFormat="1" hidden="1" outlineLevel="2" x14ac:dyDescent="0.3">
      <c r="A89" s="28"/>
      <c r="B89" s="11" t="str">
        <f>CONCATENATE("          ", "6113", " - ", "GROUP INSURANCE")</f>
        <v xml:space="preserve">          6113 - GROUP INSURANCE</v>
      </c>
      <c r="C89" s="11"/>
      <c r="D89" s="6">
        <v>4284.43</v>
      </c>
      <c r="E89" s="2"/>
      <c r="F89" s="7">
        <f t="shared" si="24"/>
        <v>1.147416245279903E-2</v>
      </c>
      <c r="G89" s="2"/>
      <c r="H89" s="6">
        <v>2862.18</v>
      </c>
      <c r="I89" s="2"/>
      <c r="J89" s="7">
        <f t="shared" si="25"/>
        <v>1.6285457119452236E-2</v>
      </c>
      <c r="K89" s="2"/>
      <c r="L89" s="6">
        <f t="shared" si="26"/>
        <v>1422.2500000000005</v>
      </c>
      <c r="M89" s="2"/>
      <c r="N89" s="7">
        <f t="shared" si="27"/>
        <v>0.49691144512224966</v>
      </c>
      <c r="O89" s="11"/>
      <c r="P89" s="6">
        <v>25729.08</v>
      </c>
      <c r="Q89" s="2"/>
      <c r="R89" s="7">
        <f t="shared" si="28"/>
        <v>1.3803755014213576E-2</v>
      </c>
      <c r="S89" s="2"/>
      <c r="T89" s="6">
        <v>17829.05</v>
      </c>
      <c r="U89" s="2"/>
      <c r="V89" s="7">
        <f t="shared" si="29"/>
        <v>2.0132091624845274E-2</v>
      </c>
      <c r="W89" s="2"/>
      <c r="X89" s="6">
        <f t="shared" si="30"/>
        <v>7900.0300000000025</v>
      </c>
      <c r="Y89" s="2"/>
      <c r="Z89" s="7">
        <f t="shared" si="31"/>
        <v>0.44309876297391071</v>
      </c>
    </row>
    <row r="90" spans="1:26" s="24" customFormat="1" hidden="1" outlineLevel="2" x14ac:dyDescent="0.3">
      <c r="A90" s="28"/>
      <c r="B90" s="11" t="str">
        <f>CONCATENATE("          ", "6114", " - ", "STATE UNEMPLOYMENT INSURANCE")</f>
        <v xml:space="preserve">          6114 - STATE UNEMPLOYMENT INSURANCE</v>
      </c>
      <c r="C90" s="11"/>
      <c r="D90" s="6">
        <v>138.97999999999999</v>
      </c>
      <c r="E90" s="2"/>
      <c r="F90" s="7">
        <f t="shared" si="24"/>
        <v>3.7220332639114397E-4</v>
      </c>
      <c r="G90" s="2"/>
      <c r="H90" s="6"/>
      <c r="I90" s="2"/>
      <c r="J90" s="7">
        <f t="shared" si="25"/>
        <v>0</v>
      </c>
      <c r="K90" s="2"/>
      <c r="L90" s="6">
        <f t="shared" si="26"/>
        <v>138.97999999999999</v>
      </c>
      <c r="M90" s="2"/>
      <c r="N90" s="7">
        <f t="shared" si="27"/>
        <v>0</v>
      </c>
      <c r="O90" s="11"/>
      <c r="P90" s="6">
        <v>907.69</v>
      </c>
      <c r="Q90" s="2"/>
      <c r="R90" s="7">
        <f t="shared" si="28"/>
        <v>4.8697933967524373E-4</v>
      </c>
      <c r="S90" s="2"/>
      <c r="T90" s="6">
        <v>502.28</v>
      </c>
      <c r="U90" s="2"/>
      <c r="V90" s="7">
        <f t="shared" si="29"/>
        <v>5.671612890943311E-4</v>
      </c>
      <c r="W90" s="2"/>
      <c r="X90" s="6">
        <f t="shared" si="30"/>
        <v>405.41000000000008</v>
      </c>
      <c r="Y90" s="2"/>
      <c r="Z90" s="7">
        <f t="shared" si="31"/>
        <v>0.80713944413474581</v>
      </c>
    </row>
    <row r="91" spans="1:26" s="24" customFormat="1" hidden="1" outlineLevel="2" x14ac:dyDescent="0.3">
      <c r="A91" s="28"/>
      <c r="B91" s="11" t="str">
        <f>CONCATENATE("          ", "6115", " - ", "P.E.R.S.")</f>
        <v xml:space="preserve">          6115 - P.E.R.S.</v>
      </c>
      <c r="C91" s="11"/>
      <c r="D91" s="6">
        <v>1550.21</v>
      </c>
      <c r="E91" s="2"/>
      <c r="F91" s="7">
        <f t="shared" si="24"/>
        <v>4.1516284257074069E-3</v>
      </c>
      <c r="G91" s="2"/>
      <c r="H91" s="6">
        <v>1554.7</v>
      </c>
      <c r="I91" s="2"/>
      <c r="J91" s="7">
        <f t="shared" si="25"/>
        <v>8.8460544702333166E-3</v>
      </c>
      <c r="K91" s="2"/>
      <c r="L91" s="6">
        <f t="shared" si="26"/>
        <v>-4.4900000000000091</v>
      </c>
      <c r="M91" s="2"/>
      <c r="N91" s="7">
        <f t="shared" si="27"/>
        <v>-2.8880169807679996E-3</v>
      </c>
      <c r="O91" s="11"/>
      <c r="P91" s="6">
        <v>9808.08</v>
      </c>
      <c r="Q91" s="2"/>
      <c r="R91" s="7">
        <f t="shared" si="28"/>
        <v>5.2620744107371069E-3</v>
      </c>
      <c r="S91" s="2"/>
      <c r="T91" s="6">
        <v>9314.98</v>
      </c>
      <c r="U91" s="2"/>
      <c r="V91" s="7">
        <f t="shared" si="29"/>
        <v>1.0518229005112512E-2</v>
      </c>
      <c r="W91" s="2"/>
      <c r="X91" s="6">
        <f t="shared" si="30"/>
        <v>493.10000000000036</v>
      </c>
      <c r="Y91" s="2"/>
      <c r="Z91" s="7">
        <f t="shared" si="31"/>
        <v>5.2936238188380481E-2</v>
      </c>
    </row>
    <row r="92" spans="1:26" s="24" customFormat="1" hidden="1" outlineLevel="2" x14ac:dyDescent="0.3">
      <c r="A92" s="28"/>
      <c r="B92" s="11" t="str">
        <f>CONCATENATE("          ", "6118", " - ", "VACATION")</f>
        <v xml:space="preserve">          6118 - VACATION</v>
      </c>
      <c r="C92" s="11"/>
      <c r="D92" s="6">
        <v>1690.93</v>
      </c>
      <c r="E92" s="2"/>
      <c r="F92" s="7">
        <f t="shared" si="24"/>
        <v>4.5284916584729974E-3</v>
      </c>
      <c r="G92" s="2"/>
      <c r="H92" s="6">
        <v>1290.6199999999999</v>
      </c>
      <c r="I92" s="2"/>
      <c r="J92" s="7">
        <f t="shared" si="25"/>
        <v>7.3434712937367475E-3</v>
      </c>
      <c r="K92" s="2"/>
      <c r="L92" s="6">
        <f t="shared" si="26"/>
        <v>400.31000000000017</v>
      </c>
      <c r="M92" s="2"/>
      <c r="N92" s="7">
        <f t="shared" si="27"/>
        <v>0.31016875610171873</v>
      </c>
      <c r="O92" s="11"/>
      <c r="P92" s="6">
        <v>10567.17</v>
      </c>
      <c r="Q92" s="2"/>
      <c r="R92" s="7">
        <f t="shared" si="28"/>
        <v>5.6693292520971312E-3</v>
      </c>
      <c r="S92" s="2"/>
      <c r="T92" s="6">
        <v>7121.11</v>
      </c>
      <c r="U92" s="2"/>
      <c r="V92" s="7">
        <f t="shared" si="29"/>
        <v>8.0409690359610816E-3</v>
      </c>
      <c r="W92" s="2"/>
      <c r="X92" s="6">
        <f t="shared" si="30"/>
        <v>3446.0600000000004</v>
      </c>
      <c r="Y92" s="2"/>
      <c r="Z92" s="7">
        <f t="shared" si="31"/>
        <v>0.48392174815443106</v>
      </c>
    </row>
    <row r="93" spans="1:26" s="24" customFormat="1" hidden="1" outlineLevel="2" x14ac:dyDescent="0.3">
      <c r="A93" s="28"/>
      <c r="B93" s="11" t="str">
        <f>CONCATENATE("          ", "6119", " - ", "SICK LEAVE")</f>
        <v xml:space="preserve">          6119 - SICK LEAVE</v>
      </c>
      <c r="C93" s="11"/>
      <c r="D93" s="6">
        <v>1109.04</v>
      </c>
      <c r="E93" s="2"/>
      <c r="F93" s="7">
        <f t="shared" si="24"/>
        <v>2.9701279112162495E-3</v>
      </c>
      <c r="G93" s="2"/>
      <c r="H93" s="6">
        <v>889.54</v>
      </c>
      <c r="I93" s="2"/>
      <c r="J93" s="7">
        <f t="shared" si="25"/>
        <v>5.0613747304633335E-3</v>
      </c>
      <c r="K93" s="2"/>
      <c r="L93" s="6">
        <f t="shared" si="26"/>
        <v>219.5</v>
      </c>
      <c r="M93" s="2"/>
      <c r="N93" s="7">
        <f t="shared" si="27"/>
        <v>0.24675675068012681</v>
      </c>
      <c r="O93" s="11"/>
      <c r="P93" s="6">
        <v>7016.88</v>
      </c>
      <c r="Q93" s="2"/>
      <c r="R93" s="7">
        <f t="shared" si="28"/>
        <v>3.7645843723963296E-3</v>
      </c>
      <c r="S93" s="2"/>
      <c r="T93" s="6">
        <v>5124.2700000000004</v>
      </c>
      <c r="U93" s="2"/>
      <c r="V93" s="7">
        <f t="shared" si="29"/>
        <v>5.7861901307386483E-3</v>
      </c>
      <c r="W93" s="2"/>
      <c r="X93" s="6">
        <f t="shared" si="30"/>
        <v>1892.6099999999997</v>
      </c>
      <c r="Y93" s="2"/>
      <c r="Z93" s="7">
        <f t="shared" si="31"/>
        <v>0.36934236486367805</v>
      </c>
    </row>
    <row r="94" spans="1:26" s="24" customFormat="1" hidden="1" outlineLevel="2" x14ac:dyDescent="0.3">
      <c r="A94" s="28"/>
      <c r="B94" s="11" t="str">
        <f>CONCATENATE("          ", "6156", " - ", "EMPLOYEE MEALS")</f>
        <v xml:space="preserve">          6156 - EMPLOYEE MEALS</v>
      </c>
      <c r="C94" s="11"/>
      <c r="D94" s="6">
        <v>649.95000000000005</v>
      </c>
      <c r="E94" s="2"/>
      <c r="F94" s="7">
        <f t="shared" si="24"/>
        <v>1.7406357172825161E-3</v>
      </c>
      <c r="G94" s="2"/>
      <c r="H94" s="6">
        <v>306.52</v>
      </c>
      <c r="I94" s="2"/>
      <c r="J94" s="7">
        <f t="shared" si="25"/>
        <v>1.7440616300353226E-3</v>
      </c>
      <c r="K94" s="2"/>
      <c r="L94" s="6">
        <f t="shared" si="26"/>
        <v>343.43000000000006</v>
      </c>
      <c r="M94" s="2"/>
      <c r="N94" s="7">
        <f t="shared" si="27"/>
        <v>1.1204162860498501</v>
      </c>
      <c r="O94" s="11"/>
      <c r="P94" s="6">
        <v>3670.12</v>
      </c>
      <c r="Q94" s="2"/>
      <c r="R94" s="7">
        <f t="shared" si="28"/>
        <v>1.9690341571780073E-3</v>
      </c>
      <c r="S94" s="2"/>
      <c r="T94" s="6">
        <v>1868.02</v>
      </c>
      <c r="U94" s="2"/>
      <c r="V94" s="7">
        <f t="shared" si="29"/>
        <v>2.1093187689217017E-3</v>
      </c>
      <c r="W94" s="2"/>
      <c r="X94" s="6">
        <f t="shared" si="30"/>
        <v>1802.1</v>
      </c>
      <c r="Y94" s="2"/>
      <c r="Z94" s="7">
        <f t="shared" si="31"/>
        <v>0.96471129859423344</v>
      </c>
    </row>
    <row r="95" spans="1:26" s="29" customFormat="1" outlineLevel="1" collapsed="1" x14ac:dyDescent="0.3">
      <c r="A95" s="27"/>
      <c r="B95" s="14" t="str">
        <f>CONCATENATE("     ","*Payroll                                          ")</f>
        <v xml:space="preserve">     *Payroll                                          </v>
      </c>
      <c r="C95" s="14"/>
      <c r="D95" s="1">
        <f>SUM(OSRRefD22_1x_0)</f>
        <v>51382.759999999995</v>
      </c>
      <c r="E95" s="1"/>
      <c r="F95" s="5">
        <f t="shared" ref="F95:F100" si="32">IF(D$12=0,0,D95/D$12)</f>
        <v>0.13760853497739112</v>
      </c>
      <c r="G95" s="1"/>
      <c r="H95" s="1">
        <f>SUM(OSRRefH22_1x_0)</f>
        <v>28873.84</v>
      </c>
      <c r="I95" s="1"/>
      <c r="J95" s="5">
        <f t="shared" ref="J95:J100" si="33">IF(H$12=0,0,H95/H$12)</f>
        <v>0.16428864823104236</v>
      </c>
      <c r="K95" s="1"/>
      <c r="L95" s="1">
        <f t="shared" ref="L95:L100" si="34">+D95-H95</f>
        <v>22508.919999999995</v>
      </c>
      <c r="M95" s="1"/>
      <c r="N95" s="5">
        <f t="shared" ref="N95:N100" si="35">IF(H95=0,0,L95/H95)</f>
        <v>0.77956101439919301</v>
      </c>
      <c r="O95" s="14"/>
      <c r="P95" s="1">
        <f>SUM(OSRRefP22_1x_0)</f>
        <v>322849.89</v>
      </c>
      <c r="Q95" s="1"/>
      <c r="R95" s="5">
        <f t="shared" ref="R95:R100" si="36">IF(P$12=0,0,P95/P$12)</f>
        <v>0.17321026589080532</v>
      </c>
      <c r="S95" s="1"/>
      <c r="T95" s="1">
        <f>SUM(OSRRefT22_1x_0)</f>
        <v>173372.85</v>
      </c>
      <c r="U95" s="1"/>
      <c r="V95" s="5">
        <f t="shared" ref="V95:V100" si="37">IF(T$12=0,0,T95/T$12)</f>
        <v>0.19576803595595704</v>
      </c>
      <c r="W95" s="1"/>
      <c r="X95" s="1">
        <f t="shared" ref="X95:X100" si="38">+P95-T95</f>
        <v>149477.04</v>
      </c>
      <c r="Y95" s="1"/>
      <c r="Z95" s="5">
        <f t="shared" ref="Z95:Z100" si="39">IF(T95=0,0,X95/T95)</f>
        <v>0.86217098005829629</v>
      </c>
    </row>
    <row r="96" spans="1:26" s="24" customFormat="1" hidden="1" outlineLevel="2" x14ac:dyDescent="0.3">
      <c r="A96" s="28"/>
      <c r="B96" s="11" t="str">
        <f>CONCATENATE("          ", "6002", " - ", "STAFF SALARIES")</f>
        <v xml:space="preserve">          6002 - STAFF SALARIES</v>
      </c>
      <c r="C96" s="11"/>
      <c r="D96" s="6">
        <v>15353.2</v>
      </c>
      <c r="E96" s="2"/>
      <c r="F96" s="7">
        <f t="shared" si="32"/>
        <v>4.1117514108134356E-2</v>
      </c>
      <c r="G96" s="2"/>
      <c r="H96" s="6">
        <v>14255.41</v>
      </c>
      <c r="I96" s="2"/>
      <c r="J96" s="7">
        <f t="shared" si="33"/>
        <v>8.111155422622289E-2</v>
      </c>
      <c r="K96" s="2"/>
      <c r="L96" s="6">
        <f t="shared" si="34"/>
        <v>1097.7900000000009</v>
      </c>
      <c r="M96" s="2"/>
      <c r="N96" s="7">
        <f t="shared" si="35"/>
        <v>7.7008658467206545E-2</v>
      </c>
      <c r="O96" s="11"/>
      <c r="P96" s="6">
        <v>92499.08</v>
      </c>
      <c r="Q96" s="2"/>
      <c r="R96" s="7">
        <f t="shared" si="36"/>
        <v>4.9626128853427431E-2</v>
      </c>
      <c r="S96" s="2"/>
      <c r="T96" s="6">
        <v>75585.47</v>
      </c>
      <c r="U96" s="2"/>
      <c r="V96" s="7">
        <f t="shared" si="37"/>
        <v>8.5349113247592756E-2</v>
      </c>
      <c r="W96" s="2"/>
      <c r="X96" s="6">
        <f t="shared" si="38"/>
        <v>16913.61</v>
      </c>
      <c r="Y96" s="2"/>
      <c r="Z96" s="7">
        <f t="shared" si="39"/>
        <v>0.22376800726382995</v>
      </c>
    </row>
    <row r="97" spans="1:26" s="24" customFormat="1" hidden="1" outlineLevel="2" x14ac:dyDescent="0.3">
      <c r="A97" s="28"/>
      <c r="B97" s="11" t="str">
        <f>CONCATENATE("          ", "6004", " - ", "STAFF HOURLY")</f>
        <v xml:space="preserve">          6004 - STAFF HOURLY</v>
      </c>
      <c r="C97" s="11"/>
      <c r="D97" s="6">
        <v>6934.8</v>
      </c>
      <c r="E97" s="2"/>
      <c r="F97" s="7">
        <f t="shared" si="32"/>
        <v>1.857213719857034E-2</v>
      </c>
      <c r="G97" s="2"/>
      <c r="H97" s="6">
        <v>3113.48</v>
      </c>
      <c r="I97" s="2"/>
      <c r="J97" s="7">
        <f t="shared" si="33"/>
        <v>1.7715323645707871E-2</v>
      </c>
      <c r="K97" s="2"/>
      <c r="L97" s="6">
        <f t="shared" si="34"/>
        <v>3821.32</v>
      </c>
      <c r="M97" s="2"/>
      <c r="N97" s="7">
        <f t="shared" si="35"/>
        <v>1.2273468915811248</v>
      </c>
      <c r="O97" s="11"/>
      <c r="P97" s="6">
        <v>49232.18</v>
      </c>
      <c r="Q97" s="2"/>
      <c r="R97" s="7">
        <f t="shared" si="36"/>
        <v>2.6413262795858431E-2</v>
      </c>
      <c r="S97" s="2"/>
      <c r="T97" s="6">
        <v>38800.54</v>
      </c>
      <c r="U97" s="2"/>
      <c r="V97" s="7">
        <f t="shared" si="37"/>
        <v>4.3812543370144459E-2</v>
      </c>
      <c r="W97" s="2"/>
      <c r="X97" s="6">
        <f t="shared" si="38"/>
        <v>10431.64</v>
      </c>
      <c r="Y97" s="2"/>
      <c r="Z97" s="7">
        <f t="shared" si="39"/>
        <v>0.26885295926293806</v>
      </c>
    </row>
    <row r="98" spans="1:26" s="24" customFormat="1" hidden="1" outlineLevel="2" x14ac:dyDescent="0.3">
      <c r="A98" s="28"/>
      <c r="B98" s="11" t="str">
        <f>CONCATENATE("          ", "6005", " - ", "TEMPORARY WAGES-HOURLY")</f>
        <v xml:space="preserve">          6005 - TEMPORARY WAGES-HOURLY</v>
      </c>
      <c r="C98" s="11"/>
      <c r="D98" s="6">
        <v>2228.7399999999998</v>
      </c>
      <c r="E98" s="2"/>
      <c r="F98" s="7">
        <f t="shared" si="32"/>
        <v>5.9688044442437636E-3</v>
      </c>
      <c r="G98" s="2"/>
      <c r="H98" s="6">
        <v>4075.45</v>
      </c>
      <c r="I98" s="2"/>
      <c r="J98" s="7">
        <f t="shared" si="33"/>
        <v>2.3188816292990525E-2</v>
      </c>
      <c r="K98" s="2"/>
      <c r="L98" s="6">
        <f t="shared" si="34"/>
        <v>-1846.71</v>
      </c>
      <c r="M98" s="2"/>
      <c r="N98" s="7">
        <f t="shared" si="35"/>
        <v>-0.45313032916610441</v>
      </c>
      <c r="O98" s="11"/>
      <c r="P98" s="6">
        <v>16643</v>
      </c>
      <c r="Q98" s="2"/>
      <c r="R98" s="7">
        <f t="shared" si="36"/>
        <v>8.9290365104992692E-3</v>
      </c>
      <c r="S98" s="2"/>
      <c r="T98" s="6">
        <v>23614.69</v>
      </c>
      <c r="U98" s="2"/>
      <c r="V98" s="7">
        <f t="shared" si="37"/>
        <v>2.666508326424108E-2</v>
      </c>
      <c r="W98" s="2"/>
      <c r="X98" s="6">
        <f t="shared" si="38"/>
        <v>-6971.6899999999987</v>
      </c>
      <c r="Y98" s="2"/>
      <c r="Z98" s="7">
        <f t="shared" si="39"/>
        <v>-0.29522682703012398</v>
      </c>
    </row>
    <row r="99" spans="1:26" s="24" customFormat="1" hidden="1" outlineLevel="2" x14ac:dyDescent="0.3">
      <c r="A99" s="28"/>
      <c r="B99" s="11" t="str">
        <f>CONCATENATE("          ", "6007", " - ", "STUDENT HOURLY")</f>
        <v xml:space="preserve">          6007 - STUDENT HOURLY</v>
      </c>
      <c r="C99" s="11"/>
      <c r="D99" s="6">
        <v>22155.439999999999</v>
      </c>
      <c r="E99" s="2"/>
      <c r="F99" s="7">
        <f t="shared" si="32"/>
        <v>5.9334641427970986E-2</v>
      </c>
      <c r="G99" s="2"/>
      <c r="H99" s="6">
        <v>6799</v>
      </c>
      <c r="I99" s="2"/>
      <c r="J99" s="7">
        <f t="shared" si="33"/>
        <v>3.8685485523326894E-2</v>
      </c>
      <c r="K99" s="2"/>
      <c r="L99" s="6">
        <f t="shared" si="34"/>
        <v>15356.439999999999</v>
      </c>
      <c r="M99" s="2"/>
      <c r="N99" s="7">
        <f t="shared" si="35"/>
        <v>2.2586321517870274</v>
      </c>
      <c r="O99" s="11"/>
      <c r="P99" s="6">
        <v>125401.52</v>
      </c>
      <c r="Q99" s="2"/>
      <c r="R99" s="7">
        <f t="shared" si="36"/>
        <v>6.7278420390080168E-2</v>
      </c>
      <c r="S99" s="2"/>
      <c r="T99" s="6">
        <v>32159.13</v>
      </c>
      <c r="U99" s="2"/>
      <c r="V99" s="7">
        <f t="shared" si="37"/>
        <v>3.6313238884590621E-2</v>
      </c>
      <c r="W99" s="2"/>
      <c r="X99" s="6">
        <f t="shared" si="38"/>
        <v>93242.39</v>
      </c>
      <c r="Y99" s="2"/>
      <c r="Z99" s="7">
        <f t="shared" si="39"/>
        <v>2.8994064827002473</v>
      </c>
    </row>
    <row r="100" spans="1:26" s="24" customFormat="1" hidden="1" outlineLevel="2" x14ac:dyDescent="0.3">
      <c r="A100" s="28"/>
      <c r="B100" s="11" t="str">
        <f>CONCATENATE("          ", "6008", " - ", "STUDENT HOURLY-FICA EXEMPT")</f>
        <v xml:space="preserve">          6008 - STUDENT HOURLY-FICA EXEMPT</v>
      </c>
      <c r="C100" s="11"/>
      <c r="D100" s="6">
        <v>4710.58</v>
      </c>
      <c r="E100" s="2"/>
      <c r="F100" s="7">
        <f t="shared" si="32"/>
        <v>1.2615437798471688E-2</v>
      </c>
      <c r="G100" s="2"/>
      <c r="H100" s="6">
        <v>630.5</v>
      </c>
      <c r="I100" s="2"/>
      <c r="J100" s="7">
        <f t="shared" si="33"/>
        <v>3.5874685427941763E-3</v>
      </c>
      <c r="K100" s="2"/>
      <c r="L100" s="6">
        <f t="shared" si="34"/>
        <v>4080.08</v>
      </c>
      <c r="M100" s="2"/>
      <c r="N100" s="7">
        <f t="shared" si="35"/>
        <v>6.4711816019032513</v>
      </c>
      <c r="O100" s="11"/>
      <c r="P100" s="6">
        <v>39074.11</v>
      </c>
      <c r="Q100" s="2"/>
      <c r="R100" s="7">
        <f t="shared" si="36"/>
        <v>2.096341734094001E-2</v>
      </c>
      <c r="S100" s="2"/>
      <c r="T100" s="6">
        <v>3213.02</v>
      </c>
      <c r="U100" s="2"/>
      <c r="V100" s="7">
        <f t="shared" si="37"/>
        <v>3.6280571893881255E-3</v>
      </c>
      <c r="W100" s="2"/>
      <c r="X100" s="6">
        <f t="shared" si="38"/>
        <v>35861.090000000004</v>
      </c>
      <c r="Y100" s="2"/>
      <c r="Z100" s="7">
        <f t="shared" si="39"/>
        <v>11.161178579654035</v>
      </c>
    </row>
    <row r="101" spans="1:26" s="29" customFormat="1" outlineLevel="1" collapsed="1" x14ac:dyDescent="0.3">
      <c r="A101" s="27"/>
      <c r="B101" s="14" t="str">
        <f>CONCATENATE("     ","Advertising/Promo                                 ")</f>
        <v xml:space="preserve">     Advertising/Promo                                 </v>
      </c>
      <c r="C101" s="14"/>
      <c r="D101" s="1">
        <f>SUM(OSRRefD22_2x_0)</f>
        <v>158.76</v>
      </c>
      <c r="E101" s="1"/>
      <c r="F101" s="5">
        <f t="shared" ref="F101:F105" si="40">IF(D$12=0,0,D101/D$12)</f>
        <v>4.2517628506157735E-4</v>
      </c>
      <c r="G101" s="1"/>
      <c r="H101" s="1">
        <f>SUM(OSRRefH22_2x_0)</f>
        <v>220.5</v>
      </c>
      <c r="I101" s="1"/>
      <c r="J101" s="5">
        <f t="shared" ref="J101:J105" si="41">IF(H$12=0,0,H101/H$12)</f>
        <v>1.2546182611992323E-3</v>
      </c>
      <c r="K101" s="1"/>
      <c r="L101" s="1">
        <f t="shared" ref="L101:L105" si="42">+D101-H101</f>
        <v>-61.740000000000009</v>
      </c>
      <c r="M101" s="1"/>
      <c r="N101" s="5">
        <f t="shared" ref="N101:N105" si="43">IF(H101=0,0,L101/H101)</f>
        <v>-0.28000000000000003</v>
      </c>
      <c r="O101" s="14"/>
      <c r="P101" s="1">
        <f>SUM(OSRRefP22_2x_0)</f>
        <v>2187.21</v>
      </c>
      <c r="Q101" s="1"/>
      <c r="R101" s="5">
        <f t="shared" ref="R101:R105" si="44">IF(P$12=0,0,P101/P$12)</f>
        <v>1.1734469714672299E-3</v>
      </c>
      <c r="S101" s="1"/>
      <c r="T101" s="1">
        <f>SUM(OSRRefT22_2x_0)</f>
        <v>12023.15</v>
      </c>
      <c r="U101" s="1"/>
      <c r="V101" s="5">
        <f t="shared" ref="V101:V105" si="45">IF(T$12=0,0,T101/T$12)</f>
        <v>1.357622292939099E-2</v>
      </c>
      <c r="W101" s="1"/>
      <c r="X101" s="1">
        <f t="shared" ref="X101:X105" si="46">+P101-T101</f>
        <v>-9835.9399999999987</v>
      </c>
      <c r="Y101" s="1"/>
      <c r="Z101" s="5">
        <f t="shared" ref="Z101:Z105" si="47">IF(T101=0,0,X101/T101)</f>
        <v>-0.81808344734948824</v>
      </c>
    </row>
    <row r="102" spans="1:26" s="24" customFormat="1" hidden="1" outlineLevel="2" x14ac:dyDescent="0.3">
      <c r="A102" s="28"/>
      <c r="B102" s="11" t="str">
        <f>CONCATENATE("          ", "6362", " - ", "ADVERTISING EXPENSE")</f>
        <v xml:space="preserve">          6362 - ADVERTISING EXPENSE</v>
      </c>
      <c r="C102" s="11"/>
      <c r="D102" s="6">
        <v>158.76</v>
      </c>
      <c r="E102" s="2"/>
      <c r="F102" s="7">
        <f t="shared" si="40"/>
        <v>4.2517628506157735E-4</v>
      </c>
      <c r="G102" s="2"/>
      <c r="H102" s="6">
        <v>220.5</v>
      </c>
      <c r="I102" s="2"/>
      <c r="J102" s="7">
        <f t="shared" si="41"/>
        <v>1.2546182611992323E-3</v>
      </c>
      <c r="K102" s="2"/>
      <c r="L102" s="6">
        <f t="shared" si="42"/>
        <v>-61.740000000000009</v>
      </c>
      <c r="M102" s="2"/>
      <c r="N102" s="7">
        <f t="shared" si="43"/>
        <v>-0.28000000000000003</v>
      </c>
      <c r="O102" s="11"/>
      <c r="P102" s="6">
        <v>2187.21</v>
      </c>
      <c r="Q102" s="2"/>
      <c r="R102" s="7">
        <f t="shared" si="44"/>
        <v>1.1734469714672299E-3</v>
      </c>
      <c r="S102" s="2"/>
      <c r="T102" s="6">
        <v>12023.15</v>
      </c>
      <c r="U102" s="2"/>
      <c r="V102" s="7">
        <f t="shared" si="45"/>
        <v>1.357622292939099E-2</v>
      </c>
      <c r="W102" s="2"/>
      <c r="X102" s="6">
        <f t="shared" si="46"/>
        <v>-9835.9399999999987</v>
      </c>
      <c r="Y102" s="2"/>
      <c r="Z102" s="7">
        <f t="shared" si="47"/>
        <v>-0.81808344734948824</v>
      </c>
    </row>
    <row r="103" spans="1:26" s="29" customFormat="1" outlineLevel="1" collapsed="1" x14ac:dyDescent="0.3">
      <c r="A103" s="27"/>
      <c r="B103" s="14" t="str">
        <f>CONCATENATE("     ","Discounts and Markdowns                           ")</f>
        <v xml:space="preserve">     Discounts and Markdowns                           </v>
      </c>
      <c r="C103" s="14"/>
      <c r="D103" s="1">
        <f>SUM(OSRRefD22_3x_0)</f>
        <v>0</v>
      </c>
      <c r="E103" s="1"/>
      <c r="F103" s="5">
        <f t="shared" si="40"/>
        <v>0</v>
      </c>
      <c r="G103" s="1"/>
      <c r="H103" s="1">
        <f>SUM(OSRRefH22_3x_0)</f>
        <v>0</v>
      </c>
      <c r="I103" s="1"/>
      <c r="J103" s="5">
        <f t="shared" si="41"/>
        <v>0</v>
      </c>
      <c r="K103" s="1"/>
      <c r="L103" s="1">
        <f t="shared" si="42"/>
        <v>0</v>
      </c>
      <c r="M103" s="1"/>
      <c r="N103" s="5">
        <f t="shared" si="43"/>
        <v>0</v>
      </c>
      <c r="O103" s="14"/>
      <c r="P103" s="1">
        <f>SUM(OSRRefP22_3x_0)</f>
        <v>0</v>
      </c>
      <c r="Q103" s="1"/>
      <c r="R103" s="5">
        <f t="shared" si="44"/>
        <v>0</v>
      </c>
      <c r="S103" s="1"/>
      <c r="T103" s="1">
        <f>SUM(OSRRefT22_3x_0)</f>
        <v>0</v>
      </c>
      <c r="U103" s="1"/>
      <c r="V103" s="5">
        <f t="shared" si="45"/>
        <v>0</v>
      </c>
      <c r="W103" s="1"/>
      <c r="X103" s="1">
        <f t="shared" si="46"/>
        <v>0</v>
      </c>
      <c r="Y103" s="1"/>
      <c r="Z103" s="5">
        <f t="shared" si="47"/>
        <v>0</v>
      </c>
    </row>
    <row r="104" spans="1:26" s="24" customFormat="1" hidden="1" outlineLevel="2" x14ac:dyDescent="0.3">
      <c r="A104" s="28"/>
      <c r="B104" s="11" t="str">
        <f>CONCATENATE("          ", "6382", " - ", "DISCOUNTS/MARK DOWNS")</f>
        <v xml:space="preserve">          6382 - DISCOUNTS/MARK DOWNS</v>
      </c>
      <c r="C104" s="11"/>
      <c r="D104" s="6"/>
      <c r="E104" s="2"/>
      <c r="F104" s="7">
        <f t="shared" si="40"/>
        <v>0</v>
      </c>
      <c r="G104" s="2"/>
      <c r="H104" s="6">
        <v>0</v>
      </c>
      <c r="I104" s="2"/>
      <c r="J104" s="7">
        <f t="shared" si="41"/>
        <v>0</v>
      </c>
      <c r="K104" s="2"/>
      <c r="L104" s="6">
        <f t="shared" si="42"/>
        <v>0</v>
      </c>
      <c r="M104" s="2"/>
      <c r="N104" s="7">
        <f t="shared" si="43"/>
        <v>0</v>
      </c>
      <c r="O104" s="11"/>
      <c r="P104" s="6"/>
      <c r="Q104" s="2"/>
      <c r="R104" s="7">
        <f t="shared" si="44"/>
        <v>0</v>
      </c>
      <c r="S104" s="2"/>
      <c r="T104" s="6">
        <v>0</v>
      </c>
      <c r="U104" s="2"/>
      <c r="V104" s="7">
        <f t="shared" si="45"/>
        <v>0</v>
      </c>
      <c r="W104" s="2"/>
      <c r="X104" s="6">
        <f t="shared" si="46"/>
        <v>0</v>
      </c>
      <c r="Y104" s="2"/>
      <c r="Z104" s="7">
        <f t="shared" si="47"/>
        <v>0</v>
      </c>
    </row>
    <row r="105" spans="1:26" s="24" customFormat="1" hidden="1" outlineLevel="2" x14ac:dyDescent="0.3">
      <c r="A105" s="28"/>
      <c r="B105" s="11" t="str">
        <f>CONCATENATE("          ", "9175", " - ", "EARNED DISCOUNTS")</f>
        <v xml:space="preserve">          9175 - EARNED DISCOUNTS</v>
      </c>
      <c r="C105" s="11"/>
      <c r="D105" s="6"/>
      <c r="E105" s="2"/>
      <c r="F105" s="7">
        <f t="shared" si="40"/>
        <v>0</v>
      </c>
      <c r="G105" s="2"/>
      <c r="H105" s="6"/>
      <c r="I105" s="2"/>
      <c r="J105" s="7">
        <f t="shared" si="41"/>
        <v>0</v>
      </c>
      <c r="K105" s="2"/>
      <c r="L105" s="6">
        <f t="shared" si="42"/>
        <v>0</v>
      </c>
      <c r="M105" s="2"/>
      <c r="N105" s="7">
        <f t="shared" si="43"/>
        <v>0</v>
      </c>
      <c r="O105" s="11"/>
      <c r="P105" s="6">
        <v>0</v>
      </c>
      <c r="Q105" s="2"/>
      <c r="R105" s="7">
        <f t="shared" si="44"/>
        <v>0</v>
      </c>
      <c r="S105" s="2"/>
      <c r="T105" s="6"/>
      <c r="U105" s="2"/>
      <c r="V105" s="7">
        <f t="shared" si="45"/>
        <v>0</v>
      </c>
      <c r="W105" s="2"/>
      <c r="X105" s="6">
        <f t="shared" si="46"/>
        <v>0</v>
      </c>
      <c r="Y105" s="2"/>
      <c r="Z105" s="7">
        <f t="shared" si="47"/>
        <v>0</v>
      </c>
    </row>
    <row r="106" spans="1:26" s="29" customFormat="1" outlineLevel="1" collapsed="1" x14ac:dyDescent="0.3">
      <c r="A106" s="27"/>
      <c r="B106" s="14" t="str">
        <f>CONCATENATE("     ","Employees' Appreciation                           ")</f>
        <v xml:space="preserve">     Employees' Appreciation                           </v>
      </c>
      <c r="C106" s="14"/>
      <c r="D106" s="1">
        <f>SUM(OSRRefD22_4x_0)</f>
        <v>0</v>
      </c>
      <c r="E106" s="1"/>
      <c r="F106" s="5">
        <f t="shared" ref="F106:F112" si="48">IF(D$12=0,0,D106/D$12)</f>
        <v>0</v>
      </c>
      <c r="G106" s="1"/>
      <c r="H106" s="1">
        <f>SUM(OSRRefH22_4x_0)</f>
        <v>0</v>
      </c>
      <c r="I106" s="1"/>
      <c r="J106" s="5">
        <f t="shared" ref="J106:J112" si="49">IF(H$12=0,0,H106/H$12)</f>
        <v>0</v>
      </c>
      <c r="K106" s="1"/>
      <c r="L106" s="1">
        <f t="shared" ref="L106:L112" si="50">+D106-H106</f>
        <v>0</v>
      </c>
      <c r="M106" s="1"/>
      <c r="N106" s="5">
        <f t="shared" ref="N106:N112" si="51">IF(H106=0,0,L106/H106)</f>
        <v>0</v>
      </c>
      <c r="O106" s="14"/>
      <c r="P106" s="1">
        <f>SUM(OSRRefP22_4x_0)</f>
        <v>216.44</v>
      </c>
      <c r="Q106" s="1"/>
      <c r="R106" s="5">
        <f t="shared" ref="R106:R112" si="52">IF(P$12=0,0,P106/P$12)</f>
        <v>1.1612093146262463E-4</v>
      </c>
      <c r="S106" s="1"/>
      <c r="T106" s="1">
        <f>SUM(OSRRefT22_4x_0)</f>
        <v>0</v>
      </c>
      <c r="U106" s="1"/>
      <c r="V106" s="5">
        <f t="shared" ref="V106:V112" si="53">IF(T$12=0,0,T106/T$12)</f>
        <v>0</v>
      </c>
      <c r="W106" s="1"/>
      <c r="X106" s="1">
        <f t="shared" ref="X106:X112" si="54">+P106-T106</f>
        <v>216.44</v>
      </c>
      <c r="Y106" s="1"/>
      <c r="Z106" s="5">
        <f t="shared" ref="Z106:Z112" si="55">IF(T106=0,0,X106/T106)</f>
        <v>0</v>
      </c>
    </row>
    <row r="107" spans="1:26" s="24" customFormat="1" hidden="1" outlineLevel="2" x14ac:dyDescent="0.3">
      <c r="A107" s="28"/>
      <c r="B107" s="11" t="str">
        <f>CONCATENATE("          ", "6277", " - ", "EMPLOYEE APPRECIATION")</f>
        <v xml:space="preserve">          6277 - EMPLOYEE APPRECIATION</v>
      </c>
      <c r="C107" s="11"/>
      <c r="D107" s="6"/>
      <c r="E107" s="2"/>
      <c r="F107" s="7">
        <f t="shared" si="48"/>
        <v>0</v>
      </c>
      <c r="G107" s="2"/>
      <c r="H107" s="6"/>
      <c r="I107" s="2"/>
      <c r="J107" s="7">
        <f t="shared" si="49"/>
        <v>0</v>
      </c>
      <c r="K107" s="2"/>
      <c r="L107" s="6">
        <f t="shared" si="50"/>
        <v>0</v>
      </c>
      <c r="M107" s="2"/>
      <c r="N107" s="7">
        <f t="shared" si="51"/>
        <v>0</v>
      </c>
      <c r="O107" s="11"/>
      <c r="P107" s="6">
        <v>216.44</v>
      </c>
      <c r="Q107" s="2"/>
      <c r="R107" s="7">
        <f t="shared" si="52"/>
        <v>1.1612093146262463E-4</v>
      </c>
      <c r="S107" s="2"/>
      <c r="T107" s="6"/>
      <c r="U107" s="2"/>
      <c r="V107" s="7">
        <f t="shared" si="53"/>
        <v>0</v>
      </c>
      <c r="W107" s="2"/>
      <c r="X107" s="6">
        <f t="shared" si="54"/>
        <v>216.44</v>
      </c>
      <c r="Y107" s="2"/>
      <c r="Z107" s="7">
        <f t="shared" si="55"/>
        <v>0</v>
      </c>
    </row>
    <row r="108" spans="1:26" s="29" customFormat="1" outlineLevel="1" collapsed="1" x14ac:dyDescent="0.3">
      <c r="A108" s="27"/>
      <c r="B108" s="14" t="str">
        <f>CONCATENATE("     ","Equipment Rental                                  ")</f>
        <v xml:space="preserve">     Equipment Rental                                  </v>
      </c>
      <c r="C108" s="14"/>
      <c r="D108" s="1">
        <f>SUM(OSRRefD22_5x_0)</f>
        <v>118.91</v>
      </c>
      <c r="E108" s="1"/>
      <c r="F108" s="5">
        <f t="shared" si="48"/>
        <v>3.1845371665830286E-4</v>
      </c>
      <c r="G108" s="1"/>
      <c r="H108" s="1">
        <f>SUM(OSRRefH22_5x_0)</f>
        <v>0</v>
      </c>
      <c r="I108" s="1"/>
      <c r="J108" s="5">
        <f t="shared" si="49"/>
        <v>0</v>
      </c>
      <c r="K108" s="1"/>
      <c r="L108" s="1">
        <f t="shared" si="50"/>
        <v>118.91</v>
      </c>
      <c r="M108" s="1"/>
      <c r="N108" s="5">
        <f t="shared" si="51"/>
        <v>0</v>
      </c>
      <c r="O108" s="14"/>
      <c r="P108" s="1">
        <f>SUM(OSRRefP22_5x_0)</f>
        <v>118.91</v>
      </c>
      <c r="Q108" s="1"/>
      <c r="R108" s="5">
        <f t="shared" si="52"/>
        <v>6.3795693772965693E-5</v>
      </c>
      <c r="S108" s="1"/>
      <c r="T108" s="1">
        <f>SUM(OSRRefT22_5x_0)</f>
        <v>0</v>
      </c>
      <c r="U108" s="1"/>
      <c r="V108" s="5">
        <f t="shared" si="53"/>
        <v>0</v>
      </c>
      <c r="W108" s="1"/>
      <c r="X108" s="1">
        <f t="shared" si="54"/>
        <v>118.91</v>
      </c>
      <c r="Y108" s="1"/>
      <c r="Z108" s="5">
        <f t="shared" si="55"/>
        <v>0</v>
      </c>
    </row>
    <row r="109" spans="1:26" s="24" customFormat="1" hidden="1" outlineLevel="2" x14ac:dyDescent="0.3">
      <c r="A109" s="28"/>
      <c r="B109" s="11" t="str">
        <f>CONCATENATE("          ", "6351", " - ", "EQUIPMENT RENTAL")</f>
        <v xml:space="preserve">          6351 - EQUIPMENT RENTAL</v>
      </c>
      <c r="C109" s="11"/>
      <c r="D109" s="6">
        <v>118.91</v>
      </c>
      <c r="E109" s="2"/>
      <c r="F109" s="7">
        <f t="shared" si="48"/>
        <v>3.1845371665830286E-4</v>
      </c>
      <c r="G109" s="2"/>
      <c r="H109" s="6"/>
      <c r="I109" s="2"/>
      <c r="J109" s="7">
        <f t="shared" si="49"/>
        <v>0</v>
      </c>
      <c r="K109" s="2"/>
      <c r="L109" s="6">
        <f t="shared" si="50"/>
        <v>118.91</v>
      </c>
      <c r="M109" s="2"/>
      <c r="N109" s="7">
        <f t="shared" si="51"/>
        <v>0</v>
      </c>
      <c r="O109" s="11"/>
      <c r="P109" s="6">
        <v>118.91</v>
      </c>
      <c r="Q109" s="2"/>
      <c r="R109" s="7">
        <f t="shared" si="52"/>
        <v>6.3795693772965693E-5</v>
      </c>
      <c r="S109" s="2"/>
      <c r="T109" s="6"/>
      <c r="U109" s="2"/>
      <c r="V109" s="7">
        <f t="shared" si="53"/>
        <v>0</v>
      </c>
      <c r="W109" s="2"/>
      <c r="X109" s="6">
        <f t="shared" si="54"/>
        <v>118.91</v>
      </c>
      <c r="Y109" s="2"/>
      <c r="Z109" s="7">
        <f t="shared" si="55"/>
        <v>0</v>
      </c>
    </row>
    <row r="110" spans="1:26" s="29" customFormat="1" outlineLevel="1" collapsed="1" x14ac:dyDescent="0.3">
      <c r="A110" s="27"/>
      <c r="B110" s="14" t="str">
        <f>CONCATENATE("     ","Freight out/Postage                               ")</f>
        <v xml:space="preserve">     Freight out/Postage                               </v>
      </c>
      <c r="C110" s="14"/>
      <c r="D110" s="1">
        <f>SUM(OSRRefD22_6x_0)</f>
        <v>0</v>
      </c>
      <c r="E110" s="1"/>
      <c r="F110" s="5">
        <f t="shared" si="48"/>
        <v>0</v>
      </c>
      <c r="G110" s="1"/>
      <c r="H110" s="1">
        <f>SUM(OSRRefH22_6x_0)</f>
        <v>15.280000000000001</v>
      </c>
      <c r="I110" s="1"/>
      <c r="J110" s="5">
        <f t="shared" si="49"/>
        <v>8.6941347079928661E-5</v>
      </c>
      <c r="K110" s="1"/>
      <c r="L110" s="1">
        <f t="shared" si="50"/>
        <v>-15.280000000000001</v>
      </c>
      <c r="M110" s="1"/>
      <c r="N110" s="5">
        <f t="shared" si="51"/>
        <v>-1</v>
      </c>
      <c r="O110" s="14"/>
      <c r="P110" s="1">
        <f>SUM(OSRRefP22_6x_0)</f>
        <v>929.29</v>
      </c>
      <c r="Q110" s="1"/>
      <c r="R110" s="5">
        <f t="shared" si="52"/>
        <v>4.9856782664434694E-4</v>
      </c>
      <c r="S110" s="1"/>
      <c r="T110" s="1">
        <f>SUM(OSRRefT22_6x_0)</f>
        <v>107.24</v>
      </c>
      <c r="U110" s="1"/>
      <c r="V110" s="5">
        <f t="shared" si="53"/>
        <v>1.2109257116046042E-4</v>
      </c>
      <c r="W110" s="1"/>
      <c r="X110" s="1">
        <f t="shared" si="54"/>
        <v>822.05</v>
      </c>
      <c r="Y110" s="1"/>
      <c r="Z110" s="5">
        <f t="shared" si="55"/>
        <v>7.6655165982842224</v>
      </c>
    </row>
    <row r="111" spans="1:26" s="24" customFormat="1" hidden="1" outlineLevel="2" x14ac:dyDescent="0.3">
      <c r="A111" s="28"/>
      <c r="B111" s="11" t="str">
        <f>CONCATENATE("          ", "6305", " - ", "FREIGHT OUT")</f>
        <v xml:space="preserve">          6305 - FREIGHT OUT</v>
      </c>
      <c r="C111" s="11"/>
      <c r="D111" s="6"/>
      <c r="E111" s="2"/>
      <c r="F111" s="7">
        <f t="shared" si="48"/>
        <v>0</v>
      </c>
      <c r="G111" s="2"/>
      <c r="H111" s="6">
        <v>21.28</v>
      </c>
      <c r="I111" s="2"/>
      <c r="J111" s="7">
        <f t="shared" si="49"/>
        <v>1.2108061949351321E-4</v>
      </c>
      <c r="K111" s="2"/>
      <c r="L111" s="6">
        <f t="shared" si="50"/>
        <v>-21.28</v>
      </c>
      <c r="M111" s="2"/>
      <c r="N111" s="7">
        <f t="shared" si="51"/>
        <v>-1</v>
      </c>
      <c r="O111" s="11"/>
      <c r="P111" s="6">
        <v>893.87</v>
      </c>
      <c r="Q111" s="2"/>
      <c r="R111" s="7">
        <f t="shared" si="52"/>
        <v>4.7956485403112309E-4</v>
      </c>
      <c r="S111" s="2"/>
      <c r="T111" s="6">
        <v>113.24</v>
      </c>
      <c r="U111" s="2"/>
      <c r="V111" s="7">
        <f t="shared" si="53"/>
        <v>1.2786761244135153E-4</v>
      </c>
      <c r="W111" s="2"/>
      <c r="X111" s="6">
        <f t="shared" si="54"/>
        <v>780.63</v>
      </c>
      <c r="Y111" s="2"/>
      <c r="Z111" s="7">
        <f t="shared" si="55"/>
        <v>6.8935888378664787</v>
      </c>
    </row>
    <row r="112" spans="1:26" s="24" customFormat="1" hidden="1" outlineLevel="2" x14ac:dyDescent="0.3">
      <c r="A112" s="28"/>
      <c r="B112" s="11" t="str">
        <f>CONCATENATE("          ", "6307", " - ", "POSTAGE")</f>
        <v xml:space="preserve">          6307 - POSTAGE</v>
      </c>
      <c r="C112" s="11"/>
      <c r="D112" s="6"/>
      <c r="E112" s="2"/>
      <c r="F112" s="7">
        <f t="shared" si="48"/>
        <v>0</v>
      </c>
      <c r="G112" s="2"/>
      <c r="H112" s="6">
        <v>-6</v>
      </c>
      <c r="I112" s="2"/>
      <c r="J112" s="7">
        <f t="shared" si="49"/>
        <v>-3.4139272413584548E-5</v>
      </c>
      <c r="K112" s="2"/>
      <c r="L112" s="6">
        <f t="shared" si="50"/>
        <v>6</v>
      </c>
      <c r="M112" s="2"/>
      <c r="N112" s="7">
        <f t="shared" si="51"/>
        <v>-1</v>
      </c>
      <c r="O112" s="11"/>
      <c r="P112" s="6">
        <v>35.42</v>
      </c>
      <c r="Q112" s="2"/>
      <c r="R112" s="7">
        <f t="shared" si="52"/>
        <v>1.9002972613223825E-5</v>
      </c>
      <c r="S112" s="2"/>
      <c r="T112" s="6">
        <v>-6</v>
      </c>
      <c r="U112" s="2"/>
      <c r="V112" s="7">
        <f t="shared" si="53"/>
        <v>-6.7750412808911093E-6</v>
      </c>
      <c r="W112" s="2"/>
      <c r="X112" s="6">
        <f t="shared" si="54"/>
        <v>41.42</v>
      </c>
      <c r="Y112" s="2"/>
      <c r="Z112" s="7">
        <f t="shared" si="55"/>
        <v>-6.9033333333333333</v>
      </c>
    </row>
    <row r="113" spans="1:26" s="29" customFormat="1" outlineLevel="1" collapsed="1" x14ac:dyDescent="0.3">
      <c r="A113" s="27"/>
      <c r="B113" s="14" t="str">
        <f>CONCATENATE("     ","Inventory Adjustment                              ")</f>
        <v xml:space="preserve">     Inventory Adjustment                              </v>
      </c>
      <c r="C113" s="14"/>
      <c r="D113" s="1">
        <f>SUM(OSRRefD22_7x_0)</f>
        <v>3350</v>
      </c>
      <c r="E113" s="1"/>
      <c r="F113" s="5">
        <f t="shared" ref="F113:F115" si="56">IF(D$12=0,0,D113/D$12)</f>
        <v>8.9716588243656092E-3</v>
      </c>
      <c r="G113" s="1"/>
      <c r="H113" s="1">
        <f>SUM(OSRRefH22_7x_0)</f>
        <v>1000</v>
      </c>
      <c r="I113" s="1"/>
      <c r="J113" s="5">
        <f t="shared" ref="J113:J115" si="57">IF(H$12=0,0,H113/H$12)</f>
        <v>5.6898787355974248E-3</v>
      </c>
      <c r="K113" s="1"/>
      <c r="L113" s="1">
        <f t="shared" ref="L113:L115" si="58">+D113-H113</f>
        <v>2350</v>
      </c>
      <c r="M113" s="1"/>
      <c r="N113" s="5">
        <f t="shared" ref="N113:N115" si="59">IF(H113=0,0,L113/H113)</f>
        <v>2.35</v>
      </c>
      <c r="O113" s="14"/>
      <c r="P113" s="1">
        <f>SUM(OSRRefP22_7x_0)</f>
        <v>20100</v>
      </c>
      <c r="Q113" s="1"/>
      <c r="R113" s="5">
        <f t="shared" ref="R113:R115" si="60">IF(P$12=0,0,P113/P$12)</f>
        <v>1.0783730929582125E-2</v>
      </c>
      <c r="S113" s="1"/>
      <c r="T113" s="1">
        <f>SUM(OSRRefT22_7x_0)</f>
        <v>6000</v>
      </c>
      <c r="U113" s="1"/>
      <c r="V113" s="5">
        <f t="shared" ref="V113:V115" si="61">IF(T$12=0,0,T113/T$12)</f>
        <v>6.7750412808911097E-3</v>
      </c>
      <c r="W113" s="1"/>
      <c r="X113" s="1">
        <f t="shared" ref="X113:X115" si="62">+P113-T113</f>
        <v>14100</v>
      </c>
      <c r="Y113" s="1"/>
      <c r="Z113" s="5">
        <f t="shared" ref="Z113:Z115" si="63">IF(T113=0,0,X113/T113)</f>
        <v>2.35</v>
      </c>
    </row>
    <row r="114" spans="1:26" s="24" customFormat="1" hidden="1" outlineLevel="2" x14ac:dyDescent="0.3">
      <c r="A114" s="28"/>
      <c r="B114" s="11" t="str">
        <f>CONCATENATE("          ", "6408", " - ", "INVENTORY ADJUSTMENT")</f>
        <v xml:space="preserve">          6408 - INVENTORY ADJUSTMENT</v>
      </c>
      <c r="C114" s="11"/>
      <c r="D114" s="6">
        <v>3350</v>
      </c>
      <c r="E114" s="2"/>
      <c r="F114" s="7">
        <f t="shared" si="56"/>
        <v>8.9716588243656092E-3</v>
      </c>
      <c r="G114" s="2"/>
      <c r="H114" s="6">
        <v>1000</v>
      </c>
      <c r="I114" s="2"/>
      <c r="J114" s="7">
        <f t="shared" si="57"/>
        <v>5.6898787355974248E-3</v>
      </c>
      <c r="K114" s="2"/>
      <c r="L114" s="6">
        <f t="shared" si="58"/>
        <v>2350</v>
      </c>
      <c r="M114" s="2"/>
      <c r="N114" s="7">
        <f t="shared" si="59"/>
        <v>2.35</v>
      </c>
      <c r="O114" s="11"/>
      <c r="P114" s="6">
        <v>20100</v>
      </c>
      <c r="Q114" s="2"/>
      <c r="R114" s="7">
        <f t="shared" si="60"/>
        <v>1.0783730929582125E-2</v>
      </c>
      <c r="S114" s="2"/>
      <c r="T114" s="6">
        <v>6000</v>
      </c>
      <c r="U114" s="2"/>
      <c r="V114" s="7">
        <f t="shared" si="61"/>
        <v>6.7750412808911097E-3</v>
      </c>
      <c r="W114" s="2"/>
      <c r="X114" s="6">
        <f t="shared" si="62"/>
        <v>14100</v>
      </c>
      <c r="Y114" s="2"/>
      <c r="Z114" s="7">
        <f t="shared" si="63"/>
        <v>2.35</v>
      </c>
    </row>
    <row r="115" spans="1:26" s="24" customFormat="1" hidden="1" outlineLevel="2" x14ac:dyDescent="0.3">
      <c r="A115" s="28"/>
      <c r="B115" s="11" t="str">
        <f>CONCATENATE("          ", "7741", " - ", "INV. SHRINKAGE-LOGO GIFTS")</f>
        <v xml:space="preserve">          7741 - INV. SHRINKAGE-LOGO GIFTS</v>
      </c>
      <c r="C115" s="11"/>
      <c r="D115" s="6"/>
      <c r="E115" s="2"/>
      <c r="F115" s="7">
        <f t="shared" si="56"/>
        <v>0</v>
      </c>
      <c r="G115" s="2"/>
      <c r="H115" s="6"/>
      <c r="I115" s="2"/>
      <c r="J115" s="7">
        <f t="shared" si="57"/>
        <v>0</v>
      </c>
      <c r="K115" s="2"/>
      <c r="L115" s="6">
        <f t="shared" si="58"/>
        <v>0</v>
      </c>
      <c r="M115" s="2"/>
      <c r="N115" s="7">
        <f t="shared" si="59"/>
        <v>0</v>
      </c>
      <c r="O115" s="11"/>
      <c r="P115" s="6"/>
      <c r="Q115" s="2"/>
      <c r="R115" s="7">
        <f t="shared" si="60"/>
        <v>0</v>
      </c>
      <c r="S115" s="2"/>
      <c r="T115" s="6">
        <v>0</v>
      </c>
      <c r="U115" s="2"/>
      <c r="V115" s="7">
        <f t="shared" si="61"/>
        <v>0</v>
      </c>
      <c r="W115" s="2"/>
      <c r="X115" s="6">
        <f t="shared" si="62"/>
        <v>0</v>
      </c>
      <c r="Y115" s="2"/>
      <c r="Z115" s="7">
        <f t="shared" si="63"/>
        <v>0</v>
      </c>
    </row>
    <row r="116" spans="1:26" s="29" customFormat="1" outlineLevel="1" collapsed="1" x14ac:dyDescent="0.3">
      <c r="A116" s="27"/>
      <c r="B116" s="14" t="str">
        <f>CONCATENATE("     ","Professional Services                             ")</f>
        <v xml:space="preserve">     Professional Services                             </v>
      </c>
      <c r="C116" s="14"/>
      <c r="D116" s="1">
        <f>SUM(OSRRefD22_8x_0)</f>
        <v>0</v>
      </c>
      <c r="E116" s="1"/>
      <c r="F116" s="5">
        <f t="shared" ref="F116:F120" si="64">IF(D$12=0,0,D116/D$12)</f>
        <v>0</v>
      </c>
      <c r="G116" s="1"/>
      <c r="H116" s="1">
        <f>SUM(OSRRefH22_8x_0)</f>
        <v>0</v>
      </c>
      <c r="I116" s="1"/>
      <c r="J116" s="5">
        <f t="shared" ref="J116:J120" si="65">IF(H$12=0,0,H116/H$12)</f>
        <v>0</v>
      </c>
      <c r="K116" s="1"/>
      <c r="L116" s="1">
        <f t="shared" ref="L116:L120" si="66">+D116-H116</f>
        <v>0</v>
      </c>
      <c r="M116" s="1"/>
      <c r="N116" s="5">
        <f t="shared" ref="N116:N120" si="67">IF(H116=0,0,L116/H116)</f>
        <v>0</v>
      </c>
      <c r="O116" s="14"/>
      <c r="P116" s="1">
        <f>SUM(OSRRefP22_8x_0)</f>
        <v>507.64</v>
      </c>
      <c r="Q116" s="1"/>
      <c r="R116" s="5">
        <f t="shared" ref="R116:R120" si="68">IF(P$12=0,0,P116/P$12)</f>
        <v>2.7235090393497861E-4</v>
      </c>
      <c r="S116" s="1"/>
      <c r="T116" s="1">
        <f>SUM(OSRRefT22_8x_0)</f>
        <v>0</v>
      </c>
      <c r="U116" s="1"/>
      <c r="V116" s="5">
        <f t="shared" ref="V116:V120" si="69">IF(T$12=0,0,T116/T$12)</f>
        <v>0</v>
      </c>
      <c r="W116" s="1"/>
      <c r="X116" s="1">
        <f t="shared" ref="X116:X120" si="70">+P116-T116</f>
        <v>507.64</v>
      </c>
      <c r="Y116" s="1"/>
      <c r="Z116" s="5">
        <f t="shared" ref="Z116:Z120" si="71">IF(T116=0,0,X116/T116)</f>
        <v>0</v>
      </c>
    </row>
    <row r="117" spans="1:26" s="24" customFormat="1" hidden="1" outlineLevel="2" x14ac:dyDescent="0.3">
      <c r="A117" s="28"/>
      <c r="B117" s="11" t="str">
        <f>CONCATENATE("          ", "6336", " - ", "PROFESSIONAL SERVICES")</f>
        <v xml:space="preserve">          6336 - PROFESSIONAL SERVICES</v>
      </c>
      <c r="C117" s="11"/>
      <c r="D117" s="6"/>
      <c r="E117" s="2"/>
      <c r="F117" s="7">
        <f t="shared" si="64"/>
        <v>0</v>
      </c>
      <c r="G117" s="2"/>
      <c r="H117" s="6"/>
      <c r="I117" s="2"/>
      <c r="J117" s="7">
        <f t="shared" si="65"/>
        <v>0</v>
      </c>
      <c r="K117" s="2"/>
      <c r="L117" s="6">
        <f t="shared" si="66"/>
        <v>0</v>
      </c>
      <c r="M117" s="2"/>
      <c r="N117" s="7">
        <f t="shared" si="67"/>
        <v>0</v>
      </c>
      <c r="O117" s="11"/>
      <c r="P117" s="6">
        <v>507.64</v>
      </c>
      <c r="Q117" s="2"/>
      <c r="R117" s="7">
        <f t="shared" si="68"/>
        <v>2.7235090393497861E-4</v>
      </c>
      <c r="S117" s="2"/>
      <c r="T117" s="6"/>
      <c r="U117" s="2"/>
      <c r="V117" s="7">
        <f t="shared" si="69"/>
        <v>0</v>
      </c>
      <c r="W117" s="2"/>
      <c r="X117" s="6">
        <f t="shared" si="70"/>
        <v>507.64</v>
      </c>
      <c r="Y117" s="2"/>
      <c r="Z117" s="7">
        <f t="shared" si="71"/>
        <v>0</v>
      </c>
    </row>
    <row r="118" spans="1:26" s="29" customFormat="1" outlineLevel="1" collapsed="1" x14ac:dyDescent="0.3">
      <c r="A118" s="27"/>
      <c r="B118" s="14" t="str">
        <f>CONCATENATE("     ","Repair and Maintenance                            ")</f>
        <v xml:space="preserve">     Repair and Maintenance                            </v>
      </c>
      <c r="C118" s="14"/>
      <c r="D118" s="1">
        <f>SUM(OSRRefD22_9x_0)</f>
        <v>1675.05</v>
      </c>
      <c r="E118" s="1"/>
      <c r="F118" s="5">
        <f t="shared" si="64"/>
        <v>4.4859633175383922E-3</v>
      </c>
      <c r="G118" s="1"/>
      <c r="H118" s="1">
        <f>SUM(OSRRefH22_9x_0)</f>
        <v>0</v>
      </c>
      <c r="I118" s="1"/>
      <c r="J118" s="5">
        <f t="shared" si="65"/>
        <v>0</v>
      </c>
      <c r="K118" s="1"/>
      <c r="L118" s="1">
        <f t="shared" si="66"/>
        <v>1675.05</v>
      </c>
      <c r="M118" s="1"/>
      <c r="N118" s="5">
        <f t="shared" si="67"/>
        <v>0</v>
      </c>
      <c r="O118" s="14"/>
      <c r="P118" s="1">
        <f>SUM(OSRRefP22_9x_0)</f>
        <v>1684.29</v>
      </c>
      <c r="Q118" s="1"/>
      <c r="R118" s="5">
        <f t="shared" si="68"/>
        <v>9.0362836653661081E-4</v>
      </c>
      <c r="S118" s="1"/>
      <c r="T118" s="1">
        <f>SUM(OSRRefT22_9x_0)</f>
        <v>0</v>
      </c>
      <c r="U118" s="1"/>
      <c r="V118" s="5">
        <f t="shared" si="69"/>
        <v>0</v>
      </c>
      <c r="W118" s="1"/>
      <c r="X118" s="1">
        <f t="shared" si="70"/>
        <v>1684.29</v>
      </c>
      <c r="Y118" s="1"/>
      <c r="Z118" s="5">
        <f t="shared" si="71"/>
        <v>0</v>
      </c>
    </row>
    <row r="119" spans="1:26" s="24" customFormat="1" hidden="1" outlineLevel="2" x14ac:dyDescent="0.3">
      <c r="A119" s="28"/>
      <c r="B119" s="11" t="str">
        <f>CONCATENATE("          ", "6373", " - ", "MAINTENANCE CONTRACTS")</f>
        <v xml:space="preserve">          6373 - MAINTENANCE CONTRACTS</v>
      </c>
      <c r="C119" s="11"/>
      <c r="D119" s="6"/>
      <c r="E119" s="2"/>
      <c r="F119" s="7">
        <f t="shared" si="64"/>
        <v>0</v>
      </c>
      <c r="G119" s="2"/>
      <c r="H119" s="6"/>
      <c r="I119" s="2"/>
      <c r="J119" s="7">
        <f t="shared" si="65"/>
        <v>0</v>
      </c>
      <c r="K119" s="2"/>
      <c r="L119" s="6">
        <f t="shared" si="66"/>
        <v>0</v>
      </c>
      <c r="M119" s="2"/>
      <c r="N119" s="7">
        <f t="shared" si="67"/>
        <v>0</v>
      </c>
      <c r="O119" s="11"/>
      <c r="P119" s="6">
        <v>5.7</v>
      </c>
      <c r="Q119" s="2"/>
      <c r="R119" s="7">
        <f t="shared" si="68"/>
        <v>3.0580729501800059E-6</v>
      </c>
      <c r="S119" s="2"/>
      <c r="T119" s="6"/>
      <c r="U119" s="2"/>
      <c r="V119" s="7">
        <f t="shared" si="69"/>
        <v>0</v>
      </c>
      <c r="W119" s="2"/>
      <c r="X119" s="6">
        <f t="shared" si="70"/>
        <v>5.7</v>
      </c>
      <c r="Y119" s="2"/>
      <c r="Z119" s="7">
        <f t="shared" si="71"/>
        <v>0</v>
      </c>
    </row>
    <row r="120" spans="1:26" s="24" customFormat="1" hidden="1" outlineLevel="2" x14ac:dyDescent="0.3">
      <c r="A120" s="28"/>
      <c r="B120" s="11" t="str">
        <f>CONCATENATE("          ", "6375", " - ", "OUTSIDE REPAIRS &amp; MAINTENANCE")</f>
        <v xml:space="preserve">          6375 - OUTSIDE REPAIRS &amp; MAINTENANCE</v>
      </c>
      <c r="C120" s="11"/>
      <c r="D120" s="6">
        <v>1675.05</v>
      </c>
      <c r="E120" s="2"/>
      <c r="F120" s="7">
        <f t="shared" si="64"/>
        <v>4.4859633175383922E-3</v>
      </c>
      <c r="G120" s="2"/>
      <c r="H120" s="6"/>
      <c r="I120" s="2"/>
      <c r="J120" s="7">
        <f t="shared" si="65"/>
        <v>0</v>
      </c>
      <c r="K120" s="2"/>
      <c r="L120" s="6">
        <f t="shared" si="66"/>
        <v>1675.05</v>
      </c>
      <c r="M120" s="2"/>
      <c r="N120" s="7">
        <f t="shared" si="67"/>
        <v>0</v>
      </c>
      <c r="O120" s="11"/>
      <c r="P120" s="6">
        <v>1678.59</v>
      </c>
      <c r="Q120" s="2"/>
      <c r="R120" s="7">
        <f t="shared" si="68"/>
        <v>9.0057029358643073E-4</v>
      </c>
      <c r="S120" s="2"/>
      <c r="T120" s="6"/>
      <c r="U120" s="2"/>
      <c r="V120" s="7">
        <f t="shared" si="69"/>
        <v>0</v>
      </c>
      <c r="W120" s="2"/>
      <c r="X120" s="6">
        <f t="shared" si="70"/>
        <v>1678.59</v>
      </c>
      <c r="Y120" s="2"/>
      <c r="Z120" s="7">
        <f t="shared" si="71"/>
        <v>0</v>
      </c>
    </row>
    <row r="121" spans="1:26" s="29" customFormat="1" outlineLevel="1" collapsed="1" x14ac:dyDescent="0.3">
      <c r="A121" s="27"/>
      <c r="B121" s="14" t="str">
        <f>CONCATENATE("     ","Royalty &amp; Commissions                             ")</f>
        <v xml:space="preserve">     Royalty &amp; Commissions                             </v>
      </c>
      <c r="C121" s="14"/>
      <c r="D121" s="1">
        <f>SUM(OSRRefD22_10x_0)</f>
        <v>0</v>
      </c>
      <c r="E121" s="1"/>
      <c r="F121" s="5">
        <f t="shared" ref="F121:F123" si="72">IF(D$12=0,0,D121/D$12)</f>
        <v>0</v>
      </c>
      <c r="G121" s="1"/>
      <c r="H121" s="1">
        <f>SUM(OSRRefH22_10x_0)</f>
        <v>0</v>
      </c>
      <c r="I121" s="1"/>
      <c r="J121" s="5">
        <f t="shared" ref="J121:J123" si="73">IF(H$12=0,0,H121/H$12)</f>
        <v>0</v>
      </c>
      <c r="K121" s="1"/>
      <c r="L121" s="1">
        <f t="shared" ref="L121:L123" si="74">+D121-H121</f>
        <v>0</v>
      </c>
      <c r="M121" s="1"/>
      <c r="N121" s="5">
        <f t="shared" ref="N121:N123" si="75">IF(H121=0,0,L121/H121)</f>
        <v>0</v>
      </c>
      <c r="O121" s="14"/>
      <c r="P121" s="1">
        <f>SUM(OSRRefP22_10x_0)</f>
        <v>16132.79</v>
      </c>
      <c r="Q121" s="1"/>
      <c r="R121" s="5">
        <f t="shared" ref="R121:R123" si="76">IF(P$12=0,0,P121/P$12)</f>
        <v>8.6553067912165781E-3</v>
      </c>
      <c r="S121" s="1"/>
      <c r="T121" s="1">
        <f>SUM(OSRRefT22_10x_0)</f>
        <v>18411.8</v>
      </c>
      <c r="U121" s="1"/>
      <c r="V121" s="5">
        <f t="shared" ref="V121:V123" si="77">IF(T$12=0,0,T121/T$12)</f>
        <v>2.0790117509251822E-2</v>
      </c>
      <c r="W121" s="1"/>
      <c r="X121" s="1">
        <f t="shared" ref="X121:X123" si="78">+P121-T121</f>
        <v>-2279.0099999999984</v>
      </c>
      <c r="Y121" s="1"/>
      <c r="Z121" s="5">
        <f t="shared" ref="Z121:Z123" si="79">IF(T121=0,0,X121/T121)</f>
        <v>-0.12377985856896112</v>
      </c>
    </row>
    <row r="122" spans="1:26" s="24" customFormat="1" hidden="1" outlineLevel="2" x14ac:dyDescent="0.3">
      <c r="A122" s="28"/>
      <c r="B122" s="11" t="str">
        <f>CONCATENATE("          ", "6253", " - ", "ROYALTY DUE ATHLETICS-LRG")</f>
        <v xml:space="preserve">          6253 - ROYALTY DUE ATHLETICS-LRG</v>
      </c>
      <c r="C122" s="11"/>
      <c r="D122" s="6"/>
      <c r="E122" s="2"/>
      <c r="F122" s="7">
        <f t="shared" si="72"/>
        <v>0</v>
      </c>
      <c r="G122" s="2"/>
      <c r="H122" s="6"/>
      <c r="I122" s="2"/>
      <c r="J122" s="7">
        <f t="shared" si="73"/>
        <v>0</v>
      </c>
      <c r="K122" s="2"/>
      <c r="L122" s="6">
        <f t="shared" si="74"/>
        <v>0</v>
      </c>
      <c r="M122" s="2"/>
      <c r="N122" s="7">
        <f t="shared" si="75"/>
        <v>0</v>
      </c>
      <c r="O122" s="11"/>
      <c r="P122" s="6">
        <v>23160.29</v>
      </c>
      <c r="Q122" s="2"/>
      <c r="R122" s="7">
        <f t="shared" si="76"/>
        <v>1.2425588836372717E-2</v>
      </c>
      <c r="S122" s="2"/>
      <c r="T122" s="6">
        <v>18411.8</v>
      </c>
      <c r="U122" s="2"/>
      <c r="V122" s="7">
        <f t="shared" si="77"/>
        <v>2.0790117509251822E-2</v>
      </c>
      <c r="W122" s="2"/>
      <c r="X122" s="6">
        <f t="shared" si="78"/>
        <v>4748.4900000000016</v>
      </c>
      <c r="Y122" s="2"/>
      <c r="Z122" s="7">
        <f t="shared" si="79"/>
        <v>0.25790471328169989</v>
      </c>
    </row>
    <row r="123" spans="1:26" s="24" customFormat="1" hidden="1" outlineLevel="2" x14ac:dyDescent="0.3">
      <c r="A123" s="28"/>
      <c r="B123" s="11" t="str">
        <f>CONCATENATE("          ", "6254", " - ", "ROYALTY &amp; COMMISSIONS")</f>
        <v xml:space="preserve">          6254 - ROYALTY &amp; COMMISSIONS</v>
      </c>
      <c r="C123" s="11"/>
      <c r="D123" s="6">
        <v>0</v>
      </c>
      <c r="E123" s="2"/>
      <c r="F123" s="7">
        <f t="shared" si="72"/>
        <v>0</v>
      </c>
      <c r="G123" s="2"/>
      <c r="H123" s="6"/>
      <c r="I123" s="2"/>
      <c r="J123" s="7">
        <f t="shared" si="73"/>
        <v>0</v>
      </c>
      <c r="K123" s="2"/>
      <c r="L123" s="6">
        <f t="shared" si="74"/>
        <v>0</v>
      </c>
      <c r="M123" s="2"/>
      <c r="N123" s="7">
        <f t="shared" si="75"/>
        <v>0</v>
      </c>
      <c r="O123" s="11"/>
      <c r="P123" s="6">
        <v>-7027.5</v>
      </c>
      <c r="Q123" s="2"/>
      <c r="R123" s="7">
        <f t="shared" si="76"/>
        <v>-3.7702820451561386E-3</v>
      </c>
      <c r="S123" s="2"/>
      <c r="T123" s="6"/>
      <c r="U123" s="2"/>
      <c r="V123" s="7">
        <f t="shared" si="77"/>
        <v>0</v>
      </c>
      <c r="W123" s="2"/>
      <c r="X123" s="6">
        <f t="shared" si="78"/>
        <v>-7027.5</v>
      </c>
      <c r="Y123" s="2"/>
      <c r="Z123" s="7">
        <f t="shared" si="79"/>
        <v>0</v>
      </c>
    </row>
    <row r="124" spans="1:26" s="29" customFormat="1" outlineLevel="1" collapsed="1" x14ac:dyDescent="0.3">
      <c r="A124" s="27"/>
      <c r="B124" s="14" t="str">
        <f>CONCATENATE("     ","Subscriptions &amp; Dues                              ")</f>
        <v xml:space="preserve">     Subscriptions &amp; Dues                              </v>
      </c>
      <c r="C124" s="14"/>
      <c r="D124" s="1">
        <f>SUM(OSRRefD22_11x_0)</f>
        <v>0</v>
      </c>
      <c r="E124" s="1"/>
      <c r="F124" s="5">
        <f t="shared" ref="F124:F126" si="80">IF(D$12=0,0,D124/D$12)</f>
        <v>0</v>
      </c>
      <c r="G124" s="1"/>
      <c r="H124" s="1">
        <f>SUM(OSRRefH22_11x_0)</f>
        <v>0</v>
      </c>
      <c r="I124" s="1"/>
      <c r="J124" s="5">
        <f t="shared" ref="J124:J126" si="81">IF(H$12=0,0,H124/H$12)</f>
        <v>0</v>
      </c>
      <c r="K124" s="1"/>
      <c r="L124" s="1">
        <f t="shared" ref="L124:L126" si="82">+D124-H124</f>
        <v>0</v>
      </c>
      <c r="M124" s="1"/>
      <c r="N124" s="5">
        <f t="shared" ref="N124:N126" si="83">IF(H124=0,0,L124/H124)</f>
        <v>0</v>
      </c>
      <c r="O124" s="14"/>
      <c r="P124" s="1">
        <f>SUM(OSRRefP22_11x_0)</f>
        <v>0</v>
      </c>
      <c r="Q124" s="1"/>
      <c r="R124" s="5">
        <f t="shared" ref="R124:R126" si="84">IF(P$12=0,0,P124/P$12)</f>
        <v>0</v>
      </c>
      <c r="S124" s="1"/>
      <c r="T124" s="1">
        <f>SUM(OSRRefT22_11x_0)</f>
        <v>-365.27</v>
      </c>
      <c r="U124" s="1"/>
      <c r="V124" s="5">
        <f t="shared" ref="V124:V126" si="85">IF(T$12=0,0,T124/T$12)</f>
        <v>-4.1245322144518257E-4</v>
      </c>
      <c r="W124" s="1"/>
      <c r="X124" s="1">
        <f t="shared" ref="X124:X126" si="86">+P124-T124</f>
        <v>365.27</v>
      </c>
      <c r="Y124" s="1"/>
      <c r="Z124" s="5">
        <f t="shared" ref="Z124:Z126" si="87">IF(T124=0,0,X124/T124)</f>
        <v>-1</v>
      </c>
    </row>
    <row r="125" spans="1:26" s="24" customFormat="1" hidden="1" outlineLevel="2" x14ac:dyDescent="0.3">
      <c r="A125" s="28"/>
      <c r="B125" s="11" t="str">
        <f>CONCATENATE("          ", "6258", " - ", "MEMBERSHIP DUES")</f>
        <v xml:space="preserve">          6258 - MEMBERSHIP DUES</v>
      </c>
      <c r="C125" s="11"/>
      <c r="D125" s="6"/>
      <c r="E125" s="2"/>
      <c r="F125" s="7">
        <f t="shared" si="80"/>
        <v>0</v>
      </c>
      <c r="G125" s="2"/>
      <c r="H125" s="6"/>
      <c r="I125" s="2"/>
      <c r="J125" s="7">
        <f t="shared" si="81"/>
        <v>0</v>
      </c>
      <c r="K125" s="2"/>
      <c r="L125" s="6">
        <f t="shared" si="82"/>
        <v>0</v>
      </c>
      <c r="M125" s="2"/>
      <c r="N125" s="7">
        <f t="shared" si="83"/>
        <v>0</v>
      </c>
      <c r="O125" s="11"/>
      <c r="P125" s="6"/>
      <c r="Q125" s="2"/>
      <c r="R125" s="7">
        <f t="shared" si="84"/>
        <v>0</v>
      </c>
      <c r="S125" s="2"/>
      <c r="T125" s="6">
        <v>-441</v>
      </c>
      <c r="U125" s="2"/>
      <c r="V125" s="7">
        <f t="shared" si="85"/>
        <v>-4.9796553414549656E-4</v>
      </c>
      <c r="W125" s="2"/>
      <c r="X125" s="6">
        <f t="shared" si="86"/>
        <v>441</v>
      </c>
      <c r="Y125" s="2"/>
      <c r="Z125" s="7">
        <f t="shared" si="87"/>
        <v>-1</v>
      </c>
    </row>
    <row r="126" spans="1:26" s="24" customFormat="1" hidden="1" outlineLevel="2" x14ac:dyDescent="0.3">
      <c r="A126" s="28"/>
      <c r="B126" s="11" t="str">
        <f>CONCATENATE("          ", "6275", " - ", "SUBSCRIPTIONS")</f>
        <v xml:space="preserve">          6275 - SUBSCRIPTIONS</v>
      </c>
      <c r="C126" s="11"/>
      <c r="D126" s="6"/>
      <c r="E126" s="2"/>
      <c r="F126" s="7">
        <f t="shared" si="80"/>
        <v>0</v>
      </c>
      <c r="G126" s="2"/>
      <c r="H126" s="6"/>
      <c r="I126" s="2"/>
      <c r="J126" s="7">
        <f t="shared" si="81"/>
        <v>0</v>
      </c>
      <c r="K126" s="2"/>
      <c r="L126" s="6">
        <f t="shared" si="82"/>
        <v>0</v>
      </c>
      <c r="M126" s="2"/>
      <c r="N126" s="7">
        <f t="shared" si="83"/>
        <v>0</v>
      </c>
      <c r="O126" s="11"/>
      <c r="P126" s="6"/>
      <c r="Q126" s="2"/>
      <c r="R126" s="7">
        <f t="shared" si="84"/>
        <v>0</v>
      </c>
      <c r="S126" s="2"/>
      <c r="T126" s="6">
        <v>75.73</v>
      </c>
      <c r="U126" s="2"/>
      <c r="V126" s="7">
        <f t="shared" si="85"/>
        <v>8.5512312700313956E-5</v>
      </c>
      <c r="W126" s="2"/>
      <c r="X126" s="6">
        <f t="shared" si="86"/>
        <v>-75.73</v>
      </c>
      <c r="Y126" s="2"/>
      <c r="Z126" s="7">
        <f t="shared" si="87"/>
        <v>-1</v>
      </c>
    </row>
    <row r="127" spans="1:26" s="29" customFormat="1" outlineLevel="1" collapsed="1" x14ac:dyDescent="0.3">
      <c r="A127" s="27"/>
      <c r="B127" s="14" t="str">
        <f>CONCATENATE("     ","Supplies                                          ")</f>
        <v xml:space="preserve">     Supplies                                          </v>
      </c>
      <c r="C127" s="14"/>
      <c r="D127" s="1">
        <f>SUM(OSRRefD22_12x_0)</f>
        <v>531.44000000000005</v>
      </c>
      <c r="E127" s="1"/>
      <c r="F127" s="5">
        <f t="shared" ref="F127:F131" si="88">IF(D$12=0,0,D127/D$12)</f>
        <v>1.4232532434689134E-3</v>
      </c>
      <c r="G127" s="1"/>
      <c r="H127" s="1">
        <f>SUM(OSRRefH22_12x_0)</f>
        <v>46.59</v>
      </c>
      <c r="I127" s="1"/>
      <c r="J127" s="5">
        <f t="shared" ref="J127:J131" si="89">IF(H$12=0,0,H127/H$12)</f>
        <v>2.6509145029148402E-4</v>
      </c>
      <c r="K127" s="1"/>
      <c r="L127" s="1">
        <f t="shared" ref="L127:L131" si="90">+D127-H127</f>
        <v>484.85</v>
      </c>
      <c r="M127" s="1"/>
      <c r="N127" s="5">
        <f t="shared" ref="N127:N131" si="91">IF(H127=0,0,L127/H127)</f>
        <v>10.406739643700364</v>
      </c>
      <c r="O127" s="14"/>
      <c r="P127" s="1">
        <f>SUM(OSRRefP22_12x_0)</f>
        <v>7579.83</v>
      </c>
      <c r="Q127" s="1"/>
      <c r="R127" s="5">
        <f t="shared" ref="R127:R131" si="92">IF(P$12=0,0,P127/P$12)</f>
        <v>4.0666093140285806E-3</v>
      </c>
      <c r="S127" s="1"/>
      <c r="T127" s="1">
        <f>SUM(OSRRefT22_12x_0)</f>
        <v>1691.29</v>
      </c>
      <c r="U127" s="1"/>
      <c r="V127" s="5">
        <f t="shared" ref="V127:V131" si="93">IF(T$12=0,0,T127/T$12)</f>
        <v>1.9097599279930542E-3</v>
      </c>
      <c r="W127" s="1"/>
      <c r="X127" s="1">
        <f t="shared" ref="X127:X131" si="94">+P127-T127</f>
        <v>5888.54</v>
      </c>
      <c r="Y127" s="1"/>
      <c r="Z127" s="5">
        <f t="shared" ref="Z127:Z131" si="95">IF(T127=0,0,X127/T127)</f>
        <v>3.4816855772812469</v>
      </c>
    </row>
    <row r="128" spans="1:26" s="24" customFormat="1" hidden="1" outlineLevel="2" x14ac:dyDescent="0.3">
      <c r="A128" s="28"/>
      <c r="B128" s="11" t="str">
        <f>CONCATENATE("          ", "6235", " - ", "COVID-19 EXPENSES")</f>
        <v xml:space="preserve">          6235 - COVID-19 EXPENSES</v>
      </c>
      <c r="C128" s="11"/>
      <c r="D128" s="6"/>
      <c r="E128" s="2"/>
      <c r="F128" s="7">
        <f t="shared" si="88"/>
        <v>0</v>
      </c>
      <c r="G128" s="2"/>
      <c r="H128" s="6"/>
      <c r="I128" s="2"/>
      <c r="J128" s="7">
        <f t="shared" si="89"/>
        <v>0</v>
      </c>
      <c r="K128" s="2"/>
      <c r="L128" s="6">
        <f t="shared" si="90"/>
        <v>0</v>
      </c>
      <c r="M128" s="2"/>
      <c r="N128" s="7">
        <f t="shared" si="91"/>
        <v>0</v>
      </c>
      <c r="O128" s="11"/>
      <c r="P128" s="6"/>
      <c r="Q128" s="2"/>
      <c r="R128" s="7">
        <f t="shared" si="92"/>
        <v>0</v>
      </c>
      <c r="S128" s="2"/>
      <c r="T128" s="6">
        <v>1026.43</v>
      </c>
      <c r="U128" s="2"/>
      <c r="V128" s="7">
        <f t="shared" si="93"/>
        <v>1.1590176036575103E-3</v>
      </c>
      <c r="W128" s="2"/>
      <c r="X128" s="6">
        <f t="shared" si="94"/>
        <v>-1026.43</v>
      </c>
      <c r="Y128" s="2"/>
      <c r="Z128" s="7">
        <f t="shared" si="95"/>
        <v>-1</v>
      </c>
    </row>
    <row r="129" spans="1:26" s="24" customFormat="1" hidden="1" outlineLevel="2" x14ac:dyDescent="0.3">
      <c r="A129" s="28"/>
      <c r="B129" s="11" t="str">
        <f>CONCATENATE("          ", "6241", " - ", "OFFICE EXPENSE")</f>
        <v xml:space="preserve">          6241 - OFFICE EXPENSE</v>
      </c>
      <c r="C129" s="11"/>
      <c r="D129" s="6">
        <v>251.68</v>
      </c>
      <c r="E129" s="2"/>
      <c r="F129" s="7">
        <f t="shared" si="88"/>
        <v>6.7402599788547366E-4</v>
      </c>
      <c r="G129" s="2"/>
      <c r="H129" s="6">
        <v>39.840000000000003</v>
      </c>
      <c r="I129" s="2"/>
      <c r="J129" s="7">
        <f t="shared" si="89"/>
        <v>2.2668476882620143E-4</v>
      </c>
      <c r="K129" s="2"/>
      <c r="L129" s="6">
        <f t="shared" si="90"/>
        <v>211.84</v>
      </c>
      <c r="M129" s="2"/>
      <c r="N129" s="7">
        <f t="shared" si="91"/>
        <v>5.3172690763052204</v>
      </c>
      <c r="O129" s="11"/>
      <c r="P129" s="6">
        <v>1082.92</v>
      </c>
      <c r="Q129" s="2"/>
      <c r="R129" s="7">
        <f t="shared" si="92"/>
        <v>5.8099094021209327E-4</v>
      </c>
      <c r="S129" s="2"/>
      <c r="T129" s="6">
        <v>471.4</v>
      </c>
      <c r="U129" s="2"/>
      <c r="V129" s="7">
        <f t="shared" si="93"/>
        <v>5.3229240996867811E-4</v>
      </c>
      <c r="W129" s="2"/>
      <c r="X129" s="6">
        <f t="shared" si="94"/>
        <v>611.5200000000001</v>
      </c>
      <c r="Y129" s="2"/>
      <c r="Z129" s="7">
        <f t="shared" si="95"/>
        <v>1.2972422571064917</v>
      </c>
    </row>
    <row r="130" spans="1:26" s="24" customFormat="1" hidden="1" outlineLevel="2" x14ac:dyDescent="0.3">
      <c r="A130" s="28"/>
      <c r="B130" s="11" t="str">
        <f>CONCATENATE("          ", "6245", " - ", "PRINTING")</f>
        <v xml:space="preserve">          6245 - PRINTING</v>
      </c>
      <c r="C130" s="11"/>
      <c r="D130" s="6">
        <v>24.75</v>
      </c>
      <c r="E130" s="2"/>
      <c r="F130" s="7">
        <f t="shared" si="88"/>
        <v>6.6283151015835473E-5</v>
      </c>
      <c r="G130" s="2"/>
      <c r="H130" s="6"/>
      <c r="I130" s="2"/>
      <c r="J130" s="7">
        <f t="shared" si="89"/>
        <v>0</v>
      </c>
      <c r="K130" s="2"/>
      <c r="L130" s="6">
        <f t="shared" si="90"/>
        <v>24.75</v>
      </c>
      <c r="M130" s="2"/>
      <c r="N130" s="7">
        <f t="shared" si="91"/>
        <v>0</v>
      </c>
      <c r="O130" s="11"/>
      <c r="P130" s="6">
        <v>24.75</v>
      </c>
      <c r="Q130" s="2"/>
      <c r="R130" s="7">
        <f t="shared" si="92"/>
        <v>1.3278474652097392E-5</v>
      </c>
      <c r="S130" s="2"/>
      <c r="T130" s="6"/>
      <c r="U130" s="2"/>
      <c r="V130" s="7">
        <f t="shared" si="93"/>
        <v>0</v>
      </c>
      <c r="W130" s="2"/>
      <c r="X130" s="6">
        <f t="shared" si="94"/>
        <v>24.75</v>
      </c>
      <c r="Y130" s="2"/>
      <c r="Z130" s="7">
        <f t="shared" si="95"/>
        <v>0</v>
      </c>
    </row>
    <row r="131" spans="1:26" s="24" customFormat="1" hidden="1" outlineLevel="2" x14ac:dyDescent="0.3">
      <c r="A131" s="28"/>
      <c r="B131" s="11" t="str">
        <f>CONCATENATE("          ", "6247", " - ", "STORE SUPPLIES")</f>
        <v xml:space="preserve">          6247 - STORE SUPPLIES</v>
      </c>
      <c r="C131" s="11"/>
      <c r="D131" s="6">
        <v>255.01</v>
      </c>
      <c r="E131" s="2"/>
      <c r="F131" s="7">
        <f t="shared" si="88"/>
        <v>6.8294409456760418E-4</v>
      </c>
      <c r="G131" s="2"/>
      <c r="H131" s="6">
        <v>6.75</v>
      </c>
      <c r="I131" s="2"/>
      <c r="J131" s="7">
        <f t="shared" si="89"/>
        <v>3.8406681465282619E-5</v>
      </c>
      <c r="K131" s="2"/>
      <c r="L131" s="6">
        <f t="shared" si="90"/>
        <v>248.26</v>
      </c>
      <c r="M131" s="2"/>
      <c r="N131" s="7">
        <f t="shared" si="91"/>
        <v>36.779259259259256</v>
      </c>
      <c r="O131" s="11"/>
      <c r="P131" s="6">
        <v>6472.16</v>
      </c>
      <c r="Q131" s="2"/>
      <c r="R131" s="7">
        <f t="shared" si="92"/>
        <v>3.4723398991643901E-3</v>
      </c>
      <c r="S131" s="2"/>
      <c r="T131" s="6">
        <v>193.46</v>
      </c>
      <c r="U131" s="2"/>
      <c r="V131" s="7">
        <f t="shared" si="93"/>
        <v>2.1844991436686568E-4</v>
      </c>
      <c r="W131" s="2"/>
      <c r="X131" s="6">
        <f t="shared" si="94"/>
        <v>6278.7</v>
      </c>
      <c r="Y131" s="2"/>
      <c r="Z131" s="7">
        <f t="shared" si="95"/>
        <v>32.45477101209552</v>
      </c>
    </row>
    <row r="132" spans="1:26" s="29" customFormat="1" outlineLevel="1" collapsed="1" x14ac:dyDescent="0.3">
      <c r="A132" s="27"/>
      <c r="B132" s="14" t="str">
        <f>CONCATENATE("     ","Telephone/Data Lines                              ")</f>
        <v xml:space="preserve">     Telephone/Data Lines                              </v>
      </c>
      <c r="C132" s="14"/>
      <c r="D132" s="1">
        <f>SUM(OSRRefD22_13x_0)</f>
        <v>111.85</v>
      </c>
      <c r="E132" s="1"/>
      <c r="F132" s="5">
        <f t="shared" ref="F132:F135" si="96">IF(D$12=0,0,D132/D$12)</f>
        <v>2.995462804493413E-4</v>
      </c>
      <c r="G132" s="1"/>
      <c r="H132" s="1">
        <f>SUM(OSRRefH22_13x_0)</f>
        <v>262.10000000000002</v>
      </c>
      <c r="I132" s="1"/>
      <c r="J132" s="5">
        <f t="shared" ref="J132:J135" si="97">IF(H$12=0,0,H132/H$12)</f>
        <v>1.4913172166000851E-3</v>
      </c>
      <c r="K132" s="1"/>
      <c r="L132" s="1">
        <f t="shared" ref="L132:L135" si="98">+D132-H132</f>
        <v>-150.25000000000003</v>
      </c>
      <c r="M132" s="1"/>
      <c r="N132" s="5">
        <f t="shared" ref="N132:N135" si="99">IF(H132=0,0,L132/H132)</f>
        <v>-0.57325448302174753</v>
      </c>
      <c r="O132" s="14"/>
      <c r="P132" s="1">
        <f>SUM(OSRRefP22_13x_0)</f>
        <v>1151.3</v>
      </c>
      <c r="Q132" s="1"/>
      <c r="R132" s="5">
        <f t="shared" ref="R132:R135" si="100">IF(P$12=0,0,P132/P$12)</f>
        <v>6.1767708553372633E-4</v>
      </c>
      <c r="S132" s="1"/>
      <c r="T132" s="1">
        <f>SUM(OSRRefT22_13x_0)</f>
        <v>2563.98</v>
      </c>
      <c r="U132" s="1"/>
      <c r="V132" s="5">
        <f t="shared" ref="V132:V135" si="101">IF(T$12=0,0,T132/T$12)</f>
        <v>2.8951783905631981E-3</v>
      </c>
      <c r="W132" s="1"/>
      <c r="X132" s="1">
        <f t="shared" ref="X132:X135" si="102">+P132-T132</f>
        <v>-1412.68</v>
      </c>
      <c r="Y132" s="1"/>
      <c r="Z132" s="5">
        <f t="shared" ref="Z132:Z135" si="103">IF(T132=0,0,X132/T132)</f>
        <v>-0.55097153643944186</v>
      </c>
    </row>
    <row r="133" spans="1:26" s="24" customFormat="1" hidden="1" outlineLevel="2" x14ac:dyDescent="0.3">
      <c r="A133" s="28"/>
      <c r="B133" s="11" t="str">
        <f>CONCATENATE("          ", "6309", " - ", "TELEPHONE")</f>
        <v xml:space="preserve">          6309 - TELEPHONE</v>
      </c>
      <c r="C133" s="11"/>
      <c r="D133" s="6">
        <v>111.85</v>
      </c>
      <c r="E133" s="2"/>
      <c r="F133" s="7">
        <f t="shared" si="96"/>
        <v>2.995462804493413E-4</v>
      </c>
      <c r="G133" s="2"/>
      <c r="H133" s="6">
        <v>262.10000000000002</v>
      </c>
      <c r="I133" s="2"/>
      <c r="J133" s="7">
        <f t="shared" si="97"/>
        <v>1.4913172166000851E-3</v>
      </c>
      <c r="K133" s="2"/>
      <c r="L133" s="6">
        <f t="shared" si="98"/>
        <v>-150.25000000000003</v>
      </c>
      <c r="M133" s="2"/>
      <c r="N133" s="7">
        <f t="shared" si="99"/>
        <v>-0.57325448302174753</v>
      </c>
      <c r="O133" s="11"/>
      <c r="P133" s="6">
        <v>1151.3</v>
      </c>
      <c r="Q133" s="2"/>
      <c r="R133" s="7">
        <f t="shared" si="100"/>
        <v>6.1767708553372633E-4</v>
      </c>
      <c r="S133" s="2"/>
      <c r="T133" s="6">
        <v>2563.98</v>
      </c>
      <c r="U133" s="2"/>
      <c r="V133" s="7">
        <f t="shared" si="101"/>
        <v>2.8951783905631981E-3</v>
      </c>
      <c r="W133" s="2"/>
      <c r="X133" s="6">
        <f t="shared" si="102"/>
        <v>-1412.68</v>
      </c>
      <c r="Y133" s="2"/>
      <c r="Z133" s="7">
        <f t="shared" si="103"/>
        <v>-0.55097153643944186</v>
      </c>
    </row>
    <row r="134" spans="1:26" s="29" customFormat="1" outlineLevel="1" collapsed="1" x14ac:dyDescent="0.3">
      <c r="A134" s="27"/>
      <c r="B134" s="14" t="str">
        <f>CONCATENATE("     ","Travel                                            ")</f>
        <v xml:space="preserve">     Travel                                            </v>
      </c>
      <c r="C134" s="14"/>
      <c r="D134" s="1">
        <f>SUM(OSRRefD22_14x_0)</f>
        <v>0</v>
      </c>
      <c r="E134" s="1"/>
      <c r="F134" s="5">
        <f t="shared" si="96"/>
        <v>0</v>
      </c>
      <c r="G134" s="1"/>
      <c r="H134" s="1">
        <f>SUM(OSRRefH22_14x_0)</f>
        <v>0</v>
      </c>
      <c r="I134" s="1"/>
      <c r="J134" s="5">
        <f t="shared" si="97"/>
        <v>0</v>
      </c>
      <c r="K134" s="1"/>
      <c r="L134" s="1">
        <f t="shared" si="98"/>
        <v>0</v>
      </c>
      <c r="M134" s="1"/>
      <c r="N134" s="5">
        <f t="shared" si="99"/>
        <v>0</v>
      </c>
      <c r="O134" s="14"/>
      <c r="P134" s="1">
        <f>SUM(OSRRefP22_14x_0)</f>
        <v>40.32</v>
      </c>
      <c r="Q134" s="1"/>
      <c r="R134" s="5">
        <f t="shared" si="100"/>
        <v>2.1631842342325933E-5</v>
      </c>
      <c r="S134" s="1"/>
      <c r="T134" s="1">
        <f>SUM(OSRRefT22_14x_0)</f>
        <v>0</v>
      </c>
      <c r="U134" s="1"/>
      <c r="V134" s="5">
        <f t="shared" si="101"/>
        <v>0</v>
      </c>
      <c r="W134" s="1"/>
      <c r="X134" s="1">
        <f t="shared" si="102"/>
        <v>40.32</v>
      </c>
      <c r="Y134" s="1"/>
      <c r="Z134" s="5">
        <f t="shared" si="103"/>
        <v>0</v>
      </c>
    </row>
    <row r="135" spans="1:26" s="24" customFormat="1" hidden="1" outlineLevel="2" x14ac:dyDescent="0.3">
      <c r="A135" s="28"/>
      <c r="B135" s="11" t="str">
        <f>CONCATENATE("          ", "6294", " - ", "TRAVEL OPERATIONAL")</f>
        <v xml:space="preserve">          6294 - TRAVEL OPERATIONAL</v>
      </c>
      <c r="C135" s="11"/>
      <c r="D135" s="6"/>
      <c r="E135" s="2"/>
      <c r="F135" s="7">
        <f t="shared" si="96"/>
        <v>0</v>
      </c>
      <c r="G135" s="2"/>
      <c r="H135" s="6"/>
      <c r="I135" s="2"/>
      <c r="J135" s="7">
        <f t="shared" si="97"/>
        <v>0</v>
      </c>
      <c r="K135" s="2"/>
      <c r="L135" s="6">
        <f t="shared" si="98"/>
        <v>0</v>
      </c>
      <c r="M135" s="2"/>
      <c r="N135" s="7">
        <f t="shared" si="99"/>
        <v>0</v>
      </c>
      <c r="O135" s="11"/>
      <c r="P135" s="6">
        <v>40.32</v>
      </c>
      <c r="Q135" s="2"/>
      <c r="R135" s="7">
        <f t="shared" si="100"/>
        <v>2.1631842342325933E-5</v>
      </c>
      <c r="S135" s="2"/>
      <c r="T135" s="6"/>
      <c r="U135" s="2"/>
      <c r="V135" s="7">
        <f t="shared" si="101"/>
        <v>0</v>
      </c>
      <c r="W135" s="2"/>
      <c r="X135" s="6">
        <f t="shared" si="102"/>
        <v>40.32</v>
      </c>
      <c r="Y135" s="2"/>
      <c r="Z135" s="7">
        <f t="shared" si="103"/>
        <v>0</v>
      </c>
    </row>
    <row r="136" spans="1:26" s="53" customFormat="1" x14ac:dyDescent="0.3">
      <c r="A136" s="37"/>
      <c r="B136" s="37"/>
      <c r="C136" s="37"/>
      <c r="D136" s="1"/>
      <c r="E136" s="1"/>
      <c r="F136" s="5"/>
      <c r="G136" s="1"/>
      <c r="H136" s="1"/>
      <c r="I136" s="1"/>
      <c r="J136" s="5"/>
      <c r="K136" s="1"/>
      <c r="L136" s="1"/>
      <c r="M136" s="1"/>
      <c r="N136" s="5"/>
      <c r="O136" s="37"/>
      <c r="P136" s="1"/>
      <c r="Q136" s="1"/>
      <c r="R136" s="5"/>
      <c r="S136" s="1"/>
      <c r="T136" s="1"/>
      <c r="U136" s="1"/>
      <c r="V136" s="5"/>
      <c r="W136" s="1"/>
      <c r="X136" s="1"/>
      <c r="Y136" s="1"/>
      <c r="Z136" s="5"/>
    </row>
    <row r="137" spans="1:26" s="23" customFormat="1" collapsed="1" x14ac:dyDescent="0.3">
      <c r="A137" s="10"/>
      <c r="B137" s="25" t="s">
        <v>292</v>
      </c>
      <c r="C137" s="10"/>
      <c r="D137" s="4">
        <f>SUM(OSRRefD25x_0)</f>
        <v>290</v>
      </c>
      <c r="E137" s="4"/>
      <c r="F137" s="12">
        <f t="shared" ref="F137:F139" si="104">IF(D$12=0,0,D137/D$12)</f>
        <v>7.7665106240776922E-4</v>
      </c>
      <c r="G137" s="4"/>
      <c r="H137" s="4">
        <f>SUM(OSRRefH25x_0)</f>
        <v>-1666.87</v>
      </c>
      <c r="I137" s="4"/>
      <c r="J137" s="12">
        <f t="shared" ref="J137:J139" si="105">IF(H$12=0,0,H137/H$12)</f>
        <v>-9.4842881680052785E-3</v>
      </c>
      <c r="K137" s="4"/>
      <c r="L137" s="4">
        <f t="shared" ref="L137:L139" si="106">+D137-H137</f>
        <v>1956.87</v>
      </c>
      <c r="M137" s="4"/>
      <c r="N137" s="12">
        <f t="shared" ref="N137:N139" si="107">IF(H137=0,0,L137/H137)</f>
        <v>-1.1739787745895001</v>
      </c>
      <c r="O137" s="10"/>
      <c r="P137" s="4">
        <f>SUM(OSRRefP25x_0)</f>
        <v>119353.12</v>
      </c>
      <c r="Q137" s="4"/>
      <c r="R137" s="12">
        <f t="shared" ref="R137:R139" si="108">IF(P$12=0,0,P137/P$12)</f>
        <v>6.4033429437120745E-2</v>
      </c>
      <c r="S137" s="4"/>
      <c r="T137" s="4">
        <f>SUM(OSRRefT25x_0)</f>
        <v>206207.58</v>
      </c>
      <c r="U137" s="4"/>
      <c r="V137" s="12">
        <f t="shared" ref="V137:V139" si="109">IF(T$12=0,0,T137/T$12)</f>
        <v>0.23284414448877599</v>
      </c>
      <c r="W137" s="4"/>
      <c r="X137" s="4">
        <f t="shared" ref="X137:X139" si="110">+P137-T137</f>
        <v>-86854.459999999992</v>
      </c>
      <c r="Y137" s="4"/>
      <c r="Z137" s="12">
        <f t="shared" ref="Z137:Z139" si="111">IF(T137=0,0,X137/T137)</f>
        <v>-0.42119916251381251</v>
      </c>
    </row>
    <row r="138" spans="1:26" s="24" customFormat="1" hidden="1" outlineLevel="1" x14ac:dyDescent="0.3">
      <c r="A138" s="44"/>
      <c r="B138" s="11" t="str">
        <f>CONCATENATE("          ", "9150", " - ", "MISC. INCOME")</f>
        <v xml:space="preserve">          9150 - MISC. INCOME</v>
      </c>
      <c r="C138" s="11"/>
      <c r="D138" s="2">
        <f>--290</f>
        <v>290</v>
      </c>
      <c r="E138" s="2"/>
      <c r="F138" s="19">
        <f t="shared" si="104"/>
        <v>7.7665106240776922E-4</v>
      </c>
      <c r="G138" s="2"/>
      <c r="H138" s="2">
        <f>-1666.87</f>
        <v>-1666.87</v>
      </c>
      <c r="I138" s="2"/>
      <c r="J138" s="19">
        <f t="shared" si="105"/>
        <v>-9.4842881680052785E-3</v>
      </c>
      <c r="K138" s="2"/>
      <c r="L138" s="2">
        <f t="shared" si="106"/>
        <v>1956.87</v>
      </c>
      <c r="M138" s="2"/>
      <c r="N138" s="19">
        <f t="shared" si="107"/>
        <v>-1.1739787745895001</v>
      </c>
      <c r="O138" s="11"/>
      <c r="P138" s="2">
        <f>--46604.92</f>
        <v>46604.92</v>
      </c>
      <c r="Q138" s="2"/>
      <c r="R138" s="19">
        <f t="shared" si="108"/>
        <v>2.5003727227597042E-2</v>
      </c>
      <c r="S138" s="2"/>
      <c r="T138" s="2">
        <f>--30801.74</f>
        <v>30801.74</v>
      </c>
      <c r="U138" s="2"/>
      <c r="V138" s="19">
        <f t="shared" si="109"/>
        <v>3.4780510003879155E-2</v>
      </c>
      <c r="W138" s="2"/>
      <c r="X138" s="2">
        <f t="shared" si="110"/>
        <v>15803.179999999997</v>
      </c>
      <c r="Y138" s="2"/>
      <c r="Z138" s="19">
        <f t="shared" si="111"/>
        <v>0.51306127510978261</v>
      </c>
    </row>
    <row r="139" spans="1:26" s="24" customFormat="1" hidden="1" outlineLevel="1" x14ac:dyDescent="0.3">
      <c r="A139" s="44"/>
      <c r="B139" s="11" t="str">
        <f>CONCATENATE("          ", "9163", " - ", "MISC. INCOME")</f>
        <v xml:space="preserve">          9163 - MISC. INCOME</v>
      </c>
      <c r="C139" s="11"/>
      <c r="D139" s="2">
        <f>0</f>
        <v>0</v>
      </c>
      <c r="E139" s="2"/>
      <c r="F139" s="19">
        <f t="shared" si="104"/>
        <v>0</v>
      </c>
      <c r="G139" s="2"/>
      <c r="H139" s="2">
        <f>0</f>
        <v>0</v>
      </c>
      <c r="I139" s="2"/>
      <c r="J139" s="19">
        <f t="shared" si="105"/>
        <v>0</v>
      </c>
      <c r="K139" s="2"/>
      <c r="L139" s="2">
        <f t="shared" si="106"/>
        <v>0</v>
      </c>
      <c r="M139" s="2"/>
      <c r="N139" s="19">
        <f t="shared" si="107"/>
        <v>0</v>
      </c>
      <c r="O139" s="11"/>
      <c r="P139" s="2">
        <f>--72748.2</f>
        <v>72748.2</v>
      </c>
      <c r="Q139" s="2"/>
      <c r="R139" s="19">
        <f t="shared" si="108"/>
        <v>3.9029702209523696E-2</v>
      </c>
      <c r="S139" s="2"/>
      <c r="T139" s="2">
        <f>--175405.84</f>
        <v>175405.84</v>
      </c>
      <c r="U139" s="2"/>
      <c r="V139" s="19">
        <f t="shared" si="109"/>
        <v>0.19806363448489683</v>
      </c>
      <c r="W139" s="2"/>
      <c r="X139" s="2">
        <f t="shared" si="110"/>
        <v>-102657.64</v>
      </c>
      <c r="Y139" s="2"/>
      <c r="Z139" s="19">
        <f t="shared" si="111"/>
        <v>-0.58525782265858428</v>
      </c>
    </row>
    <row r="140" spans="1:26" x14ac:dyDescent="0.3">
      <c r="A140" s="9"/>
      <c r="B140" s="10"/>
      <c r="C140" s="10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O140" s="10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x14ac:dyDescent="0.3">
      <c r="A141" s="10"/>
      <c r="B141" s="26" t="s">
        <v>276</v>
      </c>
      <c r="C141" s="26"/>
      <c r="D141" s="20">
        <f>+D83-D85+D137</f>
        <v>118441.56000000006</v>
      </c>
      <c r="E141" s="13"/>
      <c r="F141" s="21">
        <f>IF(D$12=0,0,D141/D$12)</f>
        <v>0.31719918416287446</v>
      </c>
      <c r="G141" s="13"/>
      <c r="H141" s="20">
        <f>+H83-H85+H137</f>
        <v>30187.109999999975</v>
      </c>
      <c r="I141" s="13"/>
      <c r="J141" s="21">
        <f>IF(H$12=0,0,H141/H$12)</f>
        <v>0.17176099527814023</v>
      </c>
      <c r="K141" s="15"/>
      <c r="L141" s="20">
        <f>+D141-H141</f>
        <v>88254.450000000084</v>
      </c>
      <c r="M141" s="15"/>
      <c r="N141" s="21">
        <f>IF(H141=0,0,L141/H141)</f>
        <v>2.9235806276255047</v>
      </c>
      <c r="O141" s="25"/>
      <c r="P141" s="20">
        <f>+P83-P85+P137</f>
        <v>610608.23</v>
      </c>
      <c r="Q141" s="13"/>
      <c r="R141" s="21">
        <f>IF(P$12=0,0,P141/P$12)</f>
        <v>0.3275937739158406</v>
      </c>
      <c r="S141" s="13"/>
      <c r="T141" s="20">
        <f>+T83-T85+T137</f>
        <v>281484.9800000001</v>
      </c>
      <c r="U141" s="13"/>
      <c r="V141" s="21">
        <f>IF(T$12=0,0,T141/T$12)</f>
        <v>0.3178453932418015</v>
      </c>
      <c r="W141" s="15"/>
      <c r="X141" s="20">
        <f>+P141-T141</f>
        <v>329123.24999999988</v>
      </c>
      <c r="Y141" s="15"/>
      <c r="Z141" s="21">
        <f>IF(T141=0,0,X141/T141)</f>
        <v>1.1692391189043188</v>
      </c>
    </row>
    <row r="142" spans="1:26" x14ac:dyDescent="0.3">
      <c r="A142" s="9"/>
      <c r="B142" s="10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x14ac:dyDescent="0.3">
      <c r="A143" s="51"/>
      <c r="B143" s="10" t="s">
        <v>127</v>
      </c>
      <c r="C143" s="10"/>
      <c r="D143" s="4">
        <v>46822.879999999997</v>
      </c>
      <c r="E143" s="4"/>
      <c r="F143" s="12">
        <f>IF(D$12=0,0,D143/D$12)</f>
        <v>0.1253966879206603</v>
      </c>
      <c r="G143" s="4"/>
      <c r="H143" s="4">
        <v>56796.39</v>
      </c>
      <c r="I143" s="4"/>
      <c r="J143" s="12">
        <f>IF(H$12=0,0,H143/H$12)</f>
        <v>0.3231645717196982</v>
      </c>
      <c r="K143" s="4"/>
      <c r="L143" s="4">
        <f>+D143-H143</f>
        <v>-9973.510000000002</v>
      </c>
      <c r="M143" s="4"/>
      <c r="N143" s="12">
        <f>IF(H143=0,0,L143/H143)</f>
        <v>-0.17560112535321351</v>
      </c>
      <c r="O143" s="10"/>
      <c r="P143" s="4">
        <v>224361.41</v>
      </c>
      <c r="Q143" s="4"/>
      <c r="R143" s="12">
        <f>IF(P$12=0,0,P143/P$12)</f>
        <v>0.12037079982197295</v>
      </c>
      <c r="S143" s="4"/>
      <c r="T143" s="4">
        <v>169592.01</v>
      </c>
      <c r="U143" s="4"/>
      <c r="V143" s="12">
        <f>IF(T$12=0,0,T143/T$12)</f>
        <v>0.19149881144321632</v>
      </c>
      <c r="W143" s="4"/>
      <c r="X143" s="4">
        <f>+P143-T143</f>
        <v>54769.399999999994</v>
      </c>
      <c r="Y143" s="4"/>
      <c r="Z143" s="12">
        <f>IF(T143=0,0,X143/T143)</f>
        <v>0.32294799737322527</v>
      </c>
    </row>
    <row r="144" spans="1:26" x14ac:dyDescent="0.3">
      <c r="A144" s="9"/>
      <c r="B144" s="10"/>
      <c r="C144" s="10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O144" s="10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s="23" customFormat="1" ht="15" thickBot="1" x14ac:dyDescent="0.35">
      <c r="A145" s="10"/>
      <c r="B145" s="26" t="s">
        <v>125</v>
      </c>
      <c r="C145" s="26"/>
      <c r="D145" s="32">
        <f>+D141-D143</f>
        <v>71618.680000000051</v>
      </c>
      <c r="E145" s="13"/>
      <c r="F145" s="35">
        <f>IF(D$12=0,0,D145/D$12)</f>
        <v>0.19180249624221413</v>
      </c>
      <c r="G145" s="13"/>
      <c r="H145" s="32">
        <f>+H141-H143</f>
        <v>-26609.280000000024</v>
      </c>
      <c r="I145" s="13"/>
      <c r="J145" s="35">
        <f>IF(H$12=0,0,H145/H$12)</f>
        <v>-0.15140357644155797</v>
      </c>
      <c r="K145" s="15"/>
      <c r="L145" s="32">
        <f>D145-H145</f>
        <v>98227.960000000079</v>
      </c>
      <c r="M145" s="15"/>
      <c r="N145" s="35">
        <f>IF(H145=0,0,L145/H145)</f>
        <v>-3.6914925920581085</v>
      </c>
      <c r="O145" s="25"/>
      <c r="P145" s="32">
        <f>+P141-P143</f>
        <v>386246.81999999995</v>
      </c>
      <c r="Q145" s="13"/>
      <c r="R145" s="35">
        <f>IF(P$12=0,0,P145/P$12)</f>
        <v>0.20722297409386761</v>
      </c>
      <c r="S145" s="13"/>
      <c r="T145" s="32">
        <f>+T141-T143</f>
        <v>111892.97000000009</v>
      </c>
      <c r="U145" s="13"/>
      <c r="V145" s="35">
        <f>IF(T$12=0,0,T145/T$12)</f>
        <v>0.12634658179858518</v>
      </c>
      <c r="W145" s="15"/>
      <c r="X145" s="32">
        <f>P145-T145</f>
        <v>274353.84999999986</v>
      </c>
      <c r="Y145" s="15"/>
      <c r="Z145" s="35">
        <f>IF(T145=0,0,X145/T145)</f>
        <v>2.4519310730602615</v>
      </c>
    </row>
    <row r="146" spans="1:26" ht="15" thickTop="1" x14ac:dyDescent="0.3">
      <c r="A146" s="9"/>
      <c r="B146" s="9"/>
      <c r="C146" s="9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x14ac:dyDescent="0.3">
      <c r="A147" s="9"/>
      <c r="B147" s="9"/>
      <c r="C147" s="9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s="23" customFormat="1" ht="15" thickBot="1" x14ac:dyDescent="0.35">
      <c r="A148" s="10"/>
      <c r="B148" s="26" t="s">
        <v>293</v>
      </c>
      <c r="C148" s="26"/>
      <c r="D148" s="31">
        <f>SUM(D145:D147)</f>
        <v>71618.680000000051</v>
      </c>
      <c r="E148" s="13"/>
      <c r="F148" s="33">
        <f>IF(D$12=0,0,D148/D$12)</f>
        <v>0.19180249624221413</v>
      </c>
      <c r="G148" s="13"/>
      <c r="H148" s="31">
        <f>SUM(H145:H147)</f>
        <v>-26609.280000000024</v>
      </c>
      <c r="I148" s="13"/>
      <c r="J148" s="33">
        <f>IF(H$12=0,0,H148/H$12)</f>
        <v>-0.15140357644155797</v>
      </c>
      <c r="K148" s="15"/>
      <c r="L148" s="31">
        <f>+D148-H148</f>
        <v>98227.960000000079</v>
      </c>
      <c r="M148" s="15"/>
      <c r="N148" s="33">
        <f>IF(H148=0,0,L148/H148)</f>
        <v>-3.6914925920581085</v>
      </c>
      <c r="O148" s="25"/>
      <c r="P148" s="31">
        <f>SUM(P145:P147)</f>
        <v>386246.81999999995</v>
      </c>
      <c r="Q148" s="13"/>
      <c r="R148" s="33">
        <f>IF(P$12=0,0,P148/P$12)</f>
        <v>0.20722297409386761</v>
      </c>
      <c r="S148" s="13"/>
      <c r="T148" s="31">
        <f>SUM(T145:T147)</f>
        <v>111892.97000000009</v>
      </c>
      <c r="U148" s="13"/>
      <c r="V148" s="33">
        <f>IF(T$12=0,0,T148/T$12)</f>
        <v>0.12634658179858518</v>
      </c>
      <c r="W148" s="15"/>
      <c r="X148" s="31">
        <f>+P148-T148</f>
        <v>274353.84999999986</v>
      </c>
      <c r="Y148" s="15"/>
      <c r="Z148" s="33">
        <f>IF(T148=0,0,X148/T148)</f>
        <v>2.4519310730602615</v>
      </c>
    </row>
    <row r="149" spans="1:26" ht="15" thickTop="1" x14ac:dyDescent="0.3">
      <c r="A149" s="9"/>
      <c r="C149" s="9"/>
      <c r="D149" s="17"/>
      <c r="E149" s="17"/>
      <c r="G149" s="17"/>
      <c r="H149" s="17"/>
      <c r="I149" s="17"/>
      <c r="J149" s="43"/>
      <c r="K149" s="17"/>
      <c r="L149" s="17"/>
      <c r="M149" s="17"/>
      <c r="P149" s="17"/>
      <c r="Q149" s="17"/>
      <c r="R149" s="43"/>
      <c r="S149" s="17"/>
      <c r="T149" s="17"/>
      <c r="U149" s="17"/>
      <c r="V149" s="43"/>
      <c r="W149" s="17"/>
      <c r="X149" s="17"/>
    </row>
    <row r="150" spans="1:26" x14ac:dyDescent="0.3">
      <c r="A150" s="9"/>
      <c r="B150" s="60">
        <v>44575.854680405093</v>
      </c>
      <c r="D150" s="17"/>
      <c r="E150" s="17"/>
      <c r="G150" s="17"/>
      <c r="H150" s="17"/>
      <c r="I150" s="17"/>
      <c r="J150" s="43"/>
      <c r="K150" s="17"/>
      <c r="L150" s="17"/>
      <c r="M150" s="17"/>
      <c r="P150" s="17"/>
      <c r="Q150" s="17"/>
      <c r="R150" s="43"/>
      <c r="S150" s="17"/>
      <c r="T150" s="17"/>
      <c r="U150" s="17"/>
      <c r="V150" s="43"/>
      <c r="W150" s="17"/>
      <c r="X150" s="17"/>
    </row>
    <row r="151" spans="1:26" x14ac:dyDescent="0.3">
      <c r="A151" s="9"/>
      <c r="B151" s="57" t="s">
        <v>56</v>
      </c>
      <c r="D151" s="17"/>
      <c r="E151" s="17"/>
      <c r="G151" s="17"/>
      <c r="H151" s="17"/>
      <c r="I151" s="17"/>
      <c r="J151" s="43"/>
      <c r="K151" s="17"/>
      <c r="L151" s="17"/>
      <c r="M151" s="17"/>
      <c r="P151" s="17"/>
      <c r="Q151" s="17"/>
      <c r="R151" s="43"/>
      <c r="S151" s="17"/>
      <c r="T151" s="17"/>
      <c r="U151" s="17"/>
      <c r="V151" s="43"/>
      <c r="W151" s="17"/>
      <c r="X151" s="17"/>
    </row>
    <row r="152" spans="1:26" x14ac:dyDescent="0.3">
      <c r="A152" s="9"/>
      <c r="B152" s="59"/>
      <c r="D152" s="17"/>
      <c r="E152" s="17"/>
      <c r="G152" s="17"/>
      <c r="H152" s="17"/>
      <c r="I152" s="17"/>
      <c r="J152" s="43"/>
      <c r="K152" s="17"/>
      <c r="L152" s="17"/>
      <c r="M152" s="17"/>
      <c r="P152" s="17"/>
      <c r="Q152" s="17"/>
      <c r="R152" s="43"/>
      <c r="S152" s="17"/>
      <c r="T152" s="17"/>
      <c r="U152" s="17"/>
      <c r="V152" s="43"/>
      <c r="W152" s="17"/>
      <c r="X152" s="17"/>
    </row>
    <row r="153" spans="1:26" x14ac:dyDescent="0.3">
      <c r="D153" s="17"/>
      <c r="E153" s="17"/>
      <c r="G153" s="17"/>
      <c r="H153" s="17"/>
      <c r="I153" s="17"/>
      <c r="J153" s="43"/>
      <c r="K153" s="17"/>
      <c r="L153" s="17"/>
      <c r="M153" s="17"/>
      <c r="P153" s="17"/>
      <c r="Q153" s="17"/>
      <c r="R153" s="43"/>
      <c r="S153" s="17"/>
      <c r="T153" s="17"/>
      <c r="U153" s="17"/>
      <c r="V153" s="43"/>
      <c r="W153" s="17"/>
      <c r="X153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217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22">
        <f>SUM(0)</f>
        <v>0</v>
      </c>
      <c r="E18" s="22"/>
      <c r="F18" s="34">
        <f>IF(D$12=0,0,D18/D$12)</f>
        <v>0</v>
      </c>
      <c r="G18" s="22"/>
      <c r="H18" s="22">
        <f>SUM(0)</f>
        <v>0</v>
      </c>
      <c r="I18" s="22"/>
      <c r="J18" s="34">
        <f>IF(H$12=0,0,H18/H$12)</f>
        <v>0</v>
      </c>
      <c r="K18" s="4"/>
      <c r="L18" s="22">
        <f>+D18-H18</f>
        <v>0</v>
      </c>
      <c r="M18" s="4"/>
      <c r="N18" s="34">
        <f>IF(H18=0,0,L18/H18)</f>
        <v>0</v>
      </c>
      <c r="O18" s="10"/>
      <c r="P18" s="22">
        <f>SUM(0)</f>
        <v>0</v>
      </c>
      <c r="Q18" s="22"/>
      <c r="R18" s="34">
        <f>IF(P$12=0,0,P18/P$12)</f>
        <v>0</v>
      </c>
      <c r="S18" s="22"/>
      <c r="T18" s="22">
        <f>SUM(0)</f>
        <v>0</v>
      </c>
      <c r="U18" s="22"/>
      <c r="V18" s="34">
        <f>IF(T$12=0,0,T18/T$12)</f>
        <v>0</v>
      </c>
      <c r="W18" s="4"/>
      <c r="X18" s="22">
        <f>+P18-T18</f>
        <v>0</v>
      </c>
      <c r="Y18" s="4"/>
      <c r="Z18" s="34">
        <f>IF(T18=0,0,X18/T18)</f>
        <v>0</v>
      </c>
    </row>
    <row r="19" spans="1:26" s="53" customFormat="1" x14ac:dyDescent="0.3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292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3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">
      <c r="A22" s="10"/>
      <c r="B22" s="26" t="s">
        <v>276</v>
      </c>
      <c r="C22" s="26"/>
      <c r="D22" s="20">
        <f>+D16-D18+D20</f>
        <v>0</v>
      </c>
      <c r="E22" s="13"/>
      <c r="F22" s="21">
        <f>IF(D$12=0,0,D22/D$12)</f>
        <v>0</v>
      </c>
      <c r="G22" s="13"/>
      <c r="H22" s="20">
        <f>+H16-H18+H20</f>
        <v>0</v>
      </c>
      <c r="I22" s="13"/>
      <c r="J22" s="21">
        <f>IF(H$12=0,0,H22/H$12)</f>
        <v>0</v>
      </c>
      <c r="K22" s="15"/>
      <c r="L22" s="20">
        <f>+D22-H22</f>
        <v>0</v>
      </c>
      <c r="M22" s="15"/>
      <c r="N22" s="21">
        <f>IF(H22=0,0,L22/H22)</f>
        <v>0</v>
      </c>
      <c r="O22" s="25"/>
      <c r="P22" s="20">
        <f>+P16-P18+P20</f>
        <v>0</v>
      </c>
      <c r="Q22" s="13"/>
      <c r="R22" s="21">
        <f>IF(P$12=0,0,P22/P$12)</f>
        <v>0</v>
      </c>
      <c r="S22" s="13"/>
      <c r="T22" s="20">
        <f>+T16-T18+T20</f>
        <v>0</v>
      </c>
      <c r="U22" s="13"/>
      <c r="V22" s="21">
        <f>IF(T$12=0,0,T22/T$12)</f>
        <v>0</v>
      </c>
      <c r="W22" s="15"/>
      <c r="X22" s="20">
        <f>+P22-T22</f>
        <v>0</v>
      </c>
      <c r="Y22" s="15"/>
      <c r="Z22" s="21">
        <f>IF(T22=0,0,X22/T22)</f>
        <v>0</v>
      </c>
    </row>
    <row r="23" spans="1:26" x14ac:dyDescent="0.3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51"/>
      <c r="B24" s="10" t="s">
        <v>127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" thickBot="1" x14ac:dyDescent="0.35">
      <c r="A26" s="10"/>
      <c r="B26" s="26" t="s">
        <v>125</v>
      </c>
      <c r="C26" s="26"/>
      <c r="D26" s="32">
        <f>+D22-D24</f>
        <v>0</v>
      </c>
      <c r="E26" s="13"/>
      <c r="F26" s="35">
        <f>IF(D$12=0,0,D26/D$12)</f>
        <v>0</v>
      </c>
      <c r="G26" s="13"/>
      <c r="H26" s="32">
        <f>+H22-H24</f>
        <v>0</v>
      </c>
      <c r="I26" s="13"/>
      <c r="J26" s="35">
        <f>IF(H$12=0,0,H26/H$12)</f>
        <v>0</v>
      </c>
      <c r="K26" s="15"/>
      <c r="L26" s="32">
        <f>D26-H26</f>
        <v>0</v>
      </c>
      <c r="M26" s="15"/>
      <c r="N26" s="35">
        <f>IF(H26=0,0,L26/H26)</f>
        <v>0</v>
      </c>
      <c r="O26" s="25"/>
      <c r="P26" s="32">
        <f>+P22-P24</f>
        <v>0</v>
      </c>
      <c r="Q26" s="13"/>
      <c r="R26" s="35">
        <f>IF(P$12=0,0,P26/P$12)</f>
        <v>0</v>
      </c>
      <c r="S26" s="13"/>
      <c r="T26" s="32">
        <f>+T22-T24</f>
        <v>0</v>
      </c>
      <c r="U26" s="13"/>
      <c r="V26" s="35">
        <f>IF(T$12=0,0,T26/T$12)</f>
        <v>0</v>
      </c>
      <c r="W26" s="15"/>
      <c r="X26" s="32">
        <f>P26-T26</f>
        <v>0</v>
      </c>
      <c r="Y26" s="15"/>
      <c r="Z26" s="35">
        <f>IF(T26=0,0,X26/T26)</f>
        <v>0</v>
      </c>
    </row>
    <row r="27" spans="1:26" ht="15" thickTop="1" x14ac:dyDescent="0.3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51"/>
      <c r="B28" s="10" t="s">
        <v>183</v>
      </c>
      <c r="C28" s="10"/>
      <c r="D28" s="4">
        <f>--139580.48</f>
        <v>139580.48000000001</v>
      </c>
      <c r="E28" s="4"/>
      <c r="F28" s="12">
        <f t="shared" ref="F28:F29" si="0">IF(D$12=0,0,D28/D$12)</f>
        <v>0</v>
      </c>
      <c r="G28" s="4"/>
      <c r="H28" s="4">
        <f>--344647.12</f>
        <v>344647.12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-205066.63999999998</v>
      </c>
      <c r="M28" s="4"/>
      <c r="N28" s="12">
        <f t="shared" ref="N28:N29" si="3">IF(H28=0,0,L28/H28)</f>
        <v>-0.59500465287509141</v>
      </c>
      <c r="O28" s="10"/>
      <c r="P28" s="4">
        <f>-85136.7</f>
        <v>-85136.7</v>
      </c>
      <c r="Q28" s="4"/>
      <c r="R28" s="12">
        <f t="shared" ref="R28:R29" si="4">IF(P$12=0,0,P28/P$12)</f>
        <v>0</v>
      </c>
      <c r="S28" s="4"/>
      <c r="T28" s="4">
        <f>--1994053.3</f>
        <v>1994053.3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-2079190</v>
      </c>
      <c r="Y28" s="4"/>
      <c r="Z28" s="12">
        <f t="shared" ref="Z28:Z29" si="7">IF(T28=0,0,X28/T28)</f>
        <v>-1.0426952980645001</v>
      </c>
    </row>
    <row r="29" spans="1:26" s="23" customFormat="1" x14ac:dyDescent="0.3">
      <c r="A29" s="51"/>
      <c r="B29" s="10" t="s">
        <v>81</v>
      </c>
      <c r="C29" s="10"/>
      <c r="D29" s="4">
        <f>--127617.83</f>
        <v>127617.83</v>
      </c>
      <c r="E29" s="4"/>
      <c r="F29" s="12">
        <f t="shared" si="0"/>
        <v>0</v>
      </c>
      <c r="G29" s="4"/>
      <c r="H29" s="4">
        <f>--50933.37</f>
        <v>50933.37</v>
      </c>
      <c r="I29" s="4"/>
      <c r="J29" s="12">
        <f t="shared" si="1"/>
        <v>0</v>
      </c>
      <c r="K29" s="4"/>
      <c r="L29" s="4">
        <f t="shared" si="2"/>
        <v>76684.459999999992</v>
      </c>
      <c r="M29" s="4"/>
      <c r="N29" s="12">
        <f t="shared" si="3"/>
        <v>1.5055838637812498</v>
      </c>
      <c r="O29" s="10"/>
      <c r="P29" s="4">
        <f>--185407.7</f>
        <v>185407.7</v>
      </c>
      <c r="Q29" s="4"/>
      <c r="R29" s="12">
        <f t="shared" si="4"/>
        <v>0</v>
      </c>
      <c r="S29" s="4"/>
      <c r="T29" s="4">
        <f>--44510.83</f>
        <v>44510.83</v>
      </c>
      <c r="U29" s="4"/>
      <c r="V29" s="12">
        <f t="shared" si="5"/>
        <v>0</v>
      </c>
      <c r="W29" s="4"/>
      <c r="X29" s="4">
        <f t="shared" si="6"/>
        <v>140896.87</v>
      </c>
      <c r="Y29" s="4"/>
      <c r="Z29" s="12">
        <f t="shared" si="7"/>
        <v>3.1654514193512004</v>
      </c>
    </row>
    <row r="30" spans="1:26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293</v>
      </c>
      <c r="C31" s="26"/>
      <c r="D31" s="31">
        <f>SUM(D26:D30)</f>
        <v>267198.31</v>
      </c>
      <c r="E31" s="13"/>
      <c r="F31" s="33">
        <f>IF(D$12=0,0,D31/D$12)</f>
        <v>0</v>
      </c>
      <c r="G31" s="13"/>
      <c r="H31" s="31">
        <f>SUM(H26:H30)</f>
        <v>395580.49</v>
      </c>
      <c r="I31" s="13"/>
      <c r="J31" s="33">
        <f>IF(H$12=0,0,H31/H$12)</f>
        <v>0</v>
      </c>
      <c r="K31" s="15"/>
      <c r="L31" s="31">
        <f>+D31-H31</f>
        <v>-128382.18</v>
      </c>
      <c r="M31" s="15"/>
      <c r="N31" s="33">
        <f>IF(H31=0,0,L31/H31)</f>
        <v>-0.32454123306232824</v>
      </c>
      <c r="O31" s="25"/>
      <c r="P31" s="31">
        <f>SUM(P26:P30)</f>
        <v>100271.00000000001</v>
      </c>
      <c r="Q31" s="13"/>
      <c r="R31" s="33">
        <f>IF(P$12=0,0,P31/P$12)</f>
        <v>0</v>
      </c>
      <c r="S31" s="13"/>
      <c r="T31" s="31">
        <f>SUM(T26:T30)</f>
        <v>2038564.1300000001</v>
      </c>
      <c r="U31" s="13"/>
      <c r="V31" s="33">
        <f>IF(T$12=0,0,T31/T$12)</f>
        <v>0</v>
      </c>
      <c r="W31" s="15"/>
      <c r="X31" s="31">
        <f>+P31-T31</f>
        <v>-1938293.1300000001</v>
      </c>
      <c r="Y31" s="15"/>
      <c r="Z31" s="33">
        <f>IF(T31=0,0,X31/T31)</f>
        <v>-0.95081292831342035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3">
      <c r="A33" s="9"/>
      <c r="B33" s="60">
        <v>44575.854584687499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3">
      <c r="A34" s="9"/>
      <c r="B34" s="57" t="s">
        <v>56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3">
      <c r="A35" s="9"/>
      <c r="B35" s="59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3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outlinePr summaryBelow="0" summaryRight="0"/>
  </sheetPr>
  <dimension ref="A2:Z12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","326", " - ", "2nd Street Store")</f>
        <v>Department 326 - 2nd Street Store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57501.1</v>
      </c>
      <c r="E12" s="4"/>
      <c r="F12" s="12"/>
      <c r="G12" s="4"/>
      <c r="H12" s="4">
        <f>SUM(OSRRefH13x_0)</f>
        <v>38901.969999999987</v>
      </c>
      <c r="I12" s="4"/>
      <c r="J12" s="12"/>
      <c r="K12" s="4"/>
      <c r="L12" s="4">
        <f t="shared" ref="L12:L36" si="0">+D12-H12</f>
        <v>18599.130000000012</v>
      </c>
      <c r="M12" s="4"/>
      <c r="N12" s="12">
        <f t="shared" ref="N12:N36" si="1">IF(H12=0,0,L12/H12)</f>
        <v>0.47810252282853588</v>
      </c>
      <c r="O12" s="10"/>
      <c r="P12" s="4">
        <f>SUM(OSRRefP13x_0)</f>
        <v>204714.58</v>
      </c>
      <c r="Q12" s="4"/>
      <c r="R12" s="12"/>
      <c r="S12" s="4"/>
      <c r="T12" s="4">
        <f>SUM(OSRRefT13x_0)</f>
        <v>144917.09</v>
      </c>
      <c r="U12" s="4"/>
      <c r="V12" s="12"/>
      <c r="W12" s="4"/>
      <c r="X12" s="4">
        <f t="shared" ref="X12:X36" si="2">+P12-T12</f>
        <v>59797.489999999991</v>
      </c>
      <c r="Y12" s="4"/>
      <c r="Z12" s="12">
        <f t="shared" ref="Z12:Z36" si="3">IF(T12=0,0,X12/T12)</f>
        <v>0.41263242313242693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--63783.79</f>
        <v>63783.79</v>
      </c>
      <c r="E13" s="2"/>
      <c r="F13" s="19"/>
      <c r="G13" s="2"/>
      <c r="H13" s="2">
        <f>-499.35</f>
        <v>-499.35</v>
      </c>
      <c r="I13" s="2"/>
      <c r="J13" s="19"/>
      <c r="K13" s="2"/>
      <c r="L13" s="2">
        <f t="shared" si="0"/>
        <v>64283.14</v>
      </c>
      <c r="M13" s="2"/>
      <c r="N13" s="19">
        <f t="shared" si="1"/>
        <v>-128.733633723841</v>
      </c>
      <c r="O13" s="11"/>
      <c r="P13" s="2">
        <f>--216024.67</f>
        <v>216024.67</v>
      </c>
      <c r="Q13" s="2"/>
      <c r="R13" s="19"/>
      <c r="S13" s="2"/>
      <c r="T13" s="2">
        <f>-3343.71</f>
        <v>-3343.71</v>
      </c>
      <c r="U13" s="2"/>
      <c r="V13" s="19"/>
      <c r="W13" s="2"/>
      <c r="X13" s="2">
        <f t="shared" si="2"/>
        <v>219368.38</v>
      </c>
      <c r="Y13" s="2"/>
      <c r="Z13" s="19">
        <f t="shared" si="3"/>
        <v>-65.606281645238369</v>
      </c>
    </row>
    <row r="14" spans="1:26" s="24" customFormat="1" hidden="1" outlineLevel="1" x14ac:dyDescent="0.3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22" si="4">0</f>
        <v>0</v>
      </c>
      <c r="E14" s="2"/>
      <c r="F14" s="19"/>
      <c r="G14" s="2"/>
      <c r="H14" s="2">
        <f>--75.18</f>
        <v>75.180000000000007</v>
      </c>
      <c r="I14" s="2"/>
      <c r="J14" s="19"/>
      <c r="K14" s="2"/>
      <c r="L14" s="2">
        <f t="shared" si="0"/>
        <v>-75.180000000000007</v>
      </c>
      <c r="M14" s="2"/>
      <c r="N14" s="19">
        <f t="shared" si="1"/>
        <v>-1</v>
      </c>
      <c r="O14" s="11"/>
      <c r="P14" s="2">
        <f t="shared" ref="P14:P22" si="5">0</f>
        <v>0</v>
      </c>
      <c r="Q14" s="2"/>
      <c r="R14" s="19"/>
      <c r="S14" s="2"/>
      <c r="T14" s="2">
        <f>--132.88</f>
        <v>132.88</v>
      </c>
      <c r="U14" s="2"/>
      <c r="V14" s="19"/>
      <c r="W14" s="2"/>
      <c r="X14" s="2">
        <f t="shared" si="2"/>
        <v>-132.88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>--180.43</f>
        <v>180.43</v>
      </c>
      <c r="I15" s="2"/>
      <c r="J15" s="19"/>
      <c r="K15" s="2"/>
      <c r="L15" s="2">
        <f t="shared" si="0"/>
        <v>-180.43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--230.67</f>
        <v>230.67</v>
      </c>
      <c r="U15" s="2"/>
      <c r="V15" s="19"/>
      <c r="W15" s="2"/>
      <c r="X15" s="2">
        <f t="shared" si="2"/>
        <v>-230.67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>
        <f>--26.24</f>
        <v>26.24</v>
      </c>
      <c r="I16" s="2"/>
      <c r="J16" s="19"/>
      <c r="K16" s="2"/>
      <c r="L16" s="2">
        <f t="shared" si="0"/>
        <v>-26.24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--26.24</f>
        <v>26.24</v>
      </c>
      <c r="U16" s="2"/>
      <c r="V16" s="19"/>
      <c r="W16" s="2"/>
      <c r="X16" s="2">
        <f t="shared" si="2"/>
        <v>-26.24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 t="shared" si="4"/>
        <v>0</v>
      </c>
      <c r="E17" s="2"/>
      <c r="F17" s="19"/>
      <c r="G17" s="2"/>
      <c r="H17" s="2">
        <f>--30322.95</f>
        <v>30322.95</v>
      </c>
      <c r="I17" s="2"/>
      <c r="J17" s="19"/>
      <c r="K17" s="2"/>
      <c r="L17" s="2">
        <f t="shared" si="0"/>
        <v>-30322.95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--118863.94</f>
        <v>118863.94</v>
      </c>
      <c r="U17" s="2"/>
      <c r="V17" s="19"/>
      <c r="W17" s="2"/>
      <c r="X17" s="2">
        <f t="shared" si="2"/>
        <v>-118863.94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 t="shared" si="4"/>
        <v>0</v>
      </c>
      <c r="E18" s="2"/>
      <c r="F18" s="19"/>
      <c r="G18" s="2"/>
      <c r="H18" s="2">
        <f>--5245.23</f>
        <v>5245.23</v>
      </c>
      <c r="I18" s="2"/>
      <c r="J18" s="19"/>
      <c r="K18" s="2"/>
      <c r="L18" s="2">
        <f t="shared" si="0"/>
        <v>-5245.23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--18947.42</f>
        <v>18947.419999999998</v>
      </c>
      <c r="U18" s="2"/>
      <c r="V18" s="19"/>
      <c r="W18" s="2"/>
      <c r="X18" s="2">
        <f t="shared" si="2"/>
        <v>-18947.419999999998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 t="shared" si="4"/>
        <v>0</v>
      </c>
      <c r="E19" s="2"/>
      <c r="F19" s="19"/>
      <c r="G19" s="2"/>
      <c r="H19" s="2">
        <f>--1146.09</f>
        <v>1146.0899999999999</v>
      </c>
      <c r="I19" s="2"/>
      <c r="J19" s="19"/>
      <c r="K19" s="2"/>
      <c r="L19" s="2">
        <f t="shared" si="0"/>
        <v>-1146.0899999999999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--6153.94</f>
        <v>6153.94</v>
      </c>
      <c r="U19" s="2"/>
      <c r="V19" s="19"/>
      <c r="W19" s="2"/>
      <c r="X19" s="2">
        <f t="shared" si="2"/>
        <v>-6153.94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 t="shared" si="4"/>
        <v>0</v>
      </c>
      <c r="E20" s="2"/>
      <c r="F20" s="19"/>
      <c r="G20" s="2"/>
      <c r="H20" s="2">
        <f>--3369.25</f>
        <v>3369.25</v>
      </c>
      <c r="I20" s="2"/>
      <c r="J20" s="19"/>
      <c r="K20" s="2"/>
      <c r="L20" s="2">
        <f t="shared" si="0"/>
        <v>-3369.25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--6240.23</f>
        <v>6240.23</v>
      </c>
      <c r="U20" s="2"/>
      <c r="V20" s="19"/>
      <c r="W20" s="2"/>
      <c r="X20" s="2">
        <f t="shared" si="2"/>
        <v>-6240.23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 t="shared" si="4"/>
        <v>0</v>
      </c>
      <c r="E21" s="2"/>
      <c r="F21" s="19"/>
      <c r="G21" s="2"/>
      <c r="H21" s="2">
        <f>--612.52</f>
        <v>612.52</v>
      </c>
      <c r="I21" s="2"/>
      <c r="J21" s="19"/>
      <c r="K21" s="2"/>
      <c r="L21" s="2">
        <f t="shared" si="0"/>
        <v>-612.52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--1840.86</f>
        <v>1840.86</v>
      </c>
      <c r="U21" s="2"/>
      <c r="V21" s="19"/>
      <c r="W21" s="2"/>
      <c r="X21" s="2">
        <f t="shared" si="2"/>
        <v>-1840.86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 t="shared" si="4"/>
        <v>0</v>
      </c>
      <c r="E22" s="2"/>
      <c r="F22" s="19"/>
      <c r="G22" s="2"/>
      <c r="H22" s="2">
        <f>--39.9</f>
        <v>39.9</v>
      </c>
      <c r="I22" s="2"/>
      <c r="J22" s="19"/>
      <c r="K22" s="2"/>
      <c r="L22" s="2">
        <f t="shared" si="0"/>
        <v>-39.9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--326.37</f>
        <v>326.37</v>
      </c>
      <c r="U22" s="2"/>
      <c r="V22" s="19"/>
      <c r="W22" s="2"/>
      <c r="X22" s="2">
        <f t="shared" si="2"/>
        <v>-326.37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"4100", " - ", "NON-TAXABLE SALES")</f>
        <v xml:space="preserve">          4100 - NON-TAXABLE SALES</v>
      </c>
      <c r="C23" s="11"/>
      <c r="D23" s="2">
        <f>--11.25</f>
        <v>11.25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11.25</v>
      </c>
      <c r="M23" s="2"/>
      <c r="N23" s="19">
        <f t="shared" si="1"/>
        <v>0</v>
      </c>
      <c r="O23" s="11"/>
      <c r="P23" s="2">
        <f>--153.15</f>
        <v>153.15</v>
      </c>
      <c r="Q23" s="2"/>
      <c r="R23" s="19"/>
      <c r="S23" s="2"/>
      <c r="T23" s="2">
        <f>0</f>
        <v>0</v>
      </c>
      <c r="U23" s="2"/>
      <c r="V23" s="19"/>
      <c r="W23" s="2"/>
      <c r="X23" s="2">
        <f t="shared" si="2"/>
        <v>153.15</v>
      </c>
      <c r="Y23" s="2"/>
      <c r="Z23" s="19">
        <f t="shared" si="3"/>
        <v>0</v>
      </c>
    </row>
    <row r="24" spans="1:26" s="24" customFormat="1" hidden="1" outlineLevel="1" x14ac:dyDescent="0.3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 t="shared" ref="D24:D27" si="6">0</f>
        <v>0</v>
      </c>
      <c r="E24" s="2"/>
      <c r="F24" s="19"/>
      <c r="G24" s="2"/>
      <c r="H24" s="2">
        <f>--1.5</f>
        <v>1.5</v>
      </c>
      <c r="I24" s="2"/>
      <c r="J24" s="19"/>
      <c r="K24" s="2"/>
      <c r="L24" s="2">
        <f t="shared" si="0"/>
        <v>-1.5</v>
      </c>
      <c r="M24" s="2"/>
      <c r="N24" s="19">
        <f t="shared" si="1"/>
        <v>-1</v>
      </c>
      <c r="O24" s="11"/>
      <c r="P24" s="2">
        <f t="shared" ref="P24:P27" si="7">0</f>
        <v>0</v>
      </c>
      <c r="Q24" s="2"/>
      <c r="R24" s="19"/>
      <c r="S24" s="2"/>
      <c r="T24" s="2">
        <f>--37.5</f>
        <v>37.5</v>
      </c>
      <c r="U24" s="2"/>
      <c r="V24" s="19"/>
      <c r="W24" s="2"/>
      <c r="X24" s="2">
        <f t="shared" si="2"/>
        <v>-37.5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 t="shared" si="6"/>
        <v>0</v>
      </c>
      <c r="E25" s="2"/>
      <c r="F25" s="19"/>
      <c r="G25" s="2"/>
      <c r="H25" s="2">
        <f t="shared" ref="H25:H29" si="8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7"/>
        <v>0</v>
      </c>
      <c r="Q25" s="2"/>
      <c r="R25" s="19"/>
      <c r="S25" s="2"/>
      <c r="T25" s="2">
        <f>--9</f>
        <v>9</v>
      </c>
      <c r="U25" s="2"/>
      <c r="V25" s="19"/>
      <c r="W25" s="2"/>
      <c r="X25" s="2">
        <f t="shared" si="2"/>
        <v>-9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"4140", " - ", "NON-TAXABLE SALES-LOGO CLOTHIN")</f>
        <v xml:space="preserve">          4140 - NON-TAXABLE SALES-LOGO CLOTHIN</v>
      </c>
      <c r="C26" s="11"/>
      <c r="D26" s="2">
        <f t="shared" si="6"/>
        <v>0</v>
      </c>
      <c r="E26" s="2"/>
      <c r="F26" s="19"/>
      <c r="G26" s="2"/>
      <c r="H26" s="2">
        <f t="shared" si="8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7"/>
        <v>0</v>
      </c>
      <c r="Q26" s="2"/>
      <c r="R26" s="19"/>
      <c r="S26" s="2"/>
      <c r="T26" s="2">
        <f>--165.78</f>
        <v>165.78</v>
      </c>
      <c r="U26" s="2"/>
      <c r="V26" s="19"/>
      <c r="W26" s="2"/>
      <c r="X26" s="2">
        <f t="shared" si="2"/>
        <v>-165.78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"4145", " - ", "NON-TAXABLE SALES-SPECIAL ORDE")</f>
        <v xml:space="preserve">          4145 - NON-TAXABLE SALES-SPECIAL ORDE</v>
      </c>
      <c r="C27" s="11"/>
      <c r="D27" s="2">
        <f t="shared" si="6"/>
        <v>0</v>
      </c>
      <c r="E27" s="2"/>
      <c r="F27" s="19"/>
      <c r="G27" s="2"/>
      <c r="H27" s="2">
        <f t="shared" si="8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7"/>
        <v>0</v>
      </c>
      <c r="Q27" s="2"/>
      <c r="R27" s="19"/>
      <c r="S27" s="2"/>
      <c r="T27" s="2">
        <f>--7</f>
        <v>7</v>
      </c>
      <c r="U27" s="2"/>
      <c r="V27" s="19"/>
      <c r="W27" s="2"/>
      <c r="X27" s="2">
        <f t="shared" si="2"/>
        <v>-7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"4200", " - ", "TAXABLE RETURNS")</f>
        <v xml:space="preserve">          4200 - TAXABLE RETURNS</v>
      </c>
      <c r="C28" s="11"/>
      <c r="D28" s="2">
        <f>-2107.04</f>
        <v>-2107.04</v>
      </c>
      <c r="E28" s="2"/>
      <c r="F28" s="19"/>
      <c r="G28" s="2"/>
      <c r="H28" s="2">
        <f t="shared" si="8"/>
        <v>0</v>
      </c>
      <c r="I28" s="2"/>
      <c r="J28" s="19"/>
      <c r="K28" s="2"/>
      <c r="L28" s="2">
        <f t="shared" si="0"/>
        <v>-2107.04</v>
      </c>
      <c r="M28" s="2"/>
      <c r="N28" s="19">
        <f t="shared" si="1"/>
        <v>0</v>
      </c>
      <c r="O28" s="11"/>
      <c r="P28" s="2">
        <f>-6779.48</f>
        <v>-6779.48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-6779.48</v>
      </c>
      <c r="Y28" s="2"/>
      <c r="Z28" s="19">
        <f t="shared" si="3"/>
        <v>0</v>
      </c>
    </row>
    <row r="29" spans="1:26" s="24" customFormat="1" hidden="1" outlineLevel="1" x14ac:dyDescent="0.3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 t="shared" ref="D29:D35" si="9">0</f>
        <v>0</v>
      </c>
      <c r="E29" s="2"/>
      <c r="F29" s="19"/>
      <c r="G29" s="2"/>
      <c r="H29" s="2">
        <f t="shared" si="8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ref="P29:P35" si="10">0</f>
        <v>0</v>
      </c>
      <c r="Q29" s="2"/>
      <c r="R29" s="19"/>
      <c r="S29" s="2"/>
      <c r="T29" s="2">
        <f>-27.85</f>
        <v>-27.85</v>
      </c>
      <c r="U29" s="2"/>
      <c r="V29" s="19"/>
      <c r="W29" s="2"/>
      <c r="X29" s="2">
        <f t="shared" si="2"/>
        <v>27.85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 t="shared" si="9"/>
        <v>0</v>
      </c>
      <c r="E30" s="2"/>
      <c r="F30" s="19"/>
      <c r="G30" s="2"/>
      <c r="H30" s="2">
        <f>-9.22</f>
        <v>-9.2200000000000006</v>
      </c>
      <c r="I30" s="2"/>
      <c r="J30" s="19"/>
      <c r="K30" s="2"/>
      <c r="L30" s="2">
        <f t="shared" si="0"/>
        <v>9.2200000000000006</v>
      </c>
      <c r="M30" s="2"/>
      <c r="N30" s="19">
        <f t="shared" si="1"/>
        <v>-1</v>
      </c>
      <c r="O30" s="11"/>
      <c r="P30" s="2">
        <f t="shared" si="10"/>
        <v>0</v>
      </c>
      <c r="Q30" s="2"/>
      <c r="R30" s="19"/>
      <c r="S30" s="2"/>
      <c r="T30" s="2">
        <f>-39.22</f>
        <v>-39.22</v>
      </c>
      <c r="U30" s="2"/>
      <c r="V30" s="19"/>
      <c r="W30" s="2"/>
      <c r="X30" s="2">
        <f t="shared" si="2"/>
        <v>39.22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"4240", " - ", "SALES RETURN TAXABLE-LOGO CLOT")</f>
        <v xml:space="preserve">          4240 - SALES RETURN TAXABLE-LOGO CLOT</v>
      </c>
      <c r="C31" s="11"/>
      <c r="D31" s="2">
        <f t="shared" si="9"/>
        <v>0</v>
      </c>
      <c r="E31" s="2"/>
      <c r="F31" s="19"/>
      <c r="G31" s="2"/>
      <c r="H31" s="2">
        <f>-1318.44</f>
        <v>-1318.44</v>
      </c>
      <c r="I31" s="2"/>
      <c r="J31" s="19"/>
      <c r="K31" s="2"/>
      <c r="L31" s="2">
        <f t="shared" si="0"/>
        <v>1318.44</v>
      </c>
      <c r="M31" s="2"/>
      <c r="N31" s="19">
        <f t="shared" si="1"/>
        <v>-1</v>
      </c>
      <c r="O31" s="11"/>
      <c r="P31" s="2">
        <f t="shared" si="10"/>
        <v>0</v>
      </c>
      <c r="Q31" s="2"/>
      <c r="R31" s="19"/>
      <c r="S31" s="2"/>
      <c r="T31" s="2">
        <f>-4091.47</f>
        <v>-4091.47</v>
      </c>
      <c r="U31" s="2"/>
      <c r="V31" s="19"/>
      <c r="W31" s="2"/>
      <c r="X31" s="2">
        <f t="shared" si="2"/>
        <v>4091.47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"4241", " - ", "SALES RETURN TAXABLE-LOGO GIFT")</f>
        <v xml:space="preserve">          4241 - SALES RETURN TAXABLE-LOGO GIFT</v>
      </c>
      <c r="C32" s="11"/>
      <c r="D32" s="2">
        <f t="shared" si="9"/>
        <v>0</v>
      </c>
      <c r="E32" s="2"/>
      <c r="F32" s="19"/>
      <c r="G32" s="2"/>
      <c r="H32" s="2">
        <f>-124.01</f>
        <v>-124.01</v>
      </c>
      <c r="I32" s="2"/>
      <c r="J32" s="19"/>
      <c r="K32" s="2"/>
      <c r="L32" s="2">
        <f t="shared" si="0"/>
        <v>124.01</v>
      </c>
      <c r="M32" s="2"/>
      <c r="N32" s="19">
        <f t="shared" si="1"/>
        <v>-1</v>
      </c>
      <c r="O32" s="11"/>
      <c r="P32" s="2">
        <f t="shared" si="10"/>
        <v>0</v>
      </c>
      <c r="Q32" s="2"/>
      <c r="R32" s="19"/>
      <c r="S32" s="2"/>
      <c r="T32" s="2">
        <f>-274.41</f>
        <v>-274.41000000000003</v>
      </c>
      <c r="U32" s="2"/>
      <c r="V32" s="19"/>
      <c r="W32" s="2"/>
      <c r="X32" s="2">
        <f t="shared" si="2"/>
        <v>274.41000000000003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"4242", " - ", "SALES RETURN TAXABLE-EVERYDAY")</f>
        <v xml:space="preserve">          4242 - SALES RETURN TAXABLE-EVERYDAY</v>
      </c>
      <c r="C33" s="11"/>
      <c r="D33" s="2">
        <f t="shared" si="9"/>
        <v>0</v>
      </c>
      <c r="E33" s="2"/>
      <c r="F33" s="19"/>
      <c r="G33" s="2"/>
      <c r="H33" s="2">
        <f>-136.37</f>
        <v>-136.37</v>
      </c>
      <c r="I33" s="2"/>
      <c r="J33" s="19"/>
      <c r="K33" s="2"/>
      <c r="L33" s="2">
        <f t="shared" si="0"/>
        <v>136.37</v>
      </c>
      <c r="M33" s="2"/>
      <c r="N33" s="19">
        <f t="shared" si="1"/>
        <v>-1</v>
      </c>
      <c r="O33" s="11"/>
      <c r="P33" s="2">
        <f t="shared" si="10"/>
        <v>0</v>
      </c>
      <c r="Q33" s="2"/>
      <c r="R33" s="19"/>
      <c r="S33" s="2"/>
      <c r="T33" s="2">
        <f>-251.15</f>
        <v>-251.15</v>
      </c>
      <c r="U33" s="2"/>
      <c r="V33" s="19"/>
      <c r="W33" s="2"/>
      <c r="X33" s="2">
        <f t="shared" si="2"/>
        <v>251.15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"4244", " - ", "SALES RETURN TAXABLE-ACCESSORI")</f>
        <v xml:space="preserve">          4244 - SALES RETURN TAXABLE-ACCESSORI</v>
      </c>
      <c r="C34" s="11"/>
      <c r="D34" s="2">
        <f t="shared" si="9"/>
        <v>0</v>
      </c>
      <c r="E34" s="2"/>
      <c r="F34" s="19"/>
      <c r="G34" s="2"/>
      <c r="H34" s="2">
        <f>-29.93</f>
        <v>-29.93</v>
      </c>
      <c r="I34" s="2"/>
      <c r="J34" s="19"/>
      <c r="K34" s="2"/>
      <c r="L34" s="2">
        <f t="shared" si="0"/>
        <v>29.93</v>
      </c>
      <c r="M34" s="2"/>
      <c r="N34" s="19">
        <f t="shared" si="1"/>
        <v>-1</v>
      </c>
      <c r="O34" s="11"/>
      <c r="P34" s="2">
        <f t="shared" si="10"/>
        <v>0</v>
      </c>
      <c r="Q34" s="2"/>
      <c r="R34" s="19"/>
      <c r="S34" s="2"/>
      <c r="T34" s="2">
        <f>-29.93</f>
        <v>-29.93</v>
      </c>
      <c r="U34" s="2"/>
      <c r="V34" s="19"/>
      <c r="W34" s="2"/>
      <c r="X34" s="2">
        <f t="shared" si="2"/>
        <v>29.93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"4245", " - ", "SALES RETURN TAXABLE-SPECIAL O")</f>
        <v xml:space="preserve">          4245 - SALES RETURN TAXABLE-SPECIAL O</v>
      </c>
      <c r="C35" s="11"/>
      <c r="D35" s="2">
        <f t="shared" si="9"/>
        <v>0</v>
      </c>
      <c r="E35" s="2"/>
      <c r="F35" s="19"/>
      <c r="G35" s="2"/>
      <c r="H35" s="2">
        <f t="shared" ref="H35:H36" si="11"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 t="shared" si="10"/>
        <v>0</v>
      </c>
      <c r="Q35" s="2"/>
      <c r="R35" s="19"/>
      <c r="S35" s="2"/>
      <c r="T35" s="2">
        <f>-7</f>
        <v>-7</v>
      </c>
      <c r="U35" s="2"/>
      <c r="V35" s="19"/>
      <c r="W35" s="2"/>
      <c r="X35" s="2">
        <f t="shared" si="2"/>
        <v>7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"4500", " - ", "SALES DISCOUNT")</f>
        <v xml:space="preserve">          4500 - SALES DISCOUNT</v>
      </c>
      <c r="C36" s="11"/>
      <c r="D36" s="2">
        <f>-4186.9</f>
        <v>-4186.8999999999996</v>
      </c>
      <c r="E36" s="2"/>
      <c r="F36" s="19"/>
      <c r="G36" s="2"/>
      <c r="H36" s="2">
        <f t="shared" si="11"/>
        <v>0</v>
      </c>
      <c r="I36" s="2"/>
      <c r="J36" s="19"/>
      <c r="K36" s="2"/>
      <c r="L36" s="2">
        <f t="shared" si="0"/>
        <v>-4186.8999999999996</v>
      </c>
      <c r="M36" s="2"/>
      <c r="N36" s="19">
        <f t="shared" si="1"/>
        <v>0</v>
      </c>
      <c r="O36" s="11"/>
      <c r="P36" s="2">
        <f>-4683.76</f>
        <v>-4683.76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-4683.76</v>
      </c>
      <c r="Y36" s="2"/>
      <c r="Z36" s="19">
        <f t="shared" si="3"/>
        <v>0</v>
      </c>
    </row>
    <row r="37" spans="1:26" x14ac:dyDescent="0.3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3">
      <c r="A38" s="10"/>
      <c r="B38" s="25" t="s">
        <v>256</v>
      </c>
      <c r="C38" s="10"/>
      <c r="D38" s="4">
        <f>SUM(OSRRefD16x_0)</f>
        <v>26614.14</v>
      </c>
      <c r="E38" s="4"/>
      <c r="F38" s="12">
        <f t="shared" ref="F38:F45" si="12">IF(D$12=0,0,D38/D$12)</f>
        <v>0.46284575425513597</v>
      </c>
      <c r="G38" s="4"/>
      <c r="H38" s="4">
        <f>SUM(OSRRefH16x_0)</f>
        <v>19926</v>
      </c>
      <c r="I38" s="4"/>
      <c r="J38" s="12">
        <f t="shared" ref="J38:J45" si="13">IF(H$12=0,0,H38/H$12)</f>
        <v>0.51221056414366695</v>
      </c>
      <c r="K38" s="4"/>
      <c r="L38" s="4">
        <f t="shared" ref="L38:L45" si="14">+D38-H38</f>
        <v>6688.1399999999994</v>
      </c>
      <c r="M38" s="4"/>
      <c r="N38" s="12">
        <f t="shared" ref="N38:N45" si="15">IF(H38=0,0,L38/H38)</f>
        <v>0.33564890093345373</v>
      </c>
      <c r="O38" s="10"/>
      <c r="P38" s="4">
        <f>SUM(OSRRefP16x_0)</f>
        <v>96763.67</v>
      </c>
      <c r="Q38" s="4"/>
      <c r="R38" s="12">
        <f t="shared" ref="R38:R45" si="16">IF(P$12=0,0,P38/P$12)</f>
        <v>0.47267600578327151</v>
      </c>
      <c r="S38" s="4"/>
      <c r="T38" s="4">
        <f>SUM(OSRRefT16x_0)</f>
        <v>63540</v>
      </c>
      <c r="U38" s="4"/>
      <c r="V38" s="12">
        <f t="shared" ref="V38:V45" si="17">IF(T$12=0,0,T38/T$12)</f>
        <v>0.43845760358560887</v>
      </c>
      <c r="W38" s="4"/>
      <c r="X38" s="4">
        <f t="shared" ref="X38:X45" si="18">+P38-T38</f>
        <v>33223.67</v>
      </c>
      <c r="Y38" s="4"/>
      <c r="Z38" s="12">
        <f t="shared" ref="Z38:Z45" si="19">IF(T38=0,0,X38/T38)</f>
        <v>0.52287802958766127</v>
      </c>
    </row>
    <row r="39" spans="1:26" s="24" customFormat="1" hidden="1" outlineLevel="1" x14ac:dyDescent="0.3">
      <c r="A39" s="44"/>
      <c r="B39" s="11" t="str">
        <f>CONCATENATE("          ", "5000", " - ", "PURCHASES @ COST")</f>
        <v xml:space="preserve">          5000 - PURCHASES @ COST</v>
      </c>
      <c r="C39" s="11"/>
      <c r="D39" s="2">
        <v>507.6</v>
      </c>
      <c r="E39" s="2"/>
      <c r="F39" s="19">
        <f t="shared" si="12"/>
        <v>8.8276572100359826E-3</v>
      </c>
      <c r="G39" s="2"/>
      <c r="H39" s="2"/>
      <c r="I39" s="2"/>
      <c r="J39" s="19">
        <f t="shared" si="13"/>
        <v>0</v>
      </c>
      <c r="K39" s="2"/>
      <c r="L39" s="2">
        <f t="shared" si="14"/>
        <v>507.6</v>
      </c>
      <c r="M39" s="2"/>
      <c r="N39" s="19">
        <f t="shared" si="15"/>
        <v>0</v>
      </c>
      <c r="O39" s="11"/>
      <c r="P39" s="2">
        <v>1681.3</v>
      </c>
      <c r="Q39" s="2"/>
      <c r="R39" s="19">
        <f t="shared" si="16"/>
        <v>8.2128981726655725E-3</v>
      </c>
      <c r="S39" s="2"/>
      <c r="T39" s="2"/>
      <c r="U39" s="2"/>
      <c r="V39" s="19">
        <f t="shared" si="17"/>
        <v>0</v>
      </c>
      <c r="W39" s="2"/>
      <c r="X39" s="2">
        <f t="shared" si="18"/>
        <v>1681.3</v>
      </c>
      <c r="Y39" s="2"/>
      <c r="Z39" s="19">
        <f t="shared" si="19"/>
        <v>0</v>
      </c>
    </row>
    <row r="40" spans="1:26" s="24" customFormat="1" hidden="1" outlineLevel="1" x14ac:dyDescent="0.3">
      <c r="A40" s="44"/>
      <c r="B40" s="11" t="str">
        <f>CONCATENATE("          ", "5040", " - ", "PURCHASES @ COST-LOGO CLOTHING")</f>
        <v xml:space="preserve">          5040 - PURCHASES @ COST-LOGO CLOTHING</v>
      </c>
      <c r="C40" s="11"/>
      <c r="D40" s="2"/>
      <c r="E40" s="2"/>
      <c r="F40" s="19">
        <f t="shared" si="12"/>
        <v>0</v>
      </c>
      <c r="G40" s="2"/>
      <c r="H40" s="2"/>
      <c r="I40" s="2"/>
      <c r="J40" s="19">
        <f t="shared" si="13"/>
        <v>0</v>
      </c>
      <c r="K40" s="2"/>
      <c r="L40" s="2">
        <f t="shared" si="14"/>
        <v>0</v>
      </c>
      <c r="M40" s="2"/>
      <c r="N40" s="19">
        <f t="shared" si="15"/>
        <v>0</v>
      </c>
      <c r="O40" s="11"/>
      <c r="P40" s="2"/>
      <c r="Q40" s="2"/>
      <c r="R40" s="19">
        <f t="shared" si="16"/>
        <v>0</v>
      </c>
      <c r="S40" s="2"/>
      <c r="T40" s="2">
        <v>0</v>
      </c>
      <c r="U40" s="2"/>
      <c r="V40" s="19">
        <f t="shared" si="17"/>
        <v>0</v>
      </c>
      <c r="W40" s="2"/>
      <c r="X40" s="2">
        <f t="shared" si="18"/>
        <v>0</v>
      </c>
      <c r="Y40" s="2"/>
      <c r="Z40" s="19">
        <f t="shared" si="19"/>
        <v>0</v>
      </c>
    </row>
    <row r="41" spans="1:26" s="24" customFormat="1" hidden="1" outlineLevel="1" x14ac:dyDescent="0.3">
      <c r="A41" s="44"/>
      <c r="B41" s="11" t="str">
        <f>CONCATENATE("          ", "5041", " - ", "PURCHASES @ COST-LOGO GIFTS")</f>
        <v xml:space="preserve">          5041 - PURCHASES @ COST-LOGO GIFTS</v>
      </c>
      <c r="C41" s="11"/>
      <c r="D41" s="2"/>
      <c r="E41" s="2"/>
      <c r="F41" s="19">
        <f t="shared" si="12"/>
        <v>0</v>
      </c>
      <c r="G41" s="2"/>
      <c r="H41" s="2"/>
      <c r="I41" s="2"/>
      <c r="J41" s="19">
        <f t="shared" si="13"/>
        <v>0</v>
      </c>
      <c r="K41" s="2"/>
      <c r="L41" s="2">
        <f t="shared" si="14"/>
        <v>0</v>
      </c>
      <c r="M41" s="2"/>
      <c r="N41" s="19">
        <f t="shared" si="15"/>
        <v>0</v>
      </c>
      <c r="O41" s="11"/>
      <c r="P41" s="2"/>
      <c r="Q41" s="2"/>
      <c r="R41" s="19">
        <f t="shared" si="16"/>
        <v>0</v>
      </c>
      <c r="S41" s="2"/>
      <c r="T41" s="2">
        <v>207.6</v>
      </c>
      <c r="U41" s="2"/>
      <c r="V41" s="19">
        <f t="shared" si="17"/>
        <v>1.4325432562853698E-3</v>
      </c>
      <c r="W41" s="2"/>
      <c r="X41" s="2">
        <f t="shared" si="18"/>
        <v>-207.6</v>
      </c>
      <c r="Y41" s="2"/>
      <c r="Z41" s="19">
        <f t="shared" si="19"/>
        <v>-1</v>
      </c>
    </row>
    <row r="42" spans="1:26" s="24" customFormat="1" hidden="1" outlineLevel="1" x14ac:dyDescent="0.3">
      <c r="A42" s="44"/>
      <c r="B42" s="11" t="str">
        <f>CONCATENATE("          ", "5042", " - ", "PURCHASES @ COST-EVERYDAY GIFT")</f>
        <v xml:space="preserve">          5042 - PURCHASES @ COST-EVERYDAY GIFT</v>
      </c>
      <c r="C42" s="11"/>
      <c r="D42" s="2"/>
      <c r="E42" s="2"/>
      <c r="F42" s="19">
        <f t="shared" si="12"/>
        <v>0</v>
      </c>
      <c r="G42" s="2"/>
      <c r="H42" s="2"/>
      <c r="I42" s="2"/>
      <c r="J42" s="19">
        <f t="shared" si="13"/>
        <v>0</v>
      </c>
      <c r="K42" s="2"/>
      <c r="L42" s="2">
        <f t="shared" si="14"/>
        <v>0</v>
      </c>
      <c r="M42" s="2"/>
      <c r="N42" s="19">
        <f t="shared" si="15"/>
        <v>0</v>
      </c>
      <c r="O42" s="11"/>
      <c r="P42" s="2"/>
      <c r="Q42" s="2"/>
      <c r="R42" s="19">
        <f t="shared" si="16"/>
        <v>0</v>
      </c>
      <c r="S42" s="2"/>
      <c r="T42" s="2">
        <v>7946.04</v>
      </c>
      <c r="U42" s="2"/>
      <c r="V42" s="19">
        <f t="shared" si="17"/>
        <v>5.4831628208929672E-2</v>
      </c>
      <c r="W42" s="2"/>
      <c r="X42" s="2">
        <f t="shared" si="18"/>
        <v>-7946.04</v>
      </c>
      <c r="Y42" s="2"/>
      <c r="Z42" s="19">
        <f t="shared" si="19"/>
        <v>-1</v>
      </c>
    </row>
    <row r="43" spans="1:26" s="24" customFormat="1" hidden="1" outlineLevel="1" x14ac:dyDescent="0.3">
      <c r="A43" s="44"/>
      <c r="B43" s="11" t="str">
        <f>CONCATENATE("          ", "5200", " - ", "PURCHASES OFFSET")</f>
        <v xml:space="preserve">          5200 - PURCHASES OFFSET</v>
      </c>
      <c r="C43" s="11"/>
      <c r="D43" s="2">
        <v>-548.51</v>
      </c>
      <c r="E43" s="2"/>
      <c r="F43" s="19">
        <f t="shared" si="12"/>
        <v>-9.5391218602774563E-3</v>
      </c>
      <c r="G43" s="2"/>
      <c r="H43" s="2"/>
      <c r="I43" s="2"/>
      <c r="J43" s="19">
        <f t="shared" si="13"/>
        <v>0</v>
      </c>
      <c r="K43" s="2"/>
      <c r="L43" s="2">
        <f t="shared" si="14"/>
        <v>-548.51</v>
      </c>
      <c r="M43" s="2"/>
      <c r="N43" s="19">
        <f t="shared" si="15"/>
        <v>0</v>
      </c>
      <c r="O43" s="11"/>
      <c r="P43" s="2">
        <v>-1774.29</v>
      </c>
      <c r="Q43" s="2"/>
      <c r="R43" s="19">
        <f t="shared" si="16"/>
        <v>-8.6671403668463678E-3</v>
      </c>
      <c r="S43" s="2"/>
      <c r="T43" s="2">
        <v>-8153.64</v>
      </c>
      <c r="U43" s="2"/>
      <c r="V43" s="19">
        <f t="shared" si="17"/>
        <v>-5.6264171465215042E-2</v>
      </c>
      <c r="W43" s="2"/>
      <c r="X43" s="2">
        <f t="shared" si="18"/>
        <v>6379.35</v>
      </c>
      <c r="Y43" s="2"/>
      <c r="Z43" s="19">
        <f t="shared" si="19"/>
        <v>-0.78239289446186</v>
      </c>
    </row>
    <row r="44" spans="1:26" s="24" customFormat="1" hidden="1" outlineLevel="1" x14ac:dyDescent="0.3">
      <c r="A44" s="44"/>
      <c r="B44" s="11" t="str">
        <f>CONCATENATE("          ", "5300", " - ", "COG$ OFFSET")</f>
        <v xml:space="preserve">          5300 - COG$ OFFSET</v>
      </c>
      <c r="C44" s="11"/>
      <c r="D44" s="2">
        <v>26614.14</v>
      </c>
      <c r="E44" s="2"/>
      <c r="F44" s="19">
        <f t="shared" si="12"/>
        <v>0.46284575425513597</v>
      </c>
      <c r="G44" s="2"/>
      <c r="H44" s="2">
        <v>19926</v>
      </c>
      <c r="I44" s="2"/>
      <c r="J44" s="19">
        <f t="shared" si="13"/>
        <v>0.51221056414366695</v>
      </c>
      <c r="K44" s="2"/>
      <c r="L44" s="2">
        <f t="shared" si="14"/>
        <v>6688.1399999999994</v>
      </c>
      <c r="M44" s="2"/>
      <c r="N44" s="19">
        <f t="shared" si="15"/>
        <v>0.33564890093345373</v>
      </c>
      <c r="O44" s="11"/>
      <c r="P44" s="2">
        <v>96763.67</v>
      </c>
      <c r="Q44" s="2"/>
      <c r="R44" s="19">
        <f t="shared" si="16"/>
        <v>0.47267600578327151</v>
      </c>
      <c r="S44" s="2"/>
      <c r="T44" s="2">
        <v>63540</v>
      </c>
      <c r="U44" s="2"/>
      <c r="V44" s="19">
        <f t="shared" si="17"/>
        <v>0.43845760358560887</v>
      </c>
      <c r="W44" s="2"/>
      <c r="X44" s="2">
        <f t="shared" si="18"/>
        <v>33223.67</v>
      </c>
      <c r="Y44" s="2"/>
      <c r="Z44" s="19">
        <f t="shared" si="19"/>
        <v>0.52287802958766127</v>
      </c>
    </row>
    <row r="45" spans="1:26" s="24" customFormat="1" hidden="1" outlineLevel="1" x14ac:dyDescent="0.3">
      <c r="A45" s="44"/>
      <c r="B45" s="11" t="str">
        <f>CONCATENATE("          ", "5500", " - ", "FREIGHT-IN")</f>
        <v xml:space="preserve">          5500 - FREIGHT-IN</v>
      </c>
      <c r="C45" s="11"/>
      <c r="D45" s="2">
        <v>40.909999999999997</v>
      </c>
      <c r="E45" s="2"/>
      <c r="F45" s="19">
        <f t="shared" si="12"/>
        <v>7.114646502414736E-4</v>
      </c>
      <c r="G45" s="2"/>
      <c r="H45" s="2"/>
      <c r="I45" s="2"/>
      <c r="J45" s="19">
        <f t="shared" si="13"/>
        <v>0</v>
      </c>
      <c r="K45" s="2"/>
      <c r="L45" s="2">
        <f t="shared" si="14"/>
        <v>40.909999999999997</v>
      </c>
      <c r="M45" s="2"/>
      <c r="N45" s="19">
        <f t="shared" si="15"/>
        <v>0</v>
      </c>
      <c r="O45" s="11"/>
      <c r="P45" s="2">
        <v>92.99</v>
      </c>
      <c r="Q45" s="2"/>
      <c r="R45" s="19">
        <f t="shared" si="16"/>
        <v>4.5424219418079551E-4</v>
      </c>
      <c r="S45" s="2"/>
      <c r="T45" s="2"/>
      <c r="U45" s="2"/>
      <c r="V45" s="19">
        <f t="shared" si="17"/>
        <v>0</v>
      </c>
      <c r="W45" s="2"/>
      <c r="X45" s="2">
        <f t="shared" si="18"/>
        <v>92.99</v>
      </c>
      <c r="Y45" s="2"/>
      <c r="Z45" s="19">
        <f t="shared" si="19"/>
        <v>0</v>
      </c>
    </row>
    <row r="46" spans="1:26" x14ac:dyDescent="0.3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x14ac:dyDescent="0.3">
      <c r="A47" s="10"/>
      <c r="B47" s="26" t="s">
        <v>107</v>
      </c>
      <c r="C47" s="26"/>
      <c r="D47" s="20">
        <f>D12-D38</f>
        <v>30886.959999999999</v>
      </c>
      <c r="E47" s="13"/>
      <c r="F47" s="21">
        <f>IF(D$12=0,0,D47/D$12)</f>
        <v>0.53715424574486403</v>
      </c>
      <c r="G47" s="13"/>
      <c r="H47" s="20">
        <f>H12-H38</f>
        <v>18975.969999999987</v>
      </c>
      <c r="I47" s="13"/>
      <c r="J47" s="21">
        <f>IF(H$12=0,0,H47/H$12)</f>
        <v>0.48778943585633305</v>
      </c>
      <c r="K47" s="15"/>
      <c r="L47" s="20">
        <f>+D47-H47</f>
        <v>11910.990000000013</v>
      </c>
      <c r="M47" s="15"/>
      <c r="N47" s="21">
        <f>IF(H47=0,0,L47/H47)</f>
        <v>0.62768807075475042</v>
      </c>
      <c r="O47" s="25"/>
      <c r="P47" s="20">
        <f>P12-P38</f>
        <v>107950.90999999999</v>
      </c>
      <c r="Q47" s="13"/>
      <c r="R47" s="21">
        <f>IF(P$12=0,0,P47/P$12)</f>
        <v>0.52732399421672849</v>
      </c>
      <c r="S47" s="13"/>
      <c r="T47" s="20">
        <f>T12-T38</f>
        <v>81377.09</v>
      </c>
      <c r="U47" s="13"/>
      <c r="V47" s="21">
        <f>IF(T$12=0,0,T47/T$12)</f>
        <v>0.56154239641439119</v>
      </c>
      <c r="W47" s="15"/>
      <c r="X47" s="20">
        <f>+P47-T47</f>
        <v>26573.819999999992</v>
      </c>
      <c r="Y47" s="15"/>
      <c r="Z47" s="21">
        <f>IF(T47=0,0,X47/T47)</f>
        <v>0.32655161299083063</v>
      </c>
    </row>
    <row r="48" spans="1:26" x14ac:dyDescent="0.3">
      <c r="A48" s="9"/>
      <c r="B48" s="10"/>
      <c r="C48" s="9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x14ac:dyDescent="0.3">
      <c r="A49" s="10"/>
      <c r="B49" s="25" t="s">
        <v>294</v>
      </c>
      <c r="C49" s="10"/>
      <c r="D49" s="22">
        <f>SUM(OSRRefD22x_0)</f>
        <v>19088.780000000002</v>
      </c>
      <c r="E49" s="22"/>
      <c r="F49" s="34">
        <f t="shared" ref="F49:F58" si="20">IF(D$12=0,0,D49/D$12)</f>
        <v>0.33197243183173891</v>
      </c>
      <c r="G49" s="22"/>
      <c r="H49" s="22">
        <f>SUM(OSRRefH22x_0)</f>
        <v>23595.63</v>
      </c>
      <c r="I49" s="22"/>
      <c r="J49" s="34">
        <f t="shared" ref="J49:J58" si="21">IF(H$12=0,0,H49/H$12)</f>
        <v>0.60654074845052852</v>
      </c>
      <c r="K49" s="4"/>
      <c r="L49" s="22">
        <f t="shared" ref="L49:L58" si="22">+D49-H49</f>
        <v>-4506.8499999999985</v>
      </c>
      <c r="M49" s="4"/>
      <c r="N49" s="34">
        <f t="shared" ref="N49:N58" si="23">IF(H49=0,0,L49/H49)</f>
        <v>-0.19100358837632214</v>
      </c>
      <c r="O49" s="10"/>
      <c r="P49" s="22">
        <f>SUM(OSRRefP22x_0)</f>
        <v>103296.14</v>
      </c>
      <c r="Q49" s="22"/>
      <c r="R49" s="34">
        <f t="shared" ref="R49:R58" si="24">IF(P$12=0,0,P49/P$12)</f>
        <v>0.50458614134860358</v>
      </c>
      <c r="S49" s="22"/>
      <c r="T49" s="22">
        <f>SUM(OSRRefT22x_0)</f>
        <v>130021.42000000001</v>
      </c>
      <c r="U49" s="22"/>
      <c r="V49" s="34">
        <f t="shared" ref="V49:V58" si="25">IF(T$12=0,0,T49/T$12)</f>
        <v>0.89721246817749389</v>
      </c>
      <c r="W49" s="4"/>
      <c r="X49" s="22">
        <f t="shared" ref="X49:X58" si="26">+P49-T49</f>
        <v>-26725.280000000013</v>
      </c>
      <c r="Y49" s="4"/>
      <c r="Z49" s="34">
        <f t="shared" ref="Z49:Z58" si="27">IF(T49=0,0,X49/T49)</f>
        <v>-0.20554520939703635</v>
      </c>
    </row>
    <row r="50" spans="1:26" s="29" customFormat="1" outlineLevel="1" collapsed="1" x14ac:dyDescent="0.3">
      <c r="A50" s="27"/>
      <c r="B50" s="14" t="str">
        <f>CONCATENATE("     ","*Benefits                                         ")</f>
        <v xml:space="preserve">     *Benefits                                         </v>
      </c>
      <c r="C50" s="14"/>
      <c r="D50" s="1">
        <f>SUM(OSRRefD22_0x_0)</f>
        <v>1169.6900000000003</v>
      </c>
      <c r="E50" s="1"/>
      <c r="F50" s="5">
        <f t="shared" si="20"/>
        <v>2.0342045630431422E-2</v>
      </c>
      <c r="G50" s="1"/>
      <c r="H50" s="1">
        <f>SUM(OSRRefH22_0x_0)</f>
        <v>5077.6499999999996</v>
      </c>
      <c r="I50" s="1"/>
      <c r="J50" s="5">
        <f t="shared" si="21"/>
        <v>0.13052423823266537</v>
      </c>
      <c r="K50" s="1"/>
      <c r="L50" s="1">
        <f t="shared" si="22"/>
        <v>-3907.9599999999991</v>
      </c>
      <c r="M50" s="1"/>
      <c r="N50" s="5">
        <f t="shared" si="23"/>
        <v>-0.76963949858694458</v>
      </c>
      <c r="O50" s="14"/>
      <c r="P50" s="1">
        <f>SUM(OSRRefP22_0x_0)</f>
        <v>7591.4699999999993</v>
      </c>
      <c r="Q50" s="1"/>
      <c r="R50" s="5">
        <f t="shared" si="24"/>
        <v>3.7083191631978533E-2</v>
      </c>
      <c r="S50" s="1"/>
      <c r="T50" s="1">
        <f>SUM(OSRRefT22_0x_0)</f>
        <v>31127.07</v>
      </c>
      <c r="U50" s="1"/>
      <c r="V50" s="5">
        <f t="shared" si="25"/>
        <v>0.21479226501166979</v>
      </c>
      <c r="W50" s="1"/>
      <c r="X50" s="1">
        <f t="shared" si="26"/>
        <v>-23535.599999999999</v>
      </c>
      <c r="Y50" s="1"/>
      <c r="Z50" s="5">
        <f t="shared" si="27"/>
        <v>-0.7561135693144263</v>
      </c>
    </row>
    <row r="51" spans="1:26" s="24" customFormat="1" hidden="1" outlineLevel="2" x14ac:dyDescent="0.3">
      <c r="A51" s="28"/>
      <c r="B51" s="11" t="str">
        <f>CONCATENATE("          ", "6111", " - ", "F.I.C.A.")</f>
        <v xml:space="preserve">          6111 - F.I.C.A.</v>
      </c>
      <c r="C51" s="11"/>
      <c r="D51" s="6">
        <v>153.02000000000001</v>
      </c>
      <c r="E51" s="2"/>
      <c r="F51" s="7">
        <f t="shared" si="20"/>
        <v>2.661166482032518E-3</v>
      </c>
      <c r="G51" s="2"/>
      <c r="H51" s="6">
        <v>594.54</v>
      </c>
      <c r="I51" s="2"/>
      <c r="J51" s="7">
        <f t="shared" si="21"/>
        <v>1.5283030653717541E-2</v>
      </c>
      <c r="K51" s="2"/>
      <c r="L51" s="6">
        <f t="shared" si="22"/>
        <v>-441.52</v>
      </c>
      <c r="M51" s="2"/>
      <c r="N51" s="7">
        <f t="shared" si="23"/>
        <v>-0.74262455007232486</v>
      </c>
      <c r="O51" s="11"/>
      <c r="P51" s="6">
        <v>1644.53</v>
      </c>
      <c r="Q51" s="2"/>
      <c r="R51" s="7">
        <f t="shared" si="24"/>
        <v>8.0332822410597235E-3</v>
      </c>
      <c r="S51" s="2"/>
      <c r="T51" s="6">
        <v>4446.04</v>
      </c>
      <c r="U51" s="2"/>
      <c r="V51" s="7">
        <f t="shared" si="25"/>
        <v>3.0679887375602146E-2</v>
      </c>
      <c r="W51" s="2"/>
      <c r="X51" s="6">
        <f t="shared" si="26"/>
        <v>-2801.51</v>
      </c>
      <c r="Y51" s="2"/>
      <c r="Z51" s="7">
        <f t="shared" si="27"/>
        <v>-0.63011353923941316</v>
      </c>
    </row>
    <row r="52" spans="1:26" s="24" customFormat="1" hidden="1" outlineLevel="2" x14ac:dyDescent="0.3">
      <c r="A52" s="28"/>
      <c r="B52" s="11" t="str">
        <f>CONCATENATE("          ", "6112", " - ", "COMPENSATION INSURANCE")</f>
        <v xml:space="preserve">          6112 - COMPENSATION INSURANCE</v>
      </c>
      <c r="C52" s="11"/>
      <c r="D52" s="6">
        <v>91.65</v>
      </c>
      <c r="E52" s="2"/>
      <c r="F52" s="7">
        <f t="shared" si="20"/>
        <v>1.5938825518120525E-3</v>
      </c>
      <c r="G52" s="2"/>
      <c r="H52" s="6">
        <v>354.54</v>
      </c>
      <c r="I52" s="2"/>
      <c r="J52" s="7">
        <f t="shared" si="21"/>
        <v>9.113677276497827E-3</v>
      </c>
      <c r="K52" s="2"/>
      <c r="L52" s="6">
        <f t="shared" si="22"/>
        <v>-262.89</v>
      </c>
      <c r="M52" s="2"/>
      <c r="N52" s="7">
        <f t="shared" si="23"/>
        <v>-0.74149602301573858</v>
      </c>
      <c r="O52" s="11"/>
      <c r="P52" s="6">
        <v>313.99</v>
      </c>
      <c r="Q52" s="2"/>
      <c r="R52" s="7">
        <f t="shared" si="24"/>
        <v>1.5337940267859771E-3</v>
      </c>
      <c r="S52" s="2"/>
      <c r="T52" s="6">
        <v>1782.67</v>
      </c>
      <c r="U52" s="2"/>
      <c r="V52" s="7">
        <f t="shared" si="25"/>
        <v>1.2301309666099424E-2</v>
      </c>
      <c r="W52" s="2"/>
      <c r="X52" s="6">
        <f t="shared" si="26"/>
        <v>-1468.68</v>
      </c>
      <c r="Y52" s="2"/>
      <c r="Z52" s="7">
        <f t="shared" si="27"/>
        <v>-0.82386532560709502</v>
      </c>
    </row>
    <row r="53" spans="1:26" s="24" customFormat="1" hidden="1" outlineLevel="2" x14ac:dyDescent="0.3">
      <c r="A53" s="28"/>
      <c r="B53" s="11" t="str">
        <f>CONCATENATE("          ", "6113", " - ", "GROUP INSURANCE")</f>
        <v xml:space="preserve">          6113 - GROUP INSURANCE</v>
      </c>
      <c r="C53" s="11"/>
      <c r="D53" s="6">
        <v>526.70000000000005</v>
      </c>
      <c r="E53" s="2"/>
      <c r="F53" s="7">
        <f t="shared" si="20"/>
        <v>9.1598247685696459E-3</v>
      </c>
      <c r="G53" s="2"/>
      <c r="H53" s="6">
        <v>2714.98</v>
      </c>
      <c r="I53" s="2"/>
      <c r="J53" s="7">
        <f t="shared" si="21"/>
        <v>6.9790295967016608E-2</v>
      </c>
      <c r="K53" s="2"/>
      <c r="L53" s="6">
        <f t="shared" si="22"/>
        <v>-2188.2799999999997</v>
      </c>
      <c r="M53" s="2"/>
      <c r="N53" s="7">
        <f t="shared" si="23"/>
        <v>-0.80600225416025151</v>
      </c>
      <c r="O53" s="11"/>
      <c r="P53" s="6">
        <v>3171.45</v>
      </c>
      <c r="Q53" s="2"/>
      <c r="R53" s="7">
        <f t="shared" si="24"/>
        <v>1.5492057282876481E-2</v>
      </c>
      <c r="S53" s="2"/>
      <c r="T53" s="6">
        <v>15587.37</v>
      </c>
      <c r="U53" s="2"/>
      <c r="V53" s="7">
        <f t="shared" si="25"/>
        <v>0.10756060586090986</v>
      </c>
      <c r="W53" s="2"/>
      <c r="X53" s="6">
        <f t="shared" si="26"/>
        <v>-12415.920000000002</v>
      </c>
      <c r="Y53" s="2"/>
      <c r="Z53" s="7">
        <f t="shared" si="27"/>
        <v>-0.79653719646098098</v>
      </c>
    </row>
    <row r="54" spans="1:26" s="24" customFormat="1" hidden="1" outlineLevel="2" x14ac:dyDescent="0.3">
      <c r="A54" s="28"/>
      <c r="B54" s="11" t="str">
        <f>CONCATENATE("          ", "6114", " - ", "STATE UNEMPLOYMENT INSURANCE")</f>
        <v xml:space="preserve">          6114 - STATE UNEMPLOYMENT INSURANCE</v>
      </c>
      <c r="C54" s="11"/>
      <c r="D54" s="6">
        <v>16.100000000000001</v>
      </c>
      <c r="E54" s="2"/>
      <c r="F54" s="7">
        <f t="shared" si="20"/>
        <v>2.7999464358073156E-4</v>
      </c>
      <c r="G54" s="2"/>
      <c r="H54" s="6"/>
      <c r="I54" s="2"/>
      <c r="J54" s="7">
        <f t="shared" si="21"/>
        <v>0</v>
      </c>
      <c r="K54" s="2"/>
      <c r="L54" s="6">
        <f t="shared" si="22"/>
        <v>16.100000000000001</v>
      </c>
      <c r="M54" s="2"/>
      <c r="N54" s="7">
        <f t="shared" si="23"/>
        <v>0</v>
      </c>
      <c r="O54" s="11"/>
      <c r="P54" s="6">
        <v>55.16</v>
      </c>
      <c r="Q54" s="2"/>
      <c r="R54" s="7">
        <f t="shared" si="24"/>
        <v>2.6944832165837917E-4</v>
      </c>
      <c r="S54" s="2"/>
      <c r="T54" s="6">
        <v>174.37</v>
      </c>
      <c r="U54" s="2"/>
      <c r="V54" s="7">
        <f t="shared" si="25"/>
        <v>1.2032397283163773E-3</v>
      </c>
      <c r="W54" s="2"/>
      <c r="X54" s="6">
        <f t="shared" si="26"/>
        <v>-119.21000000000001</v>
      </c>
      <c r="Y54" s="2"/>
      <c r="Z54" s="7">
        <f t="shared" si="27"/>
        <v>-0.68366118024889611</v>
      </c>
    </row>
    <row r="55" spans="1:26" s="24" customFormat="1" hidden="1" outlineLevel="2" x14ac:dyDescent="0.3">
      <c r="A55" s="28"/>
      <c r="B55" s="11" t="str">
        <f>CONCATENATE("          ", "6115", " - ", "P.E.R.S.")</f>
        <v xml:space="preserve">          6115 - P.E.R.S.</v>
      </c>
      <c r="C55" s="11"/>
      <c r="D55" s="6">
        <v>92.45</v>
      </c>
      <c r="E55" s="2"/>
      <c r="F55" s="7">
        <f t="shared" si="20"/>
        <v>1.607795329132834E-3</v>
      </c>
      <c r="G55" s="2"/>
      <c r="H55" s="6">
        <v>362.12</v>
      </c>
      <c r="I55" s="2"/>
      <c r="J55" s="7">
        <f t="shared" si="21"/>
        <v>9.3085260206616817E-3</v>
      </c>
      <c r="K55" s="2"/>
      <c r="L55" s="6">
        <f t="shared" si="22"/>
        <v>-269.67</v>
      </c>
      <c r="M55" s="2"/>
      <c r="N55" s="7">
        <f t="shared" si="23"/>
        <v>-0.74469789020214294</v>
      </c>
      <c r="O55" s="11"/>
      <c r="P55" s="6">
        <v>584.91</v>
      </c>
      <c r="Q55" s="2"/>
      <c r="R55" s="7">
        <f t="shared" si="24"/>
        <v>2.8571975674619755E-3</v>
      </c>
      <c r="S55" s="2"/>
      <c r="T55" s="6">
        <v>2245.14</v>
      </c>
      <c r="U55" s="2"/>
      <c r="V55" s="7">
        <f t="shared" si="25"/>
        <v>1.5492582689867702E-2</v>
      </c>
      <c r="W55" s="2"/>
      <c r="X55" s="6">
        <f t="shared" si="26"/>
        <v>-1660.23</v>
      </c>
      <c r="Y55" s="2"/>
      <c r="Z55" s="7">
        <f t="shared" si="27"/>
        <v>-0.73947727090515514</v>
      </c>
    </row>
    <row r="56" spans="1:26" s="24" customFormat="1" hidden="1" outlineLevel="2" x14ac:dyDescent="0.3">
      <c r="A56" s="28"/>
      <c r="B56" s="11" t="str">
        <f>CONCATENATE("          ", "6118", " - ", "VACATION")</f>
        <v xml:space="preserve">          6118 - VACATION</v>
      </c>
      <c r="C56" s="11"/>
      <c r="D56" s="6">
        <v>89.07</v>
      </c>
      <c r="E56" s="2"/>
      <c r="F56" s="7">
        <f t="shared" si="20"/>
        <v>1.5490138449525312E-3</v>
      </c>
      <c r="G56" s="2"/>
      <c r="H56" s="6">
        <v>498.76</v>
      </c>
      <c r="I56" s="2"/>
      <c r="J56" s="7">
        <f t="shared" si="21"/>
        <v>1.2820944543425439E-2</v>
      </c>
      <c r="K56" s="2"/>
      <c r="L56" s="6">
        <f t="shared" si="22"/>
        <v>-409.69</v>
      </c>
      <c r="M56" s="2"/>
      <c r="N56" s="7">
        <f t="shared" si="23"/>
        <v>-0.82141711444382071</v>
      </c>
      <c r="O56" s="11"/>
      <c r="P56" s="6">
        <v>563.52</v>
      </c>
      <c r="Q56" s="2"/>
      <c r="R56" s="7">
        <f t="shared" si="24"/>
        <v>2.7527106276455738E-3</v>
      </c>
      <c r="S56" s="2"/>
      <c r="T56" s="6">
        <v>3145.69</v>
      </c>
      <c r="U56" s="2"/>
      <c r="V56" s="7">
        <f t="shared" si="25"/>
        <v>2.1706825606282877E-2</v>
      </c>
      <c r="W56" s="2"/>
      <c r="X56" s="6">
        <f t="shared" si="26"/>
        <v>-2582.17</v>
      </c>
      <c r="Y56" s="2"/>
      <c r="Z56" s="7">
        <f t="shared" si="27"/>
        <v>-0.82085965241330205</v>
      </c>
    </row>
    <row r="57" spans="1:26" s="24" customFormat="1" hidden="1" outlineLevel="2" x14ac:dyDescent="0.3">
      <c r="A57" s="28"/>
      <c r="B57" s="11" t="str">
        <f>CONCATENATE("          ", "6119", " - ", "SICK LEAVE")</f>
        <v xml:space="preserve">          6119 - SICK LEAVE</v>
      </c>
      <c r="C57" s="11"/>
      <c r="D57" s="6">
        <v>56.18</v>
      </c>
      <c r="E57" s="2"/>
      <c r="F57" s="7">
        <f t="shared" si="20"/>
        <v>9.7702478735189413E-4</v>
      </c>
      <c r="G57" s="2"/>
      <c r="H57" s="6">
        <v>446.7</v>
      </c>
      <c r="I57" s="2"/>
      <c r="J57" s="7">
        <f t="shared" si="21"/>
        <v>1.1482708973350197E-2</v>
      </c>
      <c r="K57" s="2"/>
      <c r="L57" s="6">
        <f t="shared" si="22"/>
        <v>-390.52</v>
      </c>
      <c r="M57" s="2"/>
      <c r="N57" s="7">
        <f t="shared" si="23"/>
        <v>-0.87423326617416608</v>
      </c>
      <c r="O57" s="11"/>
      <c r="P57" s="6">
        <v>355.45</v>
      </c>
      <c r="Q57" s="2"/>
      <c r="R57" s="7">
        <f t="shared" si="24"/>
        <v>1.7363199045226775E-3</v>
      </c>
      <c r="S57" s="2"/>
      <c r="T57" s="6">
        <v>2680.2</v>
      </c>
      <c r="U57" s="2"/>
      <c r="V57" s="7">
        <f t="shared" si="25"/>
        <v>1.8494713080424122E-2</v>
      </c>
      <c r="W57" s="2"/>
      <c r="X57" s="6">
        <f t="shared" si="26"/>
        <v>-2324.75</v>
      </c>
      <c r="Y57" s="2"/>
      <c r="Z57" s="7">
        <f t="shared" si="27"/>
        <v>-0.86737930005223496</v>
      </c>
    </row>
    <row r="58" spans="1:26" s="24" customFormat="1" hidden="1" outlineLevel="2" x14ac:dyDescent="0.3">
      <c r="A58" s="28"/>
      <c r="B58" s="11" t="str">
        <f>CONCATENATE("          ", "6156", " - ", "EMPLOYEE MEALS")</f>
        <v xml:space="preserve">          6156 - EMPLOYEE MEALS</v>
      </c>
      <c r="C58" s="11"/>
      <c r="D58" s="6">
        <v>144.52000000000001</v>
      </c>
      <c r="E58" s="2"/>
      <c r="F58" s="7">
        <f t="shared" si="20"/>
        <v>2.5133432229992123E-3</v>
      </c>
      <c r="G58" s="2"/>
      <c r="H58" s="6">
        <v>106.01</v>
      </c>
      <c r="I58" s="2"/>
      <c r="J58" s="7">
        <f t="shared" si="21"/>
        <v>2.7250547979960921E-3</v>
      </c>
      <c r="K58" s="2"/>
      <c r="L58" s="6">
        <f t="shared" si="22"/>
        <v>38.510000000000005</v>
      </c>
      <c r="M58" s="2"/>
      <c r="N58" s="7">
        <f t="shared" si="23"/>
        <v>0.36326761626261678</v>
      </c>
      <c r="O58" s="11"/>
      <c r="P58" s="6">
        <v>902.46</v>
      </c>
      <c r="Q58" s="2"/>
      <c r="R58" s="7">
        <f t="shared" si="24"/>
        <v>4.4083816599677465E-3</v>
      </c>
      <c r="S58" s="2"/>
      <c r="T58" s="6">
        <v>1065.5899999999999</v>
      </c>
      <c r="U58" s="2"/>
      <c r="V58" s="7">
        <f t="shared" si="25"/>
        <v>7.3531010041672793E-3</v>
      </c>
      <c r="W58" s="2"/>
      <c r="X58" s="6">
        <f t="shared" si="26"/>
        <v>-163.12999999999988</v>
      </c>
      <c r="Y58" s="2"/>
      <c r="Z58" s="7">
        <f t="shared" si="27"/>
        <v>-0.15308889910753656</v>
      </c>
    </row>
    <row r="59" spans="1:26" s="29" customFormat="1" outlineLevel="1" collapsed="1" x14ac:dyDescent="0.3">
      <c r="A59" s="27"/>
      <c r="B59" s="14" t="str">
        <f>CONCATENATE("     ","*Payroll                                          ")</f>
        <v xml:space="preserve">     *Payroll                                          </v>
      </c>
      <c r="C59" s="14"/>
      <c r="D59" s="1">
        <f>SUM(OSRRefD22_1x_0)</f>
        <v>8229.0500000000011</v>
      </c>
      <c r="E59" s="1"/>
      <c r="F59" s="5">
        <f t="shared" ref="F59:F64" si="28">IF(D$12=0,0,D59/D$12)</f>
        <v>0.14311117526447323</v>
      </c>
      <c r="G59" s="1"/>
      <c r="H59" s="1">
        <f>SUM(OSRRefH22_1x_0)</f>
        <v>8680.51</v>
      </c>
      <c r="I59" s="1"/>
      <c r="J59" s="5">
        <f t="shared" ref="J59:J64" si="29">IF(H$12=0,0,H59/H$12)</f>
        <v>0.22313805701870634</v>
      </c>
      <c r="K59" s="1"/>
      <c r="L59" s="1">
        <f t="shared" ref="L59:L64" si="30">+D59-H59</f>
        <v>-451.45999999999913</v>
      </c>
      <c r="M59" s="1"/>
      <c r="N59" s="5">
        <f t="shared" ref="N59:N64" si="31">IF(H59=0,0,L59/H59)</f>
        <v>-5.2008464940423903E-2</v>
      </c>
      <c r="O59" s="14"/>
      <c r="P59" s="1">
        <f>SUM(OSRRefP22_1x_0)</f>
        <v>40693.29</v>
      </c>
      <c r="Q59" s="1"/>
      <c r="R59" s="5">
        <f t="shared" ref="R59:R64" si="32">IF(P$12=0,0,P59/P$12)</f>
        <v>0.19878061445354797</v>
      </c>
      <c r="S59" s="1"/>
      <c r="T59" s="1">
        <f>SUM(OSRRefT22_1x_0)</f>
        <v>47841</v>
      </c>
      <c r="U59" s="1"/>
      <c r="V59" s="5">
        <f t="shared" ref="V59:V64" si="33">IF(T$12=0,0,T59/T$12)</f>
        <v>0.3301266952020635</v>
      </c>
      <c r="W59" s="1"/>
      <c r="X59" s="1">
        <f t="shared" ref="X59:X64" si="34">+P59-T59</f>
        <v>-7147.7099999999991</v>
      </c>
      <c r="Y59" s="1"/>
      <c r="Z59" s="5">
        <f t="shared" ref="Z59:Z64" si="35">IF(T59=0,0,X59/T59)</f>
        <v>-0.14940553082084404</v>
      </c>
    </row>
    <row r="60" spans="1:26" s="24" customFormat="1" hidden="1" outlineLevel="2" x14ac:dyDescent="0.3">
      <c r="A60" s="28"/>
      <c r="B60" s="11" t="str">
        <f>CONCATENATE("          ", "6002", " - ", "STAFF SALARIES")</f>
        <v xml:space="preserve">          6002 - STAFF SALARIES</v>
      </c>
      <c r="C60" s="11"/>
      <c r="D60" s="6">
        <v>1218</v>
      </c>
      <c r="E60" s="2"/>
      <c r="F60" s="7">
        <f t="shared" si="28"/>
        <v>2.1182203470890122E-2</v>
      </c>
      <c r="G60" s="2"/>
      <c r="H60" s="6">
        <v>4684.62</v>
      </c>
      <c r="I60" s="2"/>
      <c r="J60" s="7">
        <f t="shared" si="29"/>
        <v>0.12042115090829594</v>
      </c>
      <c r="K60" s="2"/>
      <c r="L60" s="6">
        <f t="shared" si="30"/>
        <v>-3466.62</v>
      </c>
      <c r="M60" s="2"/>
      <c r="N60" s="7">
        <f t="shared" si="31"/>
        <v>-0.74000025615738307</v>
      </c>
      <c r="O60" s="11"/>
      <c r="P60" s="6">
        <v>7354.87</v>
      </c>
      <c r="Q60" s="2"/>
      <c r="R60" s="7">
        <f t="shared" si="32"/>
        <v>3.5927436140601225E-2</v>
      </c>
      <c r="S60" s="2"/>
      <c r="T60" s="6">
        <v>28107.72</v>
      </c>
      <c r="U60" s="2"/>
      <c r="V60" s="7">
        <f t="shared" si="33"/>
        <v>0.19395724824449623</v>
      </c>
      <c r="W60" s="2"/>
      <c r="X60" s="6">
        <f t="shared" si="34"/>
        <v>-20752.850000000002</v>
      </c>
      <c r="Y60" s="2"/>
      <c r="Z60" s="7">
        <f t="shared" si="35"/>
        <v>-0.73833274274825567</v>
      </c>
    </row>
    <row r="61" spans="1:26" s="24" customFormat="1" hidden="1" outlineLevel="2" x14ac:dyDescent="0.3">
      <c r="A61" s="28"/>
      <c r="B61" s="11" t="str">
        <f>CONCATENATE("          ", "6004", " - ", "STAFF HOURLY")</f>
        <v xml:space="preserve">          6004 - STAFF HOURLY</v>
      </c>
      <c r="C61" s="11"/>
      <c r="D61" s="6">
        <v>778.25</v>
      </c>
      <c r="E61" s="2"/>
      <c r="F61" s="7">
        <f t="shared" si="28"/>
        <v>1.3534523687372938E-2</v>
      </c>
      <c r="G61" s="2"/>
      <c r="H61" s="6">
        <v>740.77</v>
      </c>
      <c r="I61" s="2"/>
      <c r="J61" s="7">
        <f t="shared" si="29"/>
        <v>1.9041966255179371E-2</v>
      </c>
      <c r="K61" s="2"/>
      <c r="L61" s="6">
        <f t="shared" si="30"/>
        <v>37.480000000000018</v>
      </c>
      <c r="M61" s="2"/>
      <c r="N61" s="7">
        <f t="shared" si="31"/>
        <v>5.0596001457942436E-2</v>
      </c>
      <c r="O61" s="11"/>
      <c r="P61" s="6">
        <v>4272.3900000000003</v>
      </c>
      <c r="Q61" s="2"/>
      <c r="R61" s="7">
        <f t="shared" si="32"/>
        <v>2.0869983955221952E-2</v>
      </c>
      <c r="S61" s="2"/>
      <c r="T61" s="6">
        <v>3091.21</v>
      </c>
      <c r="U61" s="2"/>
      <c r="V61" s="7">
        <f t="shared" si="33"/>
        <v>2.133088650896868E-2</v>
      </c>
      <c r="W61" s="2"/>
      <c r="X61" s="6">
        <f t="shared" si="34"/>
        <v>1181.1800000000003</v>
      </c>
      <c r="Y61" s="2"/>
      <c r="Z61" s="7">
        <f t="shared" si="35"/>
        <v>0.3821092711268404</v>
      </c>
    </row>
    <row r="62" spans="1:26" s="24" customFormat="1" hidden="1" outlineLevel="2" x14ac:dyDescent="0.3">
      <c r="A62" s="28"/>
      <c r="B62" s="11" t="str">
        <f>CONCATENATE("          ", "6005", " - ", "TEMPORARY WAGES-HOURLY")</f>
        <v xml:space="preserve">          6005 - TEMPORARY WAGES-HOURLY</v>
      </c>
      <c r="C62" s="11"/>
      <c r="D62" s="6"/>
      <c r="E62" s="2"/>
      <c r="F62" s="7">
        <f t="shared" si="28"/>
        <v>0</v>
      </c>
      <c r="G62" s="2"/>
      <c r="H62" s="6">
        <v>1562.94</v>
      </c>
      <c r="I62" s="2"/>
      <c r="J62" s="7">
        <f t="shared" si="29"/>
        <v>4.0176371530799102E-2</v>
      </c>
      <c r="K62" s="2"/>
      <c r="L62" s="6">
        <f t="shared" si="30"/>
        <v>-1562.94</v>
      </c>
      <c r="M62" s="2"/>
      <c r="N62" s="7">
        <f t="shared" si="31"/>
        <v>-1</v>
      </c>
      <c r="O62" s="11"/>
      <c r="P62" s="6">
        <v>3433.65</v>
      </c>
      <c r="Q62" s="2"/>
      <c r="R62" s="7">
        <f t="shared" si="32"/>
        <v>1.677286493223883E-2</v>
      </c>
      <c r="S62" s="2"/>
      <c r="T62" s="6">
        <v>7910.64</v>
      </c>
      <c r="U62" s="2"/>
      <c r="V62" s="7">
        <f t="shared" si="33"/>
        <v>5.4587350601644019E-2</v>
      </c>
      <c r="W62" s="2"/>
      <c r="X62" s="6">
        <f t="shared" si="34"/>
        <v>-4476.99</v>
      </c>
      <c r="Y62" s="2"/>
      <c r="Z62" s="7">
        <f t="shared" si="35"/>
        <v>-0.56594535966748571</v>
      </c>
    </row>
    <row r="63" spans="1:26" s="24" customFormat="1" hidden="1" outlineLevel="2" x14ac:dyDescent="0.3">
      <c r="A63" s="28"/>
      <c r="B63" s="11" t="str">
        <f>CONCATENATE("          ", "6007", " - ", "STUDENT HOURLY")</f>
        <v xml:space="preserve">          6007 - STUDENT HOURLY</v>
      </c>
      <c r="C63" s="11"/>
      <c r="D63" s="6">
        <v>6026.02</v>
      </c>
      <c r="E63" s="2"/>
      <c r="F63" s="7">
        <f t="shared" si="28"/>
        <v>0.1047983429882211</v>
      </c>
      <c r="G63" s="2"/>
      <c r="H63" s="6">
        <v>1239.52</v>
      </c>
      <c r="I63" s="2"/>
      <c r="J63" s="7">
        <f t="shared" si="29"/>
        <v>3.1862653742214093E-2</v>
      </c>
      <c r="K63" s="2"/>
      <c r="L63" s="6">
        <f t="shared" si="30"/>
        <v>4786.5</v>
      </c>
      <c r="M63" s="2"/>
      <c r="N63" s="7">
        <f t="shared" si="31"/>
        <v>3.8615754485607332</v>
      </c>
      <c r="O63" s="11"/>
      <c r="P63" s="6">
        <v>24743.56</v>
      </c>
      <c r="Q63" s="2"/>
      <c r="R63" s="7">
        <f t="shared" si="32"/>
        <v>0.12086857711844463</v>
      </c>
      <c r="S63" s="2"/>
      <c r="T63" s="6">
        <v>7014</v>
      </c>
      <c r="U63" s="2"/>
      <c r="V63" s="7">
        <f t="shared" si="33"/>
        <v>4.8400088629988361E-2</v>
      </c>
      <c r="W63" s="2"/>
      <c r="X63" s="6">
        <f t="shared" si="34"/>
        <v>17729.560000000001</v>
      </c>
      <c r="Y63" s="2"/>
      <c r="Z63" s="7">
        <f t="shared" si="35"/>
        <v>2.5277388080980896</v>
      </c>
    </row>
    <row r="64" spans="1:26" s="24" customFormat="1" hidden="1" outlineLevel="2" x14ac:dyDescent="0.3">
      <c r="A64" s="28"/>
      <c r="B64" s="11" t="str">
        <f>CONCATENATE("          ", "6008", " - ", "STUDENT HOURLY-FICA EXEMPT")</f>
        <v xml:space="preserve">          6008 - STUDENT HOURLY-FICA EXEMPT</v>
      </c>
      <c r="C64" s="11"/>
      <c r="D64" s="6">
        <v>206.78</v>
      </c>
      <c r="E64" s="2"/>
      <c r="F64" s="7">
        <f t="shared" si="28"/>
        <v>3.5961051179890474E-3</v>
      </c>
      <c r="G64" s="2"/>
      <c r="H64" s="6">
        <v>452.66</v>
      </c>
      <c r="I64" s="2"/>
      <c r="J64" s="7">
        <f t="shared" si="29"/>
        <v>1.163591458221782E-2</v>
      </c>
      <c r="K64" s="2"/>
      <c r="L64" s="6">
        <f t="shared" si="30"/>
        <v>-245.88000000000002</v>
      </c>
      <c r="M64" s="2"/>
      <c r="N64" s="7">
        <f t="shared" si="31"/>
        <v>-0.54318914858834444</v>
      </c>
      <c r="O64" s="11"/>
      <c r="P64" s="6">
        <v>888.82</v>
      </c>
      <c r="Q64" s="2"/>
      <c r="R64" s="7">
        <f t="shared" si="32"/>
        <v>4.3417523070413454E-3</v>
      </c>
      <c r="S64" s="2"/>
      <c r="T64" s="6">
        <v>1717.43</v>
      </c>
      <c r="U64" s="2"/>
      <c r="V64" s="7">
        <f t="shared" si="33"/>
        <v>1.1851121216966198E-2</v>
      </c>
      <c r="W64" s="2"/>
      <c r="X64" s="6">
        <f t="shared" si="34"/>
        <v>-828.61</v>
      </c>
      <c r="Y64" s="2"/>
      <c r="Z64" s="7">
        <f t="shared" si="35"/>
        <v>-0.48247090128855324</v>
      </c>
    </row>
    <row r="65" spans="1:26" s="29" customFormat="1" outlineLevel="1" collapsed="1" x14ac:dyDescent="0.3">
      <c r="A65" s="27"/>
      <c r="B65" s="14" t="str">
        <f>CONCATENATE("     ","Advertising/Promo                                 ")</f>
        <v xml:space="preserve">     Advertising/Promo                                 </v>
      </c>
      <c r="C65" s="14"/>
      <c r="D65" s="1">
        <f>SUM(OSRRefD22_2x_0)</f>
        <v>0</v>
      </c>
      <c r="E65" s="1"/>
      <c r="F65" s="5">
        <f t="shared" ref="F65:F86" si="36">IF(D$12=0,0,D65/D$12)</f>
        <v>0</v>
      </c>
      <c r="G65" s="1"/>
      <c r="H65" s="1">
        <f>SUM(OSRRefH22_2x_0)</f>
        <v>52.92</v>
      </c>
      <c r="I65" s="1"/>
      <c r="J65" s="5">
        <f t="shared" ref="J65:J86" si="37">IF(H$12=0,0,H65/H$12)</f>
        <v>1.3603424196769476E-3</v>
      </c>
      <c r="K65" s="1"/>
      <c r="L65" s="1">
        <f t="shared" ref="L65:L86" si="38">+D65-H65</f>
        <v>-52.92</v>
      </c>
      <c r="M65" s="1"/>
      <c r="N65" s="5">
        <f t="shared" ref="N65:N86" si="39">IF(H65=0,0,L65/H65)</f>
        <v>-1</v>
      </c>
      <c r="O65" s="14"/>
      <c r="P65" s="1">
        <f>SUM(OSRRefP22_2x_0)</f>
        <v>1124.3499999999999</v>
      </c>
      <c r="Q65" s="1"/>
      <c r="R65" s="5">
        <f t="shared" ref="R65:R86" si="40">IF(P$12=0,0,P65/P$12)</f>
        <v>5.4922810090028756E-3</v>
      </c>
      <c r="S65" s="1"/>
      <c r="T65" s="1">
        <f>SUM(OSRRefT22_2x_0)</f>
        <v>1024.2</v>
      </c>
      <c r="U65" s="1"/>
      <c r="V65" s="5">
        <f t="shared" ref="V65:V86" si="41">IF(T$12=0,0,T65/T$12)</f>
        <v>7.0674894175697294E-3</v>
      </c>
      <c r="W65" s="1"/>
      <c r="X65" s="1">
        <f t="shared" ref="X65:X86" si="42">+P65-T65</f>
        <v>100.14999999999986</v>
      </c>
      <c r="Y65" s="1"/>
      <c r="Z65" s="5">
        <f t="shared" ref="Z65:Z86" si="43">IF(T65=0,0,X65/T65)</f>
        <v>9.778363600859194E-2</v>
      </c>
    </row>
    <row r="66" spans="1:26" s="24" customFormat="1" hidden="1" outlineLevel="2" x14ac:dyDescent="0.3">
      <c r="A66" s="28"/>
      <c r="B66" s="11" t="str">
        <f>CONCATENATE("          ", "6362", " - ", "ADVERTISING EXPENSE")</f>
        <v xml:space="preserve">          6362 - ADVERTISING EXPENSE</v>
      </c>
      <c r="C66" s="11"/>
      <c r="D66" s="6"/>
      <c r="E66" s="2"/>
      <c r="F66" s="7">
        <f t="shared" si="36"/>
        <v>0</v>
      </c>
      <c r="G66" s="2"/>
      <c r="H66" s="6">
        <v>52.92</v>
      </c>
      <c r="I66" s="2"/>
      <c r="J66" s="7">
        <f t="shared" si="37"/>
        <v>1.3603424196769476E-3</v>
      </c>
      <c r="K66" s="2"/>
      <c r="L66" s="6">
        <f t="shared" si="38"/>
        <v>-52.92</v>
      </c>
      <c r="M66" s="2"/>
      <c r="N66" s="7">
        <f t="shared" si="39"/>
        <v>-1</v>
      </c>
      <c r="O66" s="11"/>
      <c r="P66" s="6">
        <v>1124.3499999999999</v>
      </c>
      <c r="Q66" s="2"/>
      <c r="R66" s="7">
        <f t="shared" si="40"/>
        <v>5.4922810090028756E-3</v>
      </c>
      <c r="S66" s="2"/>
      <c r="T66" s="6">
        <v>1024.2</v>
      </c>
      <c r="U66" s="2"/>
      <c r="V66" s="7">
        <f t="shared" si="41"/>
        <v>7.0674894175697294E-3</v>
      </c>
      <c r="W66" s="2"/>
      <c r="X66" s="6">
        <f t="shared" si="42"/>
        <v>100.14999999999986</v>
      </c>
      <c r="Y66" s="2"/>
      <c r="Z66" s="7">
        <f t="shared" si="43"/>
        <v>9.778363600859194E-2</v>
      </c>
    </row>
    <row r="67" spans="1:26" s="29" customFormat="1" outlineLevel="1" collapsed="1" x14ac:dyDescent="0.3">
      <c r="A67" s="27"/>
      <c r="B67" s="14" t="str">
        <f>CONCATENATE("     ","Bad Debts/Over/Short                              ")</f>
        <v xml:space="preserve">     Bad Debts/Over/Short                              </v>
      </c>
      <c r="C67" s="14"/>
      <c r="D67" s="1">
        <f>SUM(OSRRefD22_3x_0)</f>
        <v>-1.01</v>
      </c>
      <c r="E67" s="1"/>
      <c r="F67" s="5">
        <f t="shared" si="36"/>
        <v>-1.7564881367486884E-5</v>
      </c>
      <c r="G67" s="1"/>
      <c r="H67" s="1">
        <f>SUM(OSRRefH22_3x_0)</f>
        <v>-0.38</v>
      </c>
      <c r="I67" s="1"/>
      <c r="J67" s="5">
        <f t="shared" si="37"/>
        <v>-9.7681428472645502E-6</v>
      </c>
      <c r="K67" s="1"/>
      <c r="L67" s="1">
        <f t="shared" si="38"/>
        <v>-0.63</v>
      </c>
      <c r="M67" s="1"/>
      <c r="N67" s="5">
        <f t="shared" si="39"/>
        <v>1.6578947368421053</v>
      </c>
      <c r="O67" s="14"/>
      <c r="P67" s="1">
        <f>SUM(OSRRefP22_3x_0)</f>
        <v>-10.029999999999999</v>
      </c>
      <c r="Q67" s="1"/>
      <c r="R67" s="5">
        <f t="shared" si="40"/>
        <v>-4.8995044710542846E-5</v>
      </c>
      <c r="S67" s="1"/>
      <c r="T67" s="1">
        <f>SUM(OSRRefT22_3x_0)</f>
        <v>-1.39</v>
      </c>
      <c r="U67" s="1"/>
      <c r="V67" s="5">
        <f t="shared" si="41"/>
        <v>-9.5916913595215018E-6</v>
      </c>
      <c r="W67" s="1"/>
      <c r="X67" s="1">
        <f t="shared" si="42"/>
        <v>-8.6399999999999988</v>
      </c>
      <c r="Y67" s="1"/>
      <c r="Z67" s="5">
        <f t="shared" si="43"/>
        <v>6.2158273381294959</v>
      </c>
    </row>
    <row r="68" spans="1:26" s="24" customFormat="1" hidden="1" outlineLevel="2" x14ac:dyDescent="0.3">
      <c r="A68" s="28"/>
      <c r="B68" s="11" t="str">
        <f>CONCATENATE("          ", "6272", " - ", "CASH (OVER/SHORT)")</f>
        <v xml:space="preserve">          6272 - CASH (OVER/SHORT)</v>
      </c>
      <c r="C68" s="11"/>
      <c r="D68" s="6">
        <v>-1.01</v>
      </c>
      <c r="E68" s="2"/>
      <c r="F68" s="7">
        <f t="shared" si="36"/>
        <v>-1.7564881367486884E-5</v>
      </c>
      <c r="G68" s="2"/>
      <c r="H68" s="6">
        <v>-0.38</v>
      </c>
      <c r="I68" s="2"/>
      <c r="J68" s="7">
        <f t="shared" si="37"/>
        <v>-9.7681428472645502E-6</v>
      </c>
      <c r="K68" s="2"/>
      <c r="L68" s="6">
        <f t="shared" si="38"/>
        <v>-0.63</v>
      </c>
      <c r="M68" s="2"/>
      <c r="N68" s="7">
        <f t="shared" si="39"/>
        <v>1.6578947368421053</v>
      </c>
      <c r="O68" s="11"/>
      <c r="P68" s="6">
        <v>-10.029999999999999</v>
      </c>
      <c r="Q68" s="2"/>
      <c r="R68" s="7">
        <f t="shared" si="40"/>
        <v>-4.8995044710542846E-5</v>
      </c>
      <c r="S68" s="2"/>
      <c r="T68" s="6">
        <v>-1.39</v>
      </c>
      <c r="U68" s="2"/>
      <c r="V68" s="7">
        <f t="shared" si="41"/>
        <v>-9.5916913595215018E-6</v>
      </c>
      <c r="W68" s="2"/>
      <c r="X68" s="6">
        <f t="shared" si="42"/>
        <v>-8.6399999999999988</v>
      </c>
      <c r="Y68" s="2"/>
      <c r="Z68" s="7">
        <f t="shared" si="43"/>
        <v>6.2158273381294959</v>
      </c>
    </row>
    <row r="69" spans="1:26" s="29" customFormat="1" outlineLevel="1" collapsed="1" x14ac:dyDescent="0.3">
      <c r="A69" s="27"/>
      <c r="B69" s="14" t="str">
        <f>CONCATENATE("     ","Bank/card Fees                                    ")</f>
        <v xml:space="preserve">     Bank/card Fees                                    </v>
      </c>
      <c r="C69" s="14"/>
      <c r="D69" s="1">
        <f>SUM(OSRRefD22_4x_0)</f>
        <v>1000.14</v>
      </c>
      <c r="E69" s="1"/>
      <c r="F69" s="5">
        <f t="shared" si="36"/>
        <v>1.7393406387008249E-2</v>
      </c>
      <c r="G69" s="1"/>
      <c r="H69" s="1">
        <f>SUM(OSRRefH22_4x_0)</f>
        <v>641.35</v>
      </c>
      <c r="I69" s="1"/>
      <c r="J69" s="5">
        <f t="shared" si="37"/>
        <v>1.6486311618666104E-2</v>
      </c>
      <c r="K69" s="1"/>
      <c r="L69" s="1">
        <f t="shared" si="38"/>
        <v>358.78999999999996</v>
      </c>
      <c r="M69" s="1"/>
      <c r="N69" s="5">
        <f t="shared" si="39"/>
        <v>0.55942932875964757</v>
      </c>
      <c r="O69" s="14"/>
      <c r="P69" s="1">
        <f>SUM(OSRRefP22_4x_0)</f>
        <v>3474.58</v>
      </c>
      <c r="Q69" s="1"/>
      <c r="R69" s="5">
        <f t="shared" si="40"/>
        <v>1.6972801839517243E-2</v>
      </c>
      <c r="S69" s="1"/>
      <c r="T69" s="1">
        <f>SUM(OSRRefT22_4x_0)</f>
        <v>2314.27</v>
      </c>
      <c r="U69" s="1"/>
      <c r="V69" s="5">
        <f t="shared" si="41"/>
        <v>1.5969614073812827E-2</v>
      </c>
      <c r="W69" s="1"/>
      <c r="X69" s="1">
        <f t="shared" si="42"/>
        <v>1160.31</v>
      </c>
      <c r="Y69" s="1"/>
      <c r="Z69" s="5">
        <f t="shared" si="43"/>
        <v>0.5013719228957727</v>
      </c>
    </row>
    <row r="70" spans="1:26" s="24" customFormat="1" hidden="1" outlineLevel="2" x14ac:dyDescent="0.3">
      <c r="A70" s="28"/>
      <c r="B70" s="11" t="str">
        <f>CONCATENATE("          ", "6381", " - ", "BANK/CREDIT CARD FEES")</f>
        <v xml:space="preserve">          6381 - BANK/CREDIT CARD FEES</v>
      </c>
      <c r="C70" s="11"/>
      <c r="D70" s="6">
        <v>1000.14</v>
      </c>
      <c r="E70" s="2"/>
      <c r="F70" s="7">
        <f t="shared" si="36"/>
        <v>1.7393406387008249E-2</v>
      </c>
      <c r="G70" s="2"/>
      <c r="H70" s="6">
        <v>641.35</v>
      </c>
      <c r="I70" s="2"/>
      <c r="J70" s="7">
        <f t="shared" si="37"/>
        <v>1.6486311618666104E-2</v>
      </c>
      <c r="K70" s="2"/>
      <c r="L70" s="6">
        <f t="shared" si="38"/>
        <v>358.78999999999996</v>
      </c>
      <c r="M70" s="2"/>
      <c r="N70" s="7">
        <f t="shared" si="39"/>
        <v>0.55942932875964757</v>
      </c>
      <c r="O70" s="11"/>
      <c r="P70" s="6">
        <v>3474.58</v>
      </c>
      <c r="Q70" s="2"/>
      <c r="R70" s="7">
        <f t="shared" si="40"/>
        <v>1.6972801839517243E-2</v>
      </c>
      <c r="S70" s="2"/>
      <c r="T70" s="6">
        <v>2314.27</v>
      </c>
      <c r="U70" s="2"/>
      <c r="V70" s="7">
        <f t="shared" si="41"/>
        <v>1.5969614073812827E-2</v>
      </c>
      <c r="W70" s="2"/>
      <c r="X70" s="6">
        <f t="shared" si="42"/>
        <v>1160.31</v>
      </c>
      <c r="Y70" s="2"/>
      <c r="Z70" s="7">
        <f t="shared" si="43"/>
        <v>0.5013719228957727</v>
      </c>
    </row>
    <row r="71" spans="1:26" s="29" customFormat="1" outlineLevel="1" collapsed="1" x14ac:dyDescent="0.3">
      <c r="A71" s="27"/>
      <c r="B71" s="14" t="str">
        <f>CONCATENATE("     ","Discounts and Markdowns                           ")</f>
        <v xml:space="preserve">     Discounts and Markdowns                           </v>
      </c>
      <c r="C71" s="14"/>
      <c r="D71" s="1">
        <f>SUM(OSRRefD22_5x_0)</f>
        <v>0</v>
      </c>
      <c r="E71" s="1"/>
      <c r="F71" s="5">
        <f t="shared" si="36"/>
        <v>0</v>
      </c>
      <c r="G71" s="1"/>
      <c r="H71" s="1">
        <f>SUM(OSRRefH22_5x_0)</f>
        <v>0</v>
      </c>
      <c r="I71" s="1"/>
      <c r="J71" s="5">
        <f t="shared" si="37"/>
        <v>0</v>
      </c>
      <c r="K71" s="1"/>
      <c r="L71" s="1">
        <f t="shared" si="38"/>
        <v>0</v>
      </c>
      <c r="M71" s="1"/>
      <c r="N71" s="5">
        <f t="shared" si="39"/>
        <v>0</v>
      </c>
      <c r="O71" s="14"/>
      <c r="P71" s="1">
        <f>SUM(OSRRefP22_5x_0)</f>
        <v>0</v>
      </c>
      <c r="Q71" s="1"/>
      <c r="R71" s="5">
        <f t="shared" si="40"/>
        <v>0</v>
      </c>
      <c r="S71" s="1"/>
      <c r="T71" s="1">
        <f>SUM(OSRRefT22_5x_0)</f>
        <v>0</v>
      </c>
      <c r="U71" s="1"/>
      <c r="V71" s="5">
        <f t="shared" si="41"/>
        <v>0</v>
      </c>
      <c r="W71" s="1"/>
      <c r="X71" s="1">
        <f t="shared" si="42"/>
        <v>0</v>
      </c>
      <c r="Y71" s="1"/>
      <c r="Z71" s="5">
        <f t="shared" si="43"/>
        <v>0</v>
      </c>
    </row>
    <row r="72" spans="1:26" s="24" customFormat="1" hidden="1" outlineLevel="2" x14ac:dyDescent="0.3">
      <c r="A72" s="28"/>
      <c r="B72" s="11" t="str">
        <f>CONCATENATE("          ", "6382", " - ", "DISCOUNTS/MARK DOWNS")</f>
        <v xml:space="preserve">          6382 - DISCOUNTS/MARK DOWNS</v>
      </c>
      <c r="C72" s="11"/>
      <c r="D72" s="6"/>
      <c r="E72" s="2"/>
      <c r="F72" s="7">
        <f t="shared" si="36"/>
        <v>0</v>
      </c>
      <c r="G72" s="2"/>
      <c r="H72" s="6">
        <v>0</v>
      </c>
      <c r="I72" s="2"/>
      <c r="J72" s="7">
        <f t="shared" si="37"/>
        <v>0</v>
      </c>
      <c r="K72" s="2"/>
      <c r="L72" s="6">
        <f t="shared" si="38"/>
        <v>0</v>
      </c>
      <c r="M72" s="2"/>
      <c r="N72" s="7">
        <f t="shared" si="39"/>
        <v>0</v>
      </c>
      <c r="O72" s="11"/>
      <c r="P72" s="6"/>
      <c r="Q72" s="2"/>
      <c r="R72" s="7">
        <f t="shared" si="40"/>
        <v>0</v>
      </c>
      <c r="S72" s="2"/>
      <c r="T72" s="6">
        <v>0</v>
      </c>
      <c r="U72" s="2"/>
      <c r="V72" s="7">
        <f t="shared" si="41"/>
        <v>0</v>
      </c>
      <c r="W72" s="2"/>
      <c r="X72" s="6">
        <f t="shared" si="42"/>
        <v>0</v>
      </c>
      <c r="Y72" s="2"/>
      <c r="Z72" s="7">
        <f t="shared" si="43"/>
        <v>0</v>
      </c>
    </row>
    <row r="73" spans="1:26" s="29" customFormat="1" outlineLevel="1" collapsed="1" x14ac:dyDescent="0.3">
      <c r="A73" s="27"/>
      <c r="B73" s="14" t="str">
        <f>CONCATENATE("     ","General                                           ")</f>
        <v xml:space="preserve">     General                                           </v>
      </c>
      <c r="C73" s="14"/>
      <c r="D73" s="1">
        <f>SUM(OSRRefD22_6x_0)</f>
        <v>160</v>
      </c>
      <c r="E73" s="1"/>
      <c r="F73" s="5">
        <f t="shared" si="36"/>
        <v>2.7825554641563379E-3</v>
      </c>
      <c r="G73" s="1"/>
      <c r="H73" s="1">
        <f>SUM(OSRRefH22_6x_0)</f>
        <v>1285.46</v>
      </c>
      <c r="I73" s="1"/>
      <c r="J73" s="5">
        <f t="shared" si="37"/>
        <v>3.3043570801170236E-2</v>
      </c>
      <c r="K73" s="1"/>
      <c r="L73" s="1">
        <f t="shared" si="38"/>
        <v>-1125.46</v>
      </c>
      <c r="M73" s="1"/>
      <c r="N73" s="5">
        <f t="shared" si="39"/>
        <v>-0.8755309383411386</v>
      </c>
      <c r="O73" s="14"/>
      <c r="P73" s="1">
        <f>SUM(OSRRefP22_6x_0)</f>
        <v>1295.0899999999999</v>
      </c>
      <c r="Q73" s="1"/>
      <c r="R73" s="5">
        <f t="shared" si="40"/>
        <v>6.3263202845640016E-3</v>
      </c>
      <c r="S73" s="1"/>
      <c r="T73" s="1">
        <f>SUM(OSRRefT22_6x_0)</f>
        <v>1285.46</v>
      </c>
      <c r="U73" s="1"/>
      <c r="V73" s="5">
        <f t="shared" si="41"/>
        <v>8.8703133633169142E-3</v>
      </c>
      <c r="W73" s="1"/>
      <c r="X73" s="1">
        <f t="shared" si="42"/>
        <v>9.6299999999998818</v>
      </c>
      <c r="Y73" s="1"/>
      <c r="Z73" s="5">
        <f t="shared" si="43"/>
        <v>7.4914816485926296E-3</v>
      </c>
    </row>
    <row r="74" spans="1:26" s="24" customFormat="1" hidden="1" outlineLevel="2" x14ac:dyDescent="0.3">
      <c r="A74" s="28"/>
      <c r="B74" s="11" t="str">
        <f>CONCATENATE("          ", "6279", " - ", "GENERAL EXPENSE")</f>
        <v xml:space="preserve">          6279 - GENERAL EXPENSE</v>
      </c>
      <c r="C74" s="11"/>
      <c r="D74" s="6">
        <v>160</v>
      </c>
      <c r="E74" s="2"/>
      <c r="F74" s="7">
        <f t="shared" si="36"/>
        <v>2.7825554641563379E-3</v>
      </c>
      <c r="G74" s="2"/>
      <c r="H74" s="6">
        <v>1285.46</v>
      </c>
      <c r="I74" s="2"/>
      <c r="J74" s="7">
        <f t="shared" si="37"/>
        <v>3.3043570801170236E-2</v>
      </c>
      <c r="K74" s="2"/>
      <c r="L74" s="6">
        <f t="shared" si="38"/>
        <v>-1125.46</v>
      </c>
      <c r="M74" s="2"/>
      <c r="N74" s="7">
        <f t="shared" si="39"/>
        <v>-0.8755309383411386</v>
      </c>
      <c r="O74" s="11"/>
      <c r="P74" s="6">
        <v>1295.0899999999999</v>
      </c>
      <c r="Q74" s="2"/>
      <c r="R74" s="7">
        <f t="shared" si="40"/>
        <v>6.3263202845640016E-3</v>
      </c>
      <c r="S74" s="2"/>
      <c r="T74" s="6">
        <v>1285.46</v>
      </c>
      <c r="U74" s="2"/>
      <c r="V74" s="7">
        <f t="shared" si="41"/>
        <v>8.8703133633169142E-3</v>
      </c>
      <c r="W74" s="2"/>
      <c r="X74" s="6">
        <f t="shared" si="42"/>
        <v>9.6299999999998818</v>
      </c>
      <c r="Y74" s="2"/>
      <c r="Z74" s="7">
        <f t="shared" si="43"/>
        <v>7.4914816485926296E-3</v>
      </c>
    </row>
    <row r="75" spans="1:26" s="29" customFormat="1" outlineLevel="1" collapsed="1" x14ac:dyDescent="0.3">
      <c r="A75" s="27"/>
      <c r="B75" s="14" t="str">
        <f>CONCATENATE("     ","Insurance                                         ")</f>
        <v xml:space="preserve">     Insurance                                         </v>
      </c>
      <c r="C75" s="14"/>
      <c r="D75" s="1">
        <f>SUM(OSRRefD22_7x_0)</f>
        <v>219.08</v>
      </c>
      <c r="E75" s="1"/>
      <c r="F75" s="5">
        <f t="shared" si="36"/>
        <v>3.8100140692960659E-3</v>
      </c>
      <c r="G75" s="1"/>
      <c r="H75" s="1">
        <f>SUM(OSRRefH22_7x_0)</f>
        <v>161.18</v>
      </c>
      <c r="I75" s="1"/>
      <c r="J75" s="5">
        <f t="shared" si="37"/>
        <v>4.1432349055844746E-3</v>
      </c>
      <c r="K75" s="1"/>
      <c r="L75" s="1">
        <f t="shared" si="38"/>
        <v>57.900000000000006</v>
      </c>
      <c r="M75" s="1"/>
      <c r="N75" s="5">
        <f t="shared" si="39"/>
        <v>0.35922571038590395</v>
      </c>
      <c r="O75" s="14"/>
      <c r="P75" s="1">
        <f>SUM(OSRRefP22_7x_0)</f>
        <v>1314.48</v>
      </c>
      <c r="Q75" s="1"/>
      <c r="R75" s="5">
        <f t="shared" si="40"/>
        <v>6.421037524537823E-3</v>
      </c>
      <c r="S75" s="1"/>
      <c r="T75" s="1">
        <f>SUM(OSRRefT22_7x_0)</f>
        <v>967.08</v>
      </c>
      <c r="U75" s="1"/>
      <c r="V75" s="5">
        <f t="shared" si="41"/>
        <v>6.6733330071698238E-3</v>
      </c>
      <c r="W75" s="1"/>
      <c r="X75" s="1">
        <f t="shared" si="42"/>
        <v>347.4</v>
      </c>
      <c r="Y75" s="1"/>
      <c r="Z75" s="5">
        <f t="shared" si="43"/>
        <v>0.3592257103859039</v>
      </c>
    </row>
    <row r="76" spans="1:26" s="24" customFormat="1" hidden="1" outlineLevel="2" x14ac:dyDescent="0.3">
      <c r="A76" s="28"/>
      <c r="B76" s="11" t="str">
        <f>CONCATENATE("          ", "6314", " - ", "LIABILITY INSURANCE")</f>
        <v xml:space="preserve">          6314 - LIABILITY INSURANCE</v>
      </c>
      <c r="C76" s="11"/>
      <c r="D76" s="6">
        <v>219.08</v>
      </c>
      <c r="E76" s="2"/>
      <c r="F76" s="7">
        <f t="shared" si="36"/>
        <v>3.8100140692960659E-3</v>
      </c>
      <c r="G76" s="2"/>
      <c r="H76" s="6">
        <v>161.18</v>
      </c>
      <c r="I76" s="2"/>
      <c r="J76" s="7">
        <f t="shared" si="37"/>
        <v>4.1432349055844746E-3</v>
      </c>
      <c r="K76" s="2"/>
      <c r="L76" s="6">
        <f t="shared" si="38"/>
        <v>57.900000000000006</v>
      </c>
      <c r="M76" s="2"/>
      <c r="N76" s="7">
        <f t="shared" si="39"/>
        <v>0.35922571038590395</v>
      </c>
      <c r="O76" s="11"/>
      <c r="P76" s="6">
        <v>1314.48</v>
      </c>
      <c r="Q76" s="2"/>
      <c r="R76" s="7">
        <f t="shared" si="40"/>
        <v>6.421037524537823E-3</v>
      </c>
      <c r="S76" s="2"/>
      <c r="T76" s="6">
        <v>967.08</v>
      </c>
      <c r="U76" s="2"/>
      <c r="V76" s="7">
        <f t="shared" si="41"/>
        <v>6.6733330071698238E-3</v>
      </c>
      <c r="W76" s="2"/>
      <c r="X76" s="6">
        <f t="shared" si="42"/>
        <v>347.4</v>
      </c>
      <c r="Y76" s="2"/>
      <c r="Z76" s="7">
        <f t="shared" si="43"/>
        <v>0.3592257103859039</v>
      </c>
    </row>
    <row r="77" spans="1:26" s="29" customFormat="1" outlineLevel="1" collapsed="1" x14ac:dyDescent="0.3">
      <c r="A77" s="27"/>
      <c r="B77" s="14" t="str">
        <f>CONCATENATE("     ","Inventory Adjustment                              ")</f>
        <v xml:space="preserve">     Inventory Adjustment                              </v>
      </c>
      <c r="C77" s="14"/>
      <c r="D77" s="1">
        <f>SUM(OSRRefD22_8x_0)</f>
        <v>100</v>
      </c>
      <c r="E77" s="1"/>
      <c r="F77" s="5">
        <f t="shared" si="36"/>
        <v>1.7390971650977113E-3</v>
      </c>
      <c r="G77" s="1"/>
      <c r="H77" s="1">
        <f>SUM(OSRRefH22_8x_0)</f>
        <v>100</v>
      </c>
      <c r="I77" s="1"/>
      <c r="J77" s="5">
        <f t="shared" si="37"/>
        <v>2.5705639071748818E-3</v>
      </c>
      <c r="K77" s="1"/>
      <c r="L77" s="1">
        <f t="shared" si="38"/>
        <v>0</v>
      </c>
      <c r="M77" s="1"/>
      <c r="N77" s="5">
        <f t="shared" si="39"/>
        <v>0</v>
      </c>
      <c r="O77" s="14"/>
      <c r="P77" s="1">
        <f>SUM(OSRRefP22_8x_0)</f>
        <v>600</v>
      </c>
      <c r="Q77" s="1"/>
      <c r="R77" s="5">
        <f t="shared" si="40"/>
        <v>2.9309099527742482E-3</v>
      </c>
      <c r="S77" s="1"/>
      <c r="T77" s="1">
        <f>SUM(OSRRefT22_8x_0)</f>
        <v>600</v>
      </c>
      <c r="U77" s="1"/>
      <c r="V77" s="5">
        <f t="shared" si="41"/>
        <v>4.1402984285704332E-3</v>
      </c>
      <c r="W77" s="1"/>
      <c r="X77" s="1">
        <f t="shared" si="42"/>
        <v>0</v>
      </c>
      <c r="Y77" s="1"/>
      <c r="Z77" s="5">
        <f t="shared" si="43"/>
        <v>0</v>
      </c>
    </row>
    <row r="78" spans="1:26" s="24" customFormat="1" hidden="1" outlineLevel="2" x14ac:dyDescent="0.3">
      <c r="A78" s="28"/>
      <c r="B78" s="11" t="str">
        <f>CONCATENATE("          ", "6408", " - ", "INVENTORY ADJUSTMENT")</f>
        <v xml:space="preserve">          6408 - INVENTORY ADJUSTMENT</v>
      </c>
      <c r="C78" s="11"/>
      <c r="D78" s="6">
        <v>100</v>
      </c>
      <c r="E78" s="2"/>
      <c r="F78" s="7">
        <f t="shared" si="36"/>
        <v>1.7390971650977113E-3</v>
      </c>
      <c r="G78" s="2"/>
      <c r="H78" s="6">
        <v>100</v>
      </c>
      <c r="I78" s="2"/>
      <c r="J78" s="7">
        <f t="shared" si="37"/>
        <v>2.5705639071748818E-3</v>
      </c>
      <c r="K78" s="2"/>
      <c r="L78" s="6">
        <f t="shared" si="38"/>
        <v>0</v>
      </c>
      <c r="M78" s="2"/>
      <c r="N78" s="7">
        <f t="shared" si="39"/>
        <v>0</v>
      </c>
      <c r="O78" s="11"/>
      <c r="P78" s="6">
        <v>600</v>
      </c>
      <c r="Q78" s="2"/>
      <c r="R78" s="7">
        <f t="shared" si="40"/>
        <v>2.9309099527742482E-3</v>
      </c>
      <c r="S78" s="2"/>
      <c r="T78" s="6">
        <v>600</v>
      </c>
      <c r="U78" s="2"/>
      <c r="V78" s="7">
        <f t="shared" si="41"/>
        <v>4.1402984285704332E-3</v>
      </c>
      <c r="W78" s="2"/>
      <c r="X78" s="6">
        <f t="shared" si="42"/>
        <v>0</v>
      </c>
      <c r="Y78" s="2"/>
      <c r="Z78" s="7">
        <f t="shared" si="43"/>
        <v>0</v>
      </c>
    </row>
    <row r="79" spans="1:26" s="29" customFormat="1" outlineLevel="1" collapsed="1" x14ac:dyDescent="0.3">
      <c r="A79" s="27"/>
      <c r="B79" s="14" t="str">
        <f>CONCATENATE("     ","Professional Services                             ")</f>
        <v xml:space="preserve">     Professional Services                             </v>
      </c>
      <c r="C79" s="14"/>
      <c r="D79" s="1">
        <f>SUM(OSRRefD22_9x_0)</f>
        <v>0</v>
      </c>
      <c r="E79" s="1"/>
      <c r="F79" s="5">
        <f t="shared" si="36"/>
        <v>0</v>
      </c>
      <c r="G79" s="1"/>
      <c r="H79" s="1">
        <f>SUM(OSRRefH22_9x_0)</f>
        <v>0</v>
      </c>
      <c r="I79" s="1"/>
      <c r="J79" s="5">
        <f t="shared" si="37"/>
        <v>0</v>
      </c>
      <c r="K79" s="1"/>
      <c r="L79" s="1">
        <f t="shared" si="38"/>
        <v>0</v>
      </c>
      <c r="M79" s="1"/>
      <c r="N79" s="5">
        <f t="shared" si="39"/>
        <v>0</v>
      </c>
      <c r="O79" s="14"/>
      <c r="P79" s="1">
        <f>SUM(OSRRefP22_9x_0)</f>
        <v>161.46</v>
      </c>
      <c r="Q79" s="1"/>
      <c r="R79" s="5">
        <f t="shared" si="40"/>
        <v>7.8870786829155024E-4</v>
      </c>
      <c r="S79" s="1"/>
      <c r="T79" s="1">
        <f>SUM(OSRRefT22_9x_0)</f>
        <v>0</v>
      </c>
      <c r="U79" s="1"/>
      <c r="V79" s="5">
        <f t="shared" si="41"/>
        <v>0</v>
      </c>
      <c r="W79" s="1"/>
      <c r="X79" s="1">
        <f t="shared" si="42"/>
        <v>161.46</v>
      </c>
      <c r="Y79" s="1"/>
      <c r="Z79" s="5">
        <f t="shared" si="43"/>
        <v>0</v>
      </c>
    </row>
    <row r="80" spans="1:26" s="24" customFormat="1" hidden="1" outlineLevel="2" x14ac:dyDescent="0.3">
      <c r="A80" s="28"/>
      <c r="B80" s="11" t="str">
        <f>CONCATENATE("          ", "6336", " - ", "PROFESSIONAL SERVICES")</f>
        <v xml:space="preserve">          6336 - PROFESSIONAL SERVICES</v>
      </c>
      <c r="C80" s="11"/>
      <c r="D80" s="6"/>
      <c r="E80" s="2"/>
      <c r="F80" s="7">
        <f t="shared" si="36"/>
        <v>0</v>
      </c>
      <c r="G80" s="2"/>
      <c r="H80" s="6"/>
      <c r="I80" s="2"/>
      <c r="J80" s="7">
        <f t="shared" si="37"/>
        <v>0</v>
      </c>
      <c r="K80" s="2"/>
      <c r="L80" s="6">
        <f t="shared" si="38"/>
        <v>0</v>
      </c>
      <c r="M80" s="2"/>
      <c r="N80" s="7">
        <f t="shared" si="39"/>
        <v>0</v>
      </c>
      <c r="O80" s="11"/>
      <c r="P80" s="6">
        <v>161.46</v>
      </c>
      <c r="Q80" s="2"/>
      <c r="R80" s="7">
        <f t="shared" si="40"/>
        <v>7.8870786829155024E-4</v>
      </c>
      <c r="S80" s="2"/>
      <c r="T80" s="6"/>
      <c r="U80" s="2"/>
      <c r="V80" s="7">
        <f t="shared" si="41"/>
        <v>0</v>
      </c>
      <c r="W80" s="2"/>
      <c r="X80" s="6">
        <f t="shared" si="42"/>
        <v>161.46</v>
      </c>
      <c r="Y80" s="2"/>
      <c r="Z80" s="7">
        <f t="shared" si="43"/>
        <v>0</v>
      </c>
    </row>
    <row r="81" spans="1:26" s="29" customFormat="1" outlineLevel="1" collapsed="1" x14ac:dyDescent="0.3">
      <c r="A81" s="27"/>
      <c r="B81" s="14" t="str">
        <f>CONCATENATE("     ","Rent                                              ")</f>
        <v xml:space="preserve">     Rent                                              </v>
      </c>
      <c r="C81" s="14"/>
      <c r="D81" s="1">
        <f>SUM(OSRRefD22_10x_0)</f>
        <v>6900</v>
      </c>
      <c r="E81" s="1"/>
      <c r="F81" s="5">
        <f t="shared" si="36"/>
        <v>0.11999770439174208</v>
      </c>
      <c r="G81" s="1"/>
      <c r="H81" s="1">
        <f>SUM(OSRRefH22_10x_0)</f>
        <v>6900</v>
      </c>
      <c r="I81" s="1"/>
      <c r="J81" s="5">
        <f t="shared" si="37"/>
        <v>0.17736890959506685</v>
      </c>
      <c r="K81" s="1"/>
      <c r="L81" s="1">
        <f t="shared" si="38"/>
        <v>0</v>
      </c>
      <c r="M81" s="1"/>
      <c r="N81" s="5">
        <f t="shared" si="39"/>
        <v>0</v>
      </c>
      <c r="O81" s="14"/>
      <c r="P81" s="1">
        <f>SUM(OSRRefP22_10x_0)</f>
        <v>41400</v>
      </c>
      <c r="Q81" s="1"/>
      <c r="R81" s="5">
        <f t="shared" si="40"/>
        <v>0.20223278674142312</v>
      </c>
      <c r="S81" s="1"/>
      <c r="T81" s="1">
        <f>SUM(OSRRefT22_10x_0)</f>
        <v>41400</v>
      </c>
      <c r="U81" s="1"/>
      <c r="V81" s="5">
        <f t="shared" si="41"/>
        <v>0.28568059157135989</v>
      </c>
      <c r="W81" s="1"/>
      <c r="X81" s="1">
        <f t="shared" si="42"/>
        <v>0</v>
      </c>
      <c r="Y81" s="1"/>
      <c r="Z81" s="5">
        <f t="shared" si="43"/>
        <v>0</v>
      </c>
    </row>
    <row r="82" spans="1:26" s="24" customFormat="1" hidden="1" outlineLevel="2" x14ac:dyDescent="0.3">
      <c r="A82" s="28"/>
      <c r="B82" s="11" t="str">
        <f>CONCATENATE("          ", "6273", " - ", "RENT")</f>
        <v xml:space="preserve">          6273 - RENT</v>
      </c>
      <c r="C82" s="11"/>
      <c r="D82" s="6">
        <v>6900</v>
      </c>
      <c r="E82" s="2"/>
      <c r="F82" s="7">
        <f t="shared" si="36"/>
        <v>0.11999770439174208</v>
      </c>
      <c r="G82" s="2"/>
      <c r="H82" s="6">
        <v>6900</v>
      </c>
      <c r="I82" s="2"/>
      <c r="J82" s="7">
        <f t="shared" si="37"/>
        <v>0.17736890959506685</v>
      </c>
      <c r="K82" s="2"/>
      <c r="L82" s="6">
        <f t="shared" si="38"/>
        <v>0</v>
      </c>
      <c r="M82" s="2"/>
      <c r="N82" s="7">
        <f t="shared" si="39"/>
        <v>0</v>
      </c>
      <c r="O82" s="11"/>
      <c r="P82" s="6">
        <v>41400</v>
      </c>
      <c r="Q82" s="2"/>
      <c r="R82" s="7">
        <f t="shared" si="40"/>
        <v>0.20223278674142312</v>
      </c>
      <c r="S82" s="2"/>
      <c r="T82" s="6">
        <v>41400</v>
      </c>
      <c r="U82" s="2"/>
      <c r="V82" s="7">
        <f t="shared" si="41"/>
        <v>0.28568059157135989</v>
      </c>
      <c r="W82" s="2"/>
      <c r="X82" s="6">
        <f t="shared" si="42"/>
        <v>0</v>
      </c>
      <c r="Y82" s="2"/>
      <c r="Z82" s="7">
        <f t="shared" si="43"/>
        <v>0</v>
      </c>
    </row>
    <row r="83" spans="1:26" s="29" customFormat="1" outlineLevel="1" collapsed="1" x14ac:dyDescent="0.3">
      <c r="A83" s="27"/>
      <c r="B83" s="14" t="str">
        <f>CONCATENATE("     ","Repair and Maintenance                            ")</f>
        <v xml:space="preserve">     Repair and Maintenance                            </v>
      </c>
      <c r="C83" s="14"/>
      <c r="D83" s="1">
        <f>SUM(OSRRefD22_11x_0)</f>
        <v>282.92</v>
      </c>
      <c r="E83" s="1"/>
      <c r="F83" s="5">
        <f t="shared" si="36"/>
        <v>4.9202536994944444E-3</v>
      </c>
      <c r="G83" s="1"/>
      <c r="H83" s="1">
        <f>SUM(OSRRefH22_11x_0)</f>
        <v>48.23</v>
      </c>
      <c r="I83" s="1"/>
      <c r="J83" s="5">
        <f t="shared" si="37"/>
        <v>1.2397829724304454E-3</v>
      </c>
      <c r="K83" s="1"/>
      <c r="L83" s="1">
        <f t="shared" si="38"/>
        <v>234.69000000000003</v>
      </c>
      <c r="M83" s="1"/>
      <c r="N83" s="5">
        <f t="shared" si="39"/>
        <v>4.8660584698320557</v>
      </c>
      <c r="O83" s="14"/>
      <c r="P83" s="1">
        <f>SUM(OSRRefP22_11x_0)</f>
        <v>1286.6399999999999</v>
      </c>
      <c r="Q83" s="1"/>
      <c r="R83" s="5">
        <f t="shared" si="40"/>
        <v>6.2850433027290967E-3</v>
      </c>
      <c r="S83" s="1"/>
      <c r="T83" s="1">
        <f>SUM(OSRRefT22_11x_0)</f>
        <v>96.44</v>
      </c>
      <c r="U83" s="1"/>
      <c r="V83" s="5">
        <f t="shared" si="41"/>
        <v>6.6548396741888754E-4</v>
      </c>
      <c r="W83" s="1"/>
      <c r="X83" s="1">
        <f t="shared" si="42"/>
        <v>1190.1999999999998</v>
      </c>
      <c r="Y83" s="1"/>
      <c r="Z83" s="5">
        <f t="shared" si="43"/>
        <v>12.341352136043135</v>
      </c>
    </row>
    <row r="84" spans="1:26" s="24" customFormat="1" hidden="1" outlineLevel="2" x14ac:dyDescent="0.3">
      <c r="A84" s="28"/>
      <c r="B84" s="11" t="str">
        <f>CONCATENATE("          ", "6372", " - ", "COMPUTER HARDWARE MAINTENANCE")</f>
        <v xml:space="preserve">          6372 - COMPUTER HARDWARE MAINTENANCE</v>
      </c>
      <c r="C84" s="11"/>
      <c r="D84" s="6"/>
      <c r="E84" s="2"/>
      <c r="F84" s="7">
        <f t="shared" si="36"/>
        <v>0</v>
      </c>
      <c r="G84" s="2"/>
      <c r="H84" s="6"/>
      <c r="I84" s="2"/>
      <c r="J84" s="7">
        <f t="shared" si="37"/>
        <v>0</v>
      </c>
      <c r="K84" s="2"/>
      <c r="L84" s="6">
        <f t="shared" si="38"/>
        <v>0</v>
      </c>
      <c r="M84" s="2"/>
      <c r="N84" s="7">
        <f t="shared" si="39"/>
        <v>0</v>
      </c>
      <c r="O84" s="11"/>
      <c r="P84" s="6"/>
      <c r="Q84" s="2"/>
      <c r="R84" s="7">
        <f t="shared" si="40"/>
        <v>0</v>
      </c>
      <c r="S84" s="2"/>
      <c r="T84" s="6">
        <v>0</v>
      </c>
      <c r="U84" s="2"/>
      <c r="V84" s="7">
        <f t="shared" si="41"/>
        <v>0</v>
      </c>
      <c r="W84" s="2"/>
      <c r="X84" s="6">
        <f t="shared" si="42"/>
        <v>0</v>
      </c>
      <c r="Y84" s="2"/>
      <c r="Z84" s="7">
        <f t="shared" si="43"/>
        <v>0</v>
      </c>
    </row>
    <row r="85" spans="1:26" s="24" customFormat="1" hidden="1" outlineLevel="2" x14ac:dyDescent="0.3">
      <c r="A85" s="28"/>
      <c r="B85" s="11" t="str">
        <f>CONCATENATE("          ", "6373", " - ", "MAINTENANCE CONTRACTS")</f>
        <v xml:space="preserve">          6373 - MAINTENANCE CONTRACTS</v>
      </c>
      <c r="C85" s="11"/>
      <c r="D85" s="6">
        <v>232.93</v>
      </c>
      <c r="E85" s="2"/>
      <c r="F85" s="7">
        <f t="shared" si="36"/>
        <v>4.050879026662099E-3</v>
      </c>
      <c r="G85" s="2"/>
      <c r="H85" s="6">
        <v>48.23</v>
      </c>
      <c r="I85" s="2"/>
      <c r="J85" s="7">
        <f t="shared" si="37"/>
        <v>1.2397829724304454E-3</v>
      </c>
      <c r="K85" s="2"/>
      <c r="L85" s="6">
        <f t="shared" si="38"/>
        <v>184.70000000000002</v>
      </c>
      <c r="M85" s="2"/>
      <c r="N85" s="7">
        <f t="shared" si="39"/>
        <v>3.8295666597553395</v>
      </c>
      <c r="O85" s="11"/>
      <c r="P85" s="6">
        <v>463.83</v>
      </c>
      <c r="Q85" s="2"/>
      <c r="R85" s="7">
        <f t="shared" si="40"/>
        <v>2.2657399389921324E-3</v>
      </c>
      <c r="S85" s="2"/>
      <c r="T85" s="6">
        <v>96.44</v>
      </c>
      <c r="U85" s="2"/>
      <c r="V85" s="7">
        <f t="shared" si="41"/>
        <v>6.6548396741888754E-4</v>
      </c>
      <c r="W85" s="2"/>
      <c r="X85" s="6">
        <f t="shared" si="42"/>
        <v>367.39</v>
      </c>
      <c r="Y85" s="2"/>
      <c r="Z85" s="7">
        <f t="shared" si="43"/>
        <v>3.8095188718374118</v>
      </c>
    </row>
    <row r="86" spans="1:26" s="24" customFormat="1" hidden="1" outlineLevel="2" x14ac:dyDescent="0.3">
      <c r="A86" s="28"/>
      <c r="B86" s="11" t="str">
        <f>CONCATENATE("          ", "6375", " - ", "OUTSIDE REPAIRS &amp; MAINTENANCE")</f>
        <v xml:space="preserve">          6375 - OUTSIDE REPAIRS &amp; MAINTENANCE</v>
      </c>
      <c r="C86" s="11"/>
      <c r="D86" s="6">
        <v>49.99</v>
      </c>
      <c r="E86" s="2"/>
      <c r="F86" s="7">
        <f t="shared" si="36"/>
        <v>8.6937467283234584E-4</v>
      </c>
      <c r="G86" s="2"/>
      <c r="H86" s="6"/>
      <c r="I86" s="2"/>
      <c r="J86" s="7">
        <f t="shared" si="37"/>
        <v>0</v>
      </c>
      <c r="K86" s="2"/>
      <c r="L86" s="6">
        <f t="shared" si="38"/>
        <v>49.99</v>
      </c>
      <c r="M86" s="2"/>
      <c r="N86" s="7">
        <f t="shared" si="39"/>
        <v>0</v>
      </c>
      <c r="O86" s="11"/>
      <c r="P86" s="6">
        <v>822.81</v>
      </c>
      <c r="Q86" s="2"/>
      <c r="R86" s="7">
        <f t="shared" si="40"/>
        <v>4.0193033637369651E-3</v>
      </c>
      <c r="S86" s="2"/>
      <c r="T86" s="6"/>
      <c r="U86" s="2"/>
      <c r="V86" s="7">
        <f t="shared" si="41"/>
        <v>0</v>
      </c>
      <c r="W86" s="2"/>
      <c r="X86" s="6">
        <f t="shared" si="42"/>
        <v>822.81</v>
      </c>
      <c r="Y86" s="2"/>
      <c r="Z86" s="7">
        <f t="shared" si="43"/>
        <v>0</v>
      </c>
    </row>
    <row r="87" spans="1:26" s="29" customFormat="1" outlineLevel="1" collapsed="1" x14ac:dyDescent="0.3">
      <c r="A87" s="27"/>
      <c r="B87" s="14" t="str">
        <f>CONCATENATE("     ","Services                                          ")</f>
        <v xml:space="preserve">     Services                                          </v>
      </c>
      <c r="C87" s="14"/>
      <c r="D87" s="1">
        <f>SUM(OSRRefD22_12x_0)</f>
        <v>223.45</v>
      </c>
      <c r="E87" s="1"/>
      <c r="F87" s="5">
        <f t="shared" ref="F87:F90" si="44">IF(D$12=0,0,D87/D$12)</f>
        <v>3.8860126154108355E-3</v>
      </c>
      <c r="G87" s="1"/>
      <c r="H87" s="1">
        <f>SUM(OSRRefH22_12x_0)</f>
        <v>224.41</v>
      </c>
      <c r="I87" s="1"/>
      <c r="J87" s="5">
        <f t="shared" ref="J87:J90" si="45">IF(H$12=0,0,H87/H$12)</f>
        <v>5.7686024640911521E-3</v>
      </c>
      <c r="K87" s="1"/>
      <c r="L87" s="1">
        <f t="shared" ref="L87:L90" si="46">+D87-H87</f>
        <v>-0.96000000000000796</v>
      </c>
      <c r="M87" s="1"/>
      <c r="N87" s="5">
        <f t="shared" ref="N87:N90" si="47">IF(H87=0,0,L87/H87)</f>
        <v>-4.2778842297580676E-3</v>
      </c>
      <c r="O87" s="14"/>
      <c r="P87" s="1">
        <f>SUM(OSRRefP22_12x_0)</f>
        <v>1029.92</v>
      </c>
      <c r="Q87" s="1"/>
      <c r="R87" s="5">
        <f t="shared" ref="R87:R90" si="48">IF(P$12=0,0,P87/P$12)</f>
        <v>5.0310046309354232E-3</v>
      </c>
      <c r="S87" s="1"/>
      <c r="T87" s="1">
        <f>SUM(OSRRefT22_12x_0)</f>
        <v>192.82000000000005</v>
      </c>
      <c r="U87" s="1"/>
      <c r="V87" s="5">
        <f t="shared" ref="V87:V90" si="49">IF(T$12=0,0,T87/T$12)</f>
        <v>1.3305539049949186E-3</v>
      </c>
      <c r="W87" s="1"/>
      <c r="X87" s="1">
        <f t="shared" ref="X87:X90" si="50">+P87-T87</f>
        <v>837.1</v>
      </c>
      <c r="Y87" s="1"/>
      <c r="Z87" s="5">
        <f t="shared" ref="Z87:Z90" si="51">IF(T87=0,0,X87/T87)</f>
        <v>4.3413546312623161</v>
      </c>
    </row>
    <row r="88" spans="1:26" s="24" customFormat="1" hidden="1" outlineLevel="2" x14ac:dyDescent="0.3">
      <c r="A88" s="28"/>
      <c r="B88" s="11" t="str">
        <f>CONCATENATE("          ", "6283", " - ", "PLANT SERVICE")</f>
        <v xml:space="preserve">          6283 - PLANT SERVICE</v>
      </c>
      <c r="C88" s="11"/>
      <c r="D88" s="6"/>
      <c r="E88" s="2"/>
      <c r="F88" s="7">
        <f t="shared" si="44"/>
        <v>0</v>
      </c>
      <c r="G88" s="2"/>
      <c r="H88" s="6"/>
      <c r="I88" s="2"/>
      <c r="J88" s="7">
        <f t="shared" si="45"/>
        <v>0</v>
      </c>
      <c r="K88" s="2"/>
      <c r="L88" s="6">
        <f t="shared" si="46"/>
        <v>0</v>
      </c>
      <c r="M88" s="2"/>
      <c r="N88" s="7">
        <f t="shared" si="47"/>
        <v>0</v>
      </c>
      <c r="O88" s="11"/>
      <c r="P88" s="6"/>
      <c r="Q88" s="2"/>
      <c r="R88" s="7">
        <f t="shared" si="48"/>
        <v>0</v>
      </c>
      <c r="S88" s="2"/>
      <c r="T88" s="6">
        <v>41.31</v>
      </c>
      <c r="U88" s="2"/>
      <c r="V88" s="7">
        <f t="shared" si="49"/>
        <v>2.8505954680707433E-4</v>
      </c>
      <c r="W88" s="2"/>
      <c r="X88" s="6">
        <f t="shared" si="50"/>
        <v>-41.31</v>
      </c>
      <c r="Y88" s="2"/>
      <c r="Z88" s="7">
        <f t="shared" si="51"/>
        <v>-1</v>
      </c>
    </row>
    <row r="89" spans="1:26" s="24" customFormat="1" hidden="1" outlineLevel="2" x14ac:dyDescent="0.3">
      <c r="A89" s="28"/>
      <c r="B89" s="11" t="str">
        <f>CONCATENATE("          ", "6284", " - ", "TRASH REMOVAL EXPENSE")</f>
        <v xml:space="preserve">          6284 - TRASH REMOVAL EXPENSE</v>
      </c>
      <c r="C89" s="11"/>
      <c r="D89" s="6">
        <v>149.69999999999999</v>
      </c>
      <c r="E89" s="2"/>
      <c r="F89" s="7">
        <f t="shared" si="44"/>
        <v>2.6034284561512735E-3</v>
      </c>
      <c r="G89" s="2"/>
      <c r="H89" s="6">
        <v>285.14</v>
      </c>
      <c r="I89" s="2"/>
      <c r="J89" s="7">
        <f t="shared" si="45"/>
        <v>7.3297059249184575E-3</v>
      </c>
      <c r="K89" s="2"/>
      <c r="L89" s="6">
        <f t="shared" si="46"/>
        <v>-135.44</v>
      </c>
      <c r="M89" s="2"/>
      <c r="N89" s="7">
        <f t="shared" si="47"/>
        <v>-0.47499473942624676</v>
      </c>
      <c r="O89" s="11"/>
      <c r="P89" s="6">
        <v>891.07</v>
      </c>
      <c r="Q89" s="2"/>
      <c r="R89" s="7">
        <f t="shared" si="48"/>
        <v>4.3527432193642491E-3</v>
      </c>
      <c r="S89" s="2"/>
      <c r="T89" s="6">
        <v>870.44</v>
      </c>
      <c r="U89" s="2"/>
      <c r="V89" s="7">
        <f t="shared" si="49"/>
        <v>6.006468940274747E-3</v>
      </c>
      <c r="W89" s="2"/>
      <c r="X89" s="6">
        <f t="shared" si="50"/>
        <v>20.629999999999995</v>
      </c>
      <c r="Y89" s="2"/>
      <c r="Z89" s="7">
        <f t="shared" si="51"/>
        <v>2.3700657138918241E-2</v>
      </c>
    </row>
    <row r="90" spans="1:26" s="24" customFormat="1" hidden="1" outlineLevel="2" x14ac:dyDescent="0.3">
      <c r="A90" s="28"/>
      <c r="B90" s="11" t="str">
        <f>CONCATENATE("          ", "6285", " - ", "JANITORIAL SERVICES")</f>
        <v xml:space="preserve">          6285 - JANITORIAL SERVICES</v>
      </c>
      <c r="C90" s="11"/>
      <c r="D90" s="6">
        <v>73.75</v>
      </c>
      <c r="E90" s="2"/>
      <c r="F90" s="7">
        <f t="shared" si="44"/>
        <v>1.2825841592595619E-3</v>
      </c>
      <c r="G90" s="2"/>
      <c r="H90" s="6">
        <v>-60.73</v>
      </c>
      <c r="I90" s="2"/>
      <c r="J90" s="7">
        <f t="shared" si="45"/>
        <v>-1.5611034608273057E-3</v>
      </c>
      <c r="K90" s="2"/>
      <c r="L90" s="6">
        <f t="shared" si="46"/>
        <v>134.47999999999999</v>
      </c>
      <c r="M90" s="2"/>
      <c r="N90" s="7">
        <f t="shared" si="47"/>
        <v>-2.2143915692409024</v>
      </c>
      <c r="O90" s="11"/>
      <c r="P90" s="6">
        <v>138.85</v>
      </c>
      <c r="Q90" s="2"/>
      <c r="R90" s="7">
        <f t="shared" si="48"/>
        <v>6.7826141157117394E-4</v>
      </c>
      <c r="S90" s="2"/>
      <c r="T90" s="6">
        <v>-718.93</v>
      </c>
      <c r="U90" s="2"/>
      <c r="V90" s="7">
        <f t="shared" si="49"/>
        <v>-4.9609745820869021E-3</v>
      </c>
      <c r="W90" s="2"/>
      <c r="X90" s="6">
        <f t="shared" si="50"/>
        <v>857.78</v>
      </c>
      <c r="Y90" s="2"/>
      <c r="Z90" s="7">
        <f t="shared" si="51"/>
        <v>-1.1931342411639521</v>
      </c>
    </row>
    <row r="91" spans="1:26" s="29" customFormat="1" outlineLevel="1" collapsed="1" x14ac:dyDescent="0.3">
      <c r="A91" s="27"/>
      <c r="B91" s="14" t="str">
        <f>CONCATENATE("     ","Subscriptions &amp; Dues                              ")</f>
        <v xml:space="preserve">     Subscriptions &amp; Dues                              </v>
      </c>
      <c r="C91" s="14"/>
      <c r="D91" s="1">
        <f>SUM(OSRRefD22_13x_0)</f>
        <v>0</v>
      </c>
      <c r="E91" s="1"/>
      <c r="F91" s="5">
        <f t="shared" ref="F91:F93" si="52">IF(D$12=0,0,D91/D$12)</f>
        <v>0</v>
      </c>
      <c r="G91" s="1"/>
      <c r="H91" s="1">
        <f>SUM(OSRRefH22_13x_0)</f>
        <v>-60.73</v>
      </c>
      <c r="I91" s="1"/>
      <c r="J91" s="5">
        <f t="shared" ref="J91:J93" si="53">IF(H$12=0,0,H91/H$12)</f>
        <v>-1.5611034608273057E-3</v>
      </c>
      <c r="K91" s="1"/>
      <c r="L91" s="1">
        <f t="shared" ref="L91:L93" si="54">+D91-H91</f>
        <v>60.73</v>
      </c>
      <c r="M91" s="1"/>
      <c r="N91" s="5">
        <f t="shared" ref="N91:N93" si="55">IF(H91=0,0,L91/H91)</f>
        <v>-1</v>
      </c>
      <c r="O91" s="14"/>
      <c r="P91" s="1">
        <f>SUM(OSRRefP22_13x_0)</f>
        <v>0</v>
      </c>
      <c r="Q91" s="1"/>
      <c r="R91" s="5">
        <f t="shared" ref="R91:R93" si="56">IF(P$12=0,0,P91/P$12)</f>
        <v>0</v>
      </c>
      <c r="S91" s="1"/>
      <c r="T91" s="1">
        <f>SUM(OSRRefT22_13x_0)</f>
        <v>89.27000000000001</v>
      </c>
      <c r="U91" s="1"/>
      <c r="V91" s="5">
        <f t="shared" ref="V91:V93" si="57">IF(T$12=0,0,T91/T$12)</f>
        <v>6.1600740119747098E-4</v>
      </c>
      <c r="W91" s="1"/>
      <c r="X91" s="1">
        <f t="shared" ref="X91:X93" si="58">+P91-T91</f>
        <v>-89.27000000000001</v>
      </c>
      <c r="Y91" s="1"/>
      <c r="Z91" s="5">
        <f t="shared" ref="Z91:Z93" si="59">IF(T91=0,0,X91/T91)</f>
        <v>-1</v>
      </c>
    </row>
    <row r="92" spans="1:26" s="24" customFormat="1" hidden="1" outlineLevel="2" x14ac:dyDescent="0.3">
      <c r="A92" s="28"/>
      <c r="B92" s="11" t="str">
        <f>CONCATENATE("          ", "6258", " - ", "MEMBERSHIP DUES")</f>
        <v xml:space="preserve">          6258 - MEMBERSHIP DUES</v>
      </c>
      <c r="C92" s="11"/>
      <c r="D92" s="6"/>
      <c r="E92" s="2"/>
      <c r="F92" s="7">
        <f t="shared" si="52"/>
        <v>0</v>
      </c>
      <c r="G92" s="2"/>
      <c r="H92" s="6">
        <v>-60.73</v>
      </c>
      <c r="I92" s="2"/>
      <c r="J92" s="7">
        <f t="shared" si="53"/>
        <v>-1.5611034608273057E-3</v>
      </c>
      <c r="K92" s="2"/>
      <c r="L92" s="6">
        <f t="shared" si="54"/>
        <v>60.73</v>
      </c>
      <c r="M92" s="2"/>
      <c r="N92" s="7">
        <f t="shared" si="55"/>
        <v>-1</v>
      </c>
      <c r="O92" s="11"/>
      <c r="P92" s="6"/>
      <c r="Q92" s="2"/>
      <c r="R92" s="7">
        <f t="shared" si="56"/>
        <v>0</v>
      </c>
      <c r="S92" s="2"/>
      <c r="T92" s="6">
        <v>-60.73</v>
      </c>
      <c r="U92" s="2"/>
      <c r="V92" s="7">
        <f t="shared" si="57"/>
        <v>-4.1906720594513732E-4</v>
      </c>
      <c r="W92" s="2"/>
      <c r="X92" s="6">
        <f t="shared" si="58"/>
        <v>60.73</v>
      </c>
      <c r="Y92" s="2"/>
      <c r="Z92" s="7">
        <f t="shared" si="59"/>
        <v>-1</v>
      </c>
    </row>
    <row r="93" spans="1:26" s="24" customFormat="1" hidden="1" outlineLevel="2" x14ac:dyDescent="0.3">
      <c r="A93" s="28"/>
      <c r="B93" s="11" t="str">
        <f>CONCATENATE("          ", "6275", " - ", "SUBSCRIPTIONS")</f>
        <v xml:space="preserve">          6275 - SUBSCRIPTIONS</v>
      </c>
      <c r="C93" s="11"/>
      <c r="D93" s="6"/>
      <c r="E93" s="2"/>
      <c r="F93" s="7">
        <f t="shared" si="52"/>
        <v>0</v>
      </c>
      <c r="G93" s="2"/>
      <c r="H93" s="6"/>
      <c r="I93" s="2"/>
      <c r="J93" s="7">
        <f t="shared" si="53"/>
        <v>0</v>
      </c>
      <c r="K93" s="2"/>
      <c r="L93" s="6">
        <f t="shared" si="54"/>
        <v>0</v>
      </c>
      <c r="M93" s="2"/>
      <c r="N93" s="7">
        <f t="shared" si="55"/>
        <v>0</v>
      </c>
      <c r="O93" s="11"/>
      <c r="P93" s="6"/>
      <c r="Q93" s="2"/>
      <c r="R93" s="7">
        <f t="shared" si="56"/>
        <v>0</v>
      </c>
      <c r="S93" s="2"/>
      <c r="T93" s="6">
        <v>150</v>
      </c>
      <c r="U93" s="2"/>
      <c r="V93" s="7">
        <f t="shared" si="57"/>
        <v>1.0350746071426083E-3</v>
      </c>
      <c r="W93" s="2"/>
      <c r="X93" s="6">
        <f t="shared" si="58"/>
        <v>-150</v>
      </c>
      <c r="Y93" s="2"/>
      <c r="Z93" s="7">
        <f t="shared" si="59"/>
        <v>-1</v>
      </c>
    </row>
    <row r="94" spans="1:26" s="29" customFormat="1" outlineLevel="1" collapsed="1" x14ac:dyDescent="0.3">
      <c r="A94" s="27"/>
      <c r="B94" s="14" t="str">
        <f>CONCATENATE("     ","Supplies                                          ")</f>
        <v xml:space="preserve">     Supplies                                          </v>
      </c>
      <c r="C94" s="14"/>
      <c r="D94" s="1">
        <f>SUM(OSRRefD22_14x_0)</f>
        <v>420.29999999999995</v>
      </c>
      <c r="E94" s="1"/>
      <c r="F94" s="5">
        <f t="shared" ref="F94:F98" si="60">IF(D$12=0,0,D94/D$12)</f>
        <v>7.3094253849056798E-3</v>
      </c>
      <c r="G94" s="1"/>
      <c r="H94" s="1">
        <f>SUM(OSRRefH22_14x_0)</f>
        <v>10.94</v>
      </c>
      <c r="I94" s="1"/>
      <c r="J94" s="5">
        <f t="shared" ref="J94:J98" si="61">IF(H$12=0,0,H94/H$12)</f>
        <v>2.8121969144493205E-4</v>
      </c>
      <c r="K94" s="1"/>
      <c r="L94" s="1">
        <f t="shared" ref="L94:L98" si="62">+D94-H94</f>
        <v>409.35999999999996</v>
      </c>
      <c r="M94" s="1"/>
      <c r="N94" s="5">
        <f t="shared" ref="N94:N98" si="63">IF(H94=0,0,L94/H94)</f>
        <v>37.418647166361971</v>
      </c>
      <c r="O94" s="14"/>
      <c r="P94" s="1">
        <f>SUM(OSRRefP22_14x_0)</f>
        <v>1006.73</v>
      </c>
      <c r="Q94" s="1"/>
      <c r="R94" s="5">
        <f t="shared" ref="R94:R98" si="64">IF(P$12=0,0,P94/P$12)</f>
        <v>4.9177249612606978E-3</v>
      </c>
      <c r="S94" s="1"/>
      <c r="T94" s="1">
        <f>SUM(OSRRefT22_14x_0)</f>
        <v>553.20000000000005</v>
      </c>
      <c r="U94" s="1"/>
      <c r="V94" s="5">
        <f t="shared" ref="V94:V98" si="65">IF(T$12=0,0,T94/T$12)</f>
        <v>3.8173551511419394E-3</v>
      </c>
      <c r="W94" s="1"/>
      <c r="X94" s="1">
        <f t="shared" ref="X94:X98" si="66">+P94-T94</f>
        <v>453.53</v>
      </c>
      <c r="Y94" s="1"/>
      <c r="Z94" s="5">
        <f t="shared" ref="Z94:Z98" si="67">IF(T94=0,0,X94/T94)</f>
        <v>0.81983007953723774</v>
      </c>
    </row>
    <row r="95" spans="1:26" s="24" customFormat="1" hidden="1" outlineLevel="2" x14ac:dyDescent="0.3">
      <c r="A95" s="28"/>
      <c r="B95" s="11" t="str">
        <f>CONCATENATE("          ", "6235", " - ", "COVID-19 EXPENSES")</f>
        <v xml:space="preserve">          6235 - COVID-19 EXPENSES</v>
      </c>
      <c r="C95" s="11"/>
      <c r="D95" s="6"/>
      <c r="E95" s="2"/>
      <c r="F95" s="7">
        <f t="shared" si="60"/>
        <v>0</v>
      </c>
      <c r="G95" s="2"/>
      <c r="H95" s="6"/>
      <c r="I95" s="2"/>
      <c r="J95" s="7">
        <f t="shared" si="61"/>
        <v>0</v>
      </c>
      <c r="K95" s="2"/>
      <c r="L95" s="6">
        <f t="shared" si="62"/>
        <v>0</v>
      </c>
      <c r="M95" s="2"/>
      <c r="N95" s="7">
        <f t="shared" si="63"/>
        <v>0</v>
      </c>
      <c r="O95" s="11"/>
      <c r="P95" s="6"/>
      <c r="Q95" s="2"/>
      <c r="R95" s="7">
        <f t="shared" si="64"/>
        <v>0</v>
      </c>
      <c r="S95" s="2"/>
      <c r="T95" s="6">
        <v>265.7</v>
      </c>
      <c r="U95" s="2"/>
      <c r="V95" s="7">
        <f t="shared" si="65"/>
        <v>1.8334621541186067E-3</v>
      </c>
      <c r="W95" s="2"/>
      <c r="X95" s="6">
        <f t="shared" si="66"/>
        <v>-265.7</v>
      </c>
      <c r="Y95" s="2"/>
      <c r="Z95" s="7">
        <f t="shared" si="67"/>
        <v>-1</v>
      </c>
    </row>
    <row r="96" spans="1:26" s="24" customFormat="1" hidden="1" outlineLevel="2" x14ac:dyDescent="0.3">
      <c r="A96" s="28"/>
      <c r="B96" s="11" t="str">
        <f>CONCATENATE("          ", "6237", " - ", "JANITORIAL SUPPLIES")</f>
        <v xml:space="preserve">          6237 - JANITORIAL SUPPLIES</v>
      </c>
      <c r="C96" s="11"/>
      <c r="D96" s="6"/>
      <c r="E96" s="2"/>
      <c r="F96" s="7">
        <f t="shared" si="60"/>
        <v>0</v>
      </c>
      <c r="G96" s="2"/>
      <c r="H96" s="6"/>
      <c r="I96" s="2"/>
      <c r="J96" s="7">
        <f t="shared" si="61"/>
        <v>0</v>
      </c>
      <c r="K96" s="2"/>
      <c r="L96" s="6">
        <f t="shared" si="62"/>
        <v>0</v>
      </c>
      <c r="M96" s="2"/>
      <c r="N96" s="7">
        <f t="shared" si="63"/>
        <v>0</v>
      </c>
      <c r="O96" s="11"/>
      <c r="P96" s="6">
        <v>77.17</v>
      </c>
      <c r="Q96" s="2"/>
      <c r="R96" s="7">
        <f t="shared" si="64"/>
        <v>3.7696386842598121E-4</v>
      </c>
      <c r="S96" s="2"/>
      <c r="T96" s="6">
        <v>191.74</v>
      </c>
      <c r="U96" s="2"/>
      <c r="V96" s="7">
        <f t="shared" si="65"/>
        <v>1.3231013678234914E-3</v>
      </c>
      <c r="W96" s="2"/>
      <c r="X96" s="6">
        <f t="shared" si="66"/>
        <v>-114.57000000000001</v>
      </c>
      <c r="Y96" s="2"/>
      <c r="Z96" s="7">
        <f t="shared" si="67"/>
        <v>-0.59752790236778974</v>
      </c>
    </row>
    <row r="97" spans="1:26" s="24" customFormat="1" hidden="1" outlineLevel="2" x14ac:dyDescent="0.3">
      <c r="A97" s="28"/>
      <c r="B97" s="11" t="str">
        <f>CONCATENATE("          ", "6241", " - ", "OFFICE EXPENSE")</f>
        <v xml:space="preserve">          6241 - OFFICE EXPENSE</v>
      </c>
      <c r="C97" s="11"/>
      <c r="D97" s="6">
        <v>233.82</v>
      </c>
      <c r="E97" s="2"/>
      <c r="F97" s="7">
        <f t="shared" si="60"/>
        <v>4.0663569914314683E-3</v>
      </c>
      <c r="G97" s="2"/>
      <c r="H97" s="6">
        <v>10.94</v>
      </c>
      <c r="I97" s="2"/>
      <c r="J97" s="7">
        <f t="shared" si="61"/>
        <v>2.8121969144493205E-4</v>
      </c>
      <c r="K97" s="2"/>
      <c r="L97" s="6">
        <f t="shared" si="62"/>
        <v>222.88</v>
      </c>
      <c r="M97" s="2"/>
      <c r="N97" s="7">
        <f t="shared" si="63"/>
        <v>20.37294332723949</v>
      </c>
      <c r="O97" s="11"/>
      <c r="P97" s="6">
        <v>330.06</v>
      </c>
      <c r="Q97" s="2"/>
      <c r="R97" s="7">
        <f t="shared" si="64"/>
        <v>1.612293565021114E-3</v>
      </c>
      <c r="S97" s="2"/>
      <c r="T97" s="6">
        <v>95.76</v>
      </c>
      <c r="U97" s="2"/>
      <c r="V97" s="7">
        <f t="shared" si="65"/>
        <v>6.6079162919984119E-4</v>
      </c>
      <c r="W97" s="2"/>
      <c r="X97" s="6">
        <f t="shared" si="66"/>
        <v>234.3</v>
      </c>
      <c r="Y97" s="2"/>
      <c r="Z97" s="7">
        <f t="shared" si="67"/>
        <v>2.4467418546365916</v>
      </c>
    </row>
    <row r="98" spans="1:26" s="24" customFormat="1" hidden="1" outlineLevel="2" x14ac:dyDescent="0.3">
      <c r="A98" s="28"/>
      <c r="B98" s="11" t="str">
        <f>CONCATENATE("          ", "6247", " - ", "STORE SUPPLIES")</f>
        <v xml:space="preserve">          6247 - STORE SUPPLIES</v>
      </c>
      <c r="C98" s="11"/>
      <c r="D98" s="6">
        <v>186.48</v>
      </c>
      <c r="E98" s="2"/>
      <c r="F98" s="7">
        <f t="shared" si="60"/>
        <v>3.2430683934742115E-3</v>
      </c>
      <c r="G98" s="2"/>
      <c r="H98" s="6"/>
      <c r="I98" s="2"/>
      <c r="J98" s="7">
        <f t="shared" si="61"/>
        <v>0</v>
      </c>
      <c r="K98" s="2"/>
      <c r="L98" s="6">
        <f t="shared" si="62"/>
        <v>186.48</v>
      </c>
      <c r="M98" s="2"/>
      <c r="N98" s="7">
        <f t="shared" si="63"/>
        <v>0</v>
      </c>
      <c r="O98" s="11"/>
      <c r="P98" s="6">
        <v>599.5</v>
      </c>
      <c r="Q98" s="2"/>
      <c r="R98" s="7">
        <f t="shared" si="64"/>
        <v>2.9284675278136029E-3</v>
      </c>
      <c r="S98" s="2"/>
      <c r="T98" s="6"/>
      <c r="U98" s="2"/>
      <c r="V98" s="7">
        <f t="shared" si="65"/>
        <v>0</v>
      </c>
      <c r="W98" s="2"/>
      <c r="X98" s="6">
        <f t="shared" si="66"/>
        <v>599.5</v>
      </c>
      <c r="Y98" s="2"/>
      <c r="Z98" s="7">
        <f t="shared" si="67"/>
        <v>0</v>
      </c>
    </row>
    <row r="99" spans="1:26" s="29" customFormat="1" outlineLevel="1" collapsed="1" x14ac:dyDescent="0.3">
      <c r="A99" s="27"/>
      <c r="B99" s="14" t="str">
        <f>CONCATENATE("     ","Telephone/Data Lines                              ")</f>
        <v xml:space="preserve">     Telephone/Data Lines                              </v>
      </c>
      <c r="C99" s="14"/>
      <c r="D99" s="1">
        <f>SUM(OSRRefD22_15x_0)</f>
        <v>297.83999999999997</v>
      </c>
      <c r="E99" s="1"/>
      <c r="F99" s="5">
        <f t="shared" ref="F99:F104" si="68">IF(D$12=0,0,D99/D$12)</f>
        <v>5.1797269965270223E-3</v>
      </c>
      <c r="G99" s="1"/>
      <c r="H99" s="1">
        <f>SUM(OSRRefH22_15x_0)</f>
        <v>431.48</v>
      </c>
      <c r="I99" s="1"/>
      <c r="J99" s="5">
        <f t="shared" ref="J99:J104" si="69">IF(H$12=0,0,H99/H$12)</f>
        <v>1.109146914667818E-2</v>
      </c>
      <c r="K99" s="1"/>
      <c r="L99" s="1">
        <f t="shared" ref="L99:L104" si="70">+D99-H99</f>
        <v>-133.64000000000004</v>
      </c>
      <c r="M99" s="1"/>
      <c r="N99" s="5">
        <f t="shared" ref="N99:N104" si="71">IF(H99=0,0,L99/H99)</f>
        <v>-0.30972466858255315</v>
      </c>
      <c r="O99" s="14"/>
      <c r="P99" s="1">
        <f>SUM(OSRRefP22_15x_0)</f>
        <v>1882.04</v>
      </c>
      <c r="Q99" s="1"/>
      <c r="R99" s="5">
        <f t="shared" ref="R99:R104" si="72">IF(P$12=0,0,P99/P$12)</f>
        <v>9.1934829458654097E-3</v>
      </c>
      <c r="S99" s="1"/>
      <c r="T99" s="1">
        <f>SUM(OSRRefT22_15x_0)</f>
        <v>2065.7199999999998</v>
      </c>
      <c r="U99" s="1"/>
      <c r="V99" s="5">
        <f t="shared" ref="V99:V104" si="73">IF(T$12=0,0,T99/T$12)</f>
        <v>1.4254495449777523E-2</v>
      </c>
      <c r="W99" s="1"/>
      <c r="X99" s="1">
        <f t="shared" ref="X99:X104" si="74">+P99-T99</f>
        <v>-183.67999999999984</v>
      </c>
      <c r="Y99" s="1"/>
      <c r="Z99" s="5">
        <f t="shared" ref="Z99:Z104" si="75">IF(T99=0,0,X99/T99)</f>
        <v>-8.8918149604012092E-2</v>
      </c>
    </row>
    <row r="100" spans="1:26" s="24" customFormat="1" hidden="1" outlineLevel="2" x14ac:dyDescent="0.3">
      <c r="A100" s="28"/>
      <c r="B100" s="11" t="str">
        <f>CONCATENATE("          ", "6309", " - ", "TELEPHONE")</f>
        <v xml:space="preserve">          6309 - TELEPHONE</v>
      </c>
      <c r="C100" s="11"/>
      <c r="D100" s="6">
        <v>297.83999999999997</v>
      </c>
      <c r="E100" s="2"/>
      <c r="F100" s="7">
        <f t="shared" si="68"/>
        <v>5.1797269965270223E-3</v>
      </c>
      <c r="G100" s="2"/>
      <c r="H100" s="6">
        <v>431.48</v>
      </c>
      <c r="I100" s="2"/>
      <c r="J100" s="7">
        <f t="shared" si="69"/>
        <v>1.109146914667818E-2</v>
      </c>
      <c r="K100" s="2"/>
      <c r="L100" s="6">
        <f t="shared" si="70"/>
        <v>-133.64000000000004</v>
      </c>
      <c r="M100" s="2"/>
      <c r="N100" s="7">
        <f t="shared" si="71"/>
        <v>-0.30972466858255315</v>
      </c>
      <c r="O100" s="11"/>
      <c r="P100" s="6">
        <v>1882.04</v>
      </c>
      <c r="Q100" s="2"/>
      <c r="R100" s="7">
        <f t="shared" si="72"/>
        <v>9.1934829458654097E-3</v>
      </c>
      <c r="S100" s="2"/>
      <c r="T100" s="6">
        <v>2065.7199999999998</v>
      </c>
      <c r="U100" s="2"/>
      <c r="V100" s="7">
        <f t="shared" si="73"/>
        <v>1.4254495449777523E-2</v>
      </c>
      <c r="W100" s="2"/>
      <c r="X100" s="6">
        <f t="shared" si="74"/>
        <v>-183.67999999999984</v>
      </c>
      <c r="Y100" s="2"/>
      <c r="Z100" s="7">
        <f t="shared" si="75"/>
        <v>-8.8918149604012092E-2</v>
      </c>
    </row>
    <row r="101" spans="1:26" s="29" customFormat="1" outlineLevel="1" collapsed="1" x14ac:dyDescent="0.3">
      <c r="A101" s="27"/>
      <c r="B101" s="14" t="str">
        <f>CONCATENATE("     ","Travel                                            ")</f>
        <v xml:space="preserve">     Travel                                            </v>
      </c>
      <c r="C101" s="14"/>
      <c r="D101" s="1">
        <f>SUM(OSRRefD22_16x_0)</f>
        <v>24.4</v>
      </c>
      <c r="E101" s="1"/>
      <c r="F101" s="5">
        <f t="shared" si="68"/>
        <v>4.2433970828384149E-4</v>
      </c>
      <c r="G101" s="1"/>
      <c r="H101" s="1">
        <f>SUM(OSRRefH22_16x_0)</f>
        <v>0</v>
      </c>
      <c r="I101" s="1"/>
      <c r="J101" s="5">
        <f t="shared" si="69"/>
        <v>0</v>
      </c>
      <c r="K101" s="1"/>
      <c r="L101" s="1">
        <f t="shared" si="70"/>
        <v>24.4</v>
      </c>
      <c r="M101" s="1"/>
      <c r="N101" s="5">
        <f t="shared" si="71"/>
        <v>0</v>
      </c>
      <c r="O101" s="14"/>
      <c r="P101" s="1">
        <f>SUM(OSRRefP22_16x_0)</f>
        <v>199.61</v>
      </c>
      <c r="Q101" s="1"/>
      <c r="R101" s="5">
        <f t="shared" si="72"/>
        <v>9.7506489278877952E-4</v>
      </c>
      <c r="S101" s="1"/>
      <c r="T101" s="1">
        <f>SUM(OSRRefT22_16x_0)</f>
        <v>321.88</v>
      </c>
      <c r="U101" s="1"/>
      <c r="V101" s="5">
        <f t="shared" si="73"/>
        <v>2.2211320969804183E-3</v>
      </c>
      <c r="W101" s="1"/>
      <c r="X101" s="1">
        <f t="shared" si="74"/>
        <v>-122.26999999999998</v>
      </c>
      <c r="Y101" s="1"/>
      <c r="Z101" s="5">
        <f t="shared" si="75"/>
        <v>-0.37986206039517828</v>
      </c>
    </row>
    <row r="102" spans="1:26" s="24" customFormat="1" hidden="1" outlineLevel="2" x14ac:dyDescent="0.3">
      <c r="A102" s="28"/>
      <c r="B102" s="11" t="str">
        <f>CONCATENATE("          ", "6294", " - ", "TRAVEL OPERATIONAL")</f>
        <v xml:space="preserve">          6294 - TRAVEL OPERATIONAL</v>
      </c>
      <c r="C102" s="11"/>
      <c r="D102" s="6">
        <v>24.4</v>
      </c>
      <c r="E102" s="2"/>
      <c r="F102" s="7">
        <f t="shared" si="68"/>
        <v>4.2433970828384149E-4</v>
      </c>
      <c r="G102" s="2"/>
      <c r="H102" s="6"/>
      <c r="I102" s="2"/>
      <c r="J102" s="7">
        <f t="shared" si="69"/>
        <v>0</v>
      </c>
      <c r="K102" s="2"/>
      <c r="L102" s="6">
        <f t="shared" si="70"/>
        <v>24.4</v>
      </c>
      <c r="M102" s="2"/>
      <c r="N102" s="7">
        <f t="shared" si="71"/>
        <v>0</v>
      </c>
      <c r="O102" s="11"/>
      <c r="P102" s="6">
        <v>199.61</v>
      </c>
      <c r="Q102" s="2"/>
      <c r="R102" s="7">
        <f t="shared" si="72"/>
        <v>9.7506489278877952E-4</v>
      </c>
      <c r="S102" s="2"/>
      <c r="T102" s="6">
        <v>321.88</v>
      </c>
      <c r="U102" s="2"/>
      <c r="V102" s="7">
        <f t="shared" si="73"/>
        <v>2.2211320969804183E-3</v>
      </c>
      <c r="W102" s="2"/>
      <c r="X102" s="6">
        <f t="shared" si="74"/>
        <v>-122.26999999999998</v>
      </c>
      <c r="Y102" s="2"/>
      <c r="Z102" s="7">
        <f t="shared" si="75"/>
        <v>-0.37986206039517828</v>
      </c>
    </row>
    <row r="103" spans="1:26" s="29" customFormat="1" outlineLevel="1" collapsed="1" x14ac:dyDescent="0.3">
      <c r="A103" s="27"/>
      <c r="B103" s="14" t="str">
        <f>CONCATENATE("     ","Utilities                                         ")</f>
        <v xml:space="preserve">     Utilities                                         </v>
      </c>
      <c r="C103" s="14"/>
      <c r="D103" s="1">
        <f>SUM(OSRRefD22_17x_0)</f>
        <v>62.92</v>
      </c>
      <c r="E103" s="1"/>
      <c r="F103" s="5">
        <f t="shared" si="68"/>
        <v>1.0942399362794798E-3</v>
      </c>
      <c r="G103" s="1"/>
      <c r="H103" s="1">
        <f>SUM(OSRRefH22_17x_0)</f>
        <v>42.61</v>
      </c>
      <c r="I103" s="1"/>
      <c r="J103" s="5">
        <f t="shared" si="69"/>
        <v>1.0953172808472172E-3</v>
      </c>
      <c r="K103" s="1"/>
      <c r="L103" s="1">
        <f t="shared" si="70"/>
        <v>20.310000000000002</v>
      </c>
      <c r="M103" s="1"/>
      <c r="N103" s="5">
        <f t="shared" si="71"/>
        <v>0.47664867402018313</v>
      </c>
      <c r="O103" s="14"/>
      <c r="P103" s="1">
        <f>SUM(OSRRefP22_17x_0)</f>
        <v>246.51</v>
      </c>
      <c r="Q103" s="1"/>
      <c r="R103" s="5">
        <f t="shared" si="72"/>
        <v>1.2041643540972998E-3</v>
      </c>
      <c r="S103" s="1"/>
      <c r="T103" s="1">
        <f>SUM(OSRRefT22_17x_0)</f>
        <v>144.4</v>
      </c>
      <c r="U103" s="1"/>
      <c r="V103" s="5">
        <f t="shared" si="73"/>
        <v>9.9643182180928435E-4</v>
      </c>
      <c r="W103" s="1"/>
      <c r="X103" s="1">
        <f t="shared" si="74"/>
        <v>102.10999999999999</v>
      </c>
      <c r="Y103" s="1"/>
      <c r="Z103" s="5">
        <f t="shared" si="75"/>
        <v>0.70713296398891956</v>
      </c>
    </row>
    <row r="104" spans="1:26" s="24" customFormat="1" hidden="1" outlineLevel="2" x14ac:dyDescent="0.3">
      <c r="A104" s="28"/>
      <c r="B104" s="11" t="str">
        <f>CONCATENATE("          ", "6274", " - ", "UTILITIES")</f>
        <v xml:space="preserve">          6274 - UTILITIES</v>
      </c>
      <c r="C104" s="11"/>
      <c r="D104" s="6">
        <v>62.92</v>
      </c>
      <c r="E104" s="2"/>
      <c r="F104" s="7">
        <f t="shared" si="68"/>
        <v>1.0942399362794798E-3</v>
      </c>
      <c r="G104" s="2"/>
      <c r="H104" s="6">
        <v>42.61</v>
      </c>
      <c r="I104" s="2"/>
      <c r="J104" s="7">
        <f t="shared" si="69"/>
        <v>1.0953172808472172E-3</v>
      </c>
      <c r="K104" s="2"/>
      <c r="L104" s="6">
        <f t="shared" si="70"/>
        <v>20.310000000000002</v>
      </c>
      <c r="M104" s="2"/>
      <c r="N104" s="7">
        <f t="shared" si="71"/>
        <v>0.47664867402018313</v>
      </c>
      <c r="O104" s="11"/>
      <c r="P104" s="6">
        <v>246.51</v>
      </c>
      <c r="Q104" s="2"/>
      <c r="R104" s="7">
        <f t="shared" si="72"/>
        <v>1.2041643540972998E-3</v>
      </c>
      <c r="S104" s="2"/>
      <c r="T104" s="6">
        <v>144.4</v>
      </c>
      <c r="U104" s="2"/>
      <c r="V104" s="7">
        <f t="shared" si="73"/>
        <v>9.9643182180928435E-4</v>
      </c>
      <c r="W104" s="2"/>
      <c r="X104" s="6">
        <f t="shared" si="74"/>
        <v>102.10999999999999</v>
      </c>
      <c r="Y104" s="2"/>
      <c r="Z104" s="7">
        <f t="shared" si="75"/>
        <v>0.70713296398891956</v>
      </c>
    </row>
    <row r="105" spans="1:26" s="53" customFormat="1" x14ac:dyDescent="0.3">
      <c r="A105" s="37"/>
      <c r="B105" s="37"/>
      <c r="C105" s="37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7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3" customFormat="1" x14ac:dyDescent="0.3">
      <c r="A106" s="10"/>
      <c r="B106" s="25" t="s">
        <v>292</v>
      </c>
      <c r="C106" s="10"/>
      <c r="D106" s="4">
        <f>SUM(0)</f>
        <v>0</v>
      </c>
      <c r="E106" s="4"/>
      <c r="F106" s="12">
        <f>IF(D$12=0,0,D106/D$12)</f>
        <v>0</v>
      </c>
      <c r="G106" s="4"/>
      <c r="H106" s="4">
        <f>SUM(0)</f>
        <v>0</v>
      </c>
      <c r="I106" s="4"/>
      <c r="J106" s="12">
        <f>IF(H$12=0,0,H106/H$12)</f>
        <v>0</v>
      </c>
      <c r="K106" s="4"/>
      <c r="L106" s="4">
        <f>+D106-H106</f>
        <v>0</v>
      </c>
      <c r="M106" s="4"/>
      <c r="N106" s="12">
        <f>IF(H106=0,0,L106/H106)</f>
        <v>0</v>
      </c>
      <c r="O106" s="10"/>
      <c r="P106" s="4">
        <f>SUM(0)</f>
        <v>0</v>
      </c>
      <c r="Q106" s="4"/>
      <c r="R106" s="12">
        <f>IF(P$12=0,0,P106/P$12)</f>
        <v>0</v>
      </c>
      <c r="S106" s="4"/>
      <c r="T106" s="4">
        <f>SUM(0)</f>
        <v>0</v>
      </c>
      <c r="U106" s="4"/>
      <c r="V106" s="12">
        <f>IF(T$12=0,0,T106/T$12)</f>
        <v>0</v>
      </c>
      <c r="W106" s="4"/>
      <c r="X106" s="4">
        <f>+P106-T106</f>
        <v>0</v>
      </c>
      <c r="Y106" s="4"/>
      <c r="Z106" s="12">
        <f>IF(T106=0,0,X106/T106)</f>
        <v>0</v>
      </c>
    </row>
    <row r="107" spans="1:26" x14ac:dyDescent="0.3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3">
      <c r="A108" s="10"/>
      <c r="B108" s="26" t="s">
        <v>276</v>
      </c>
      <c r="C108" s="26"/>
      <c r="D108" s="20">
        <f>+D47-D49+D106</f>
        <v>11798.179999999997</v>
      </c>
      <c r="E108" s="13"/>
      <c r="F108" s="21">
        <f>IF(D$12=0,0,D108/D$12)</f>
        <v>0.20518181391312509</v>
      </c>
      <c r="G108" s="13"/>
      <c r="H108" s="20">
        <f>+H47-H49+H106</f>
        <v>-4619.6600000000144</v>
      </c>
      <c r="I108" s="13"/>
      <c r="J108" s="21">
        <f>IF(H$12=0,0,H108/H$12)</f>
        <v>-0.11875131259419551</v>
      </c>
      <c r="K108" s="15"/>
      <c r="L108" s="20">
        <f>+D108-H108</f>
        <v>16417.840000000011</v>
      </c>
      <c r="M108" s="15"/>
      <c r="N108" s="21">
        <f>IF(H108=0,0,L108/H108)</f>
        <v>-3.5539065645523609</v>
      </c>
      <c r="O108" s="25"/>
      <c r="P108" s="20">
        <f>+P47-P49+P106</f>
        <v>4654.7699999999895</v>
      </c>
      <c r="Q108" s="13"/>
      <c r="R108" s="21">
        <f>IF(P$12=0,0,P108/P$12)</f>
        <v>2.2737852868124925E-2</v>
      </c>
      <c r="S108" s="13"/>
      <c r="T108" s="20">
        <f>+T47-T49+T106</f>
        <v>-48644.330000000016</v>
      </c>
      <c r="U108" s="13"/>
      <c r="V108" s="21">
        <f>IF(T$12=0,0,T108/T$12)</f>
        <v>-0.33567007176310271</v>
      </c>
      <c r="W108" s="15"/>
      <c r="X108" s="20">
        <f>+P108-T108</f>
        <v>53299.100000000006</v>
      </c>
      <c r="Y108" s="15"/>
      <c r="Z108" s="21">
        <f>IF(T108=0,0,X108/T108)</f>
        <v>-1.0956898779364417</v>
      </c>
    </row>
    <row r="109" spans="1:26" x14ac:dyDescent="0.3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3">
      <c r="A110" s="51"/>
      <c r="B110" s="10" t="s">
        <v>127</v>
      </c>
      <c r="C110" s="10"/>
      <c r="D110" s="4">
        <v>7106.81</v>
      </c>
      <c r="E110" s="4"/>
      <c r="F110" s="12">
        <f>IF(D$12=0,0,D110/D$12)</f>
        <v>0.12359433123888065</v>
      </c>
      <c r="G110" s="4"/>
      <c r="H110" s="4">
        <v>9966.92</v>
      </c>
      <c r="I110" s="4"/>
      <c r="J110" s="12">
        <f>IF(H$12=0,0,H110/H$12)</f>
        <v>0.25620604817699472</v>
      </c>
      <c r="K110" s="4"/>
      <c r="L110" s="4">
        <f>+D110-H110</f>
        <v>-2860.1099999999997</v>
      </c>
      <c r="M110" s="4"/>
      <c r="N110" s="12">
        <f>IF(H110=0,0,L110/H110)</f>
        <v>-0.28696026455514839</v>
      </c>
      <c r="O110" s="10"/>
      <c r="P110" s="4">
        <v>24641.66</v>
      </c>
      <c r="Q110" s="4"/>
      <c r="R110" s="12">
        <f>IF(P$12=0,0,P110/P$12)</f>
        <v>0.12037081091146513</v>
      </c>
      <c r="S110" s="4"/>
      <c r="T110" s="4">
        <v>26812.73</v>
      </c>
      <c r="U110" s="4"/>
      <c r="V110" s="12">
        <f>IF(T$12=0,0,T110/T$12)</f>
        <v>0.18502117314113883</v>
      </c>
      <c r="W110" s="4"/>
      <c r="X110" s="4">
        <f>+P110-T110</f>
        <v>-2171.0699999999997</v>
      </c>
      <c r="Y110" s="4"/>
      <c r="Z110" s="12">
        <f>IF(T110=0,0,X110/T110)</f>
        <v>-8.0971613110638108E-2</v>
      </c>
    </row>
    <row r="111" spans="1:26" x14ac:dyDescent="0.3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" thickBot="1" x14ac:dyDescent="0.35">
      <c r="A112" s="10"/>
      <c r="B112" s="26" t="s">
        <v>125</v>
      </c>
      <c r="C112" s="26"/>
      <c r="D112" s="32">
        <f>+D108-D110</f>
        <v>4691.3699999999963</v>
      </c>
      <c r="E112" s="13"/>
      <c r="F112" s="35">
        <f>IF(D$12=0,0,D112/D$12)</f>
        <v>8.1587482674244427E-2</v>
      </c>
      <c r="G112" s="13"/>
      <c r="H112" s="32">
        <f>+H108-H110</f>
        <v>-14586.580000000014</v>
      </c>
      <c r="I112" s="13"/>
      <c r="J112" s="35">
        <f>IF(H$12=0,0,H112/H$12)</f>
        <v>-0.37495736077119024</v>
      </c>
      <c r="K112" s="15"/>
      <c r="L112" s="32">
        <f>D112-H112</f>
        <v>19277.950000000012</v>
      </c>
      <c r="M112" s="15"/>
      <c r="N112" s="35">
        <f>IF(H112=0,0,L112/H112)</f>
        <v>-1.3216223405349294</v>
      </c>
      <c r="O112" s="25"/>
      <c r="P112" s="32">
        <f>+P108-P110</f>
        <v>-19986.89000000001</v>
      </c>
      <c r="Q112" s="13"/>
      <c r="R112" s="35">
        <f>IF(P$12=0,0,P112/P$12)</f>
        <v>-9.7632958043340198E-2</v>
      </c>
      <c r="S112" s="13"/>
      <c r="T112" s="32">
        <f>+T108-T110</f>
        <v>-75457.060000000012</v>
      </c>
      <c r="U112" s="13"/>
      <c r="V112" s="35">
        <f>IF(T$12=0,0,T112/T$12)</f>
        <v>-0.52069124490424157</v>
      </c>
      <c r="W112" s="15"/>
      <c r="X112" s="32">
        <f>P112-T112</f>
        <v>55470.17</v>
      </c>
      <c r="Y112" s="15"/>
      <c r="Z112" s="35">
        <f>IF(T112=0,0,X112/T112)</f>
        <v>-0.73512233315212638</v>
      </c>
    </row>
    <row r="113" spans="1:26" ht="15" thickTop="1" x14ac:dyDescent="0.3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x14ac:dyDescent="0.3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" thickBot="1" x14ac:dyDescent="0.35">
      <c r="A115" s="10"/>
      <c r="B115" s="26" t="s">
        <v>293</v>
      </c>
      <c r="C115" s="26"/>
      <c r="D115" s="31">
        <f>SUM(D112:D114)</f>
        <v>4691.3699999999963</v>
      </c>
      <c r="E115" s="13"/>
      <c r="F115" s="33">
        <f>IF(D$12=0,0,D115/D$12)</f>
        <v>8.1587482674244427E-2</v>
      </c>
      <c r="G115" s="13"/>
      <c r="H115" s="31">
        <f>SUM(H112:H114)</f>
        <v>-14586.580000000014</v>
      </c>
      <c r="I115" s="13"/>
      <c r="J115" s="33">
        <f>IF(H$12=0,0,H115/H$12)</f>
        <v>-0.37495736077119024</v>
      </c>
      <c r="K115" s="15"/>
      <c r="L115" s="31">
        <f>+D115-H115</f>
        <v>19277.950000000012</v>
      </c>
      <c r="M115" s="15"/>
      <c r="N115" s="33">
        <f>IF(H115=0,0,L115/H115)</f>
        <v>-1.3216223405349294</v>
      </c>
      <c r="O115" s="25"/>
      <c r="P115" s="31">
        <f>SUM(P112:P114)</f>
        <v>-19986.89000000001</v>
      </c>
      <c r="Q115" s="13"/>
      <c r="R115" s="33">
        <f>IF(P$12=0,0,P115/P$12)</f>
        <v>-9.7632958043340198E-2</v>
      </c>
      <c r="S115" s="13"/>
      <c r="T115" s="31">
        <f>SUM(T112:T114)</f>
        <v>-75457.060000000012</v>
      </c>
      <c r="U115" s="13"/>
      <c r="V115" s="33">
        <f>IF(T$12=0,0,T115/T$12)</f>
        <v>-0.52069124490424157</v>
      </c>
      <c r="W115" s="15"/>
      <c r="X115" s="31">
        <f>+P115-T115</f>
        <v>55470.17</v>
      </c>
      <c r="Y115" s="15"/>
      <c r="Z115" s="33">
        <f>IF(T115=0,0,X115/T115)</f>
        <v>-0.73512233315212638</v>
      </c>
    </row>
    <row r="116" spans="1:26" ht="15" thickTop="1" x14ac:dyDescent="0.3">
      <c r="A116" s="9"/>
      <c r="C116" s="9"/>
      <c r="D116" s="17"/>
      <c r="E116" s="17"/>
      <c r="G116" s="17"/>
      <c r="H116" s="17"/>
      <c r="I116" s="17"/>
      <c r="J116" s="43"/>
      <c r="K116" s="17"/>
      <c r="L116" s="17"/>
      <c r="M116" s="17"/>
      <c r="P116" s="17"/>
      <c r="Q116" s="17"/>
      <c r="R116" s="43"/>
      <c r="S116" s="17"/>
      <c r="T116" s="17"/>
      <c r="U116" s="17"/>
      <c r="V116" s="43"/>
      <c r="W116" s="17"/>
      <c r="X116" s="17"/>
    </row>
    <row r="117" spans="1:26" x14ac:dyDescent="0.3">
      <c r="A117" s="9"/>
      <c r="B117" s="60">
        <v>44575.854680405093</v>
      </c>
      <c r="D117" s="17"/>
      <c r="E117" s="17"/>
      <c r="G117" s="17"/>
      <c r="H117" s="17"/>
      <c r="I117" s="17"/>
      <c r="J117" s="43"/>
      <c r="K117" s="17"/>
      <c r="L117" s="17"/>
      <c r="M117" s="17"/>
      <c r="P117" s="17"/>
      <c r="Q117" s="17"/>
      <c r="R117" s="43"/>
      <c r="S117" s="17"/>
      <c r="T117" s="17"/>
      <c r="U117" s="17"/>
      <c r="V117" s="43"/>
      <c r="W117" s="17"/>
      <c r="X117" s="17"/>
    </row>
    <row r="118" spans="1:26" x14ac:dyDescent="0.3">
      <c r="A118" s="9"/>
      <c r="B118" s="57" t="s">
        <v>56</v>
      </c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  <row r="119" spans="1:26" x14ac:dyDescent="0.3">
      <c r="A119" s="9"/>
      <c r="B119" s="59"/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  <row r="120" spans="1:26" x14ac:dyDescent="0.3"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outlinePr summaryBelow="0" summaryRight="0"/>
  </sheetPr>
  <dimension ref="A2:Z9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124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7749.7099999999991</v>
      </c>
      <c r="E12" s="4"/>
      <c r="F12" s="12"/>
      <c r="G12" s="4"/>
      <c r="H12" s="4">
        <f>SUM(OSRRefH13x_0)</f>
        <v>1256.8100000000002</v>
      </c>
      <c r="I12" s="4"/>
      <c r="J12" s="12"/>
      <c r="K12" s="4"/>
      <c r="L12" s="4">
        <f t="shared" ref="L12:L23" si="0">+D12-H12</f>
        <v>6492.8999999999987</v>
      </c>
      <c r="M12" s="4"/>
      <c r="N12" s="12">
        <f t="shared" ref="N12:N23" si="1">IF(H12=0,0,L12/H12)</f>
        <v>5.1661746803414976</v>
      </c>
      <c r="O12" s="10"/>
      <c r="P12" s="4">
        <f>SUM(OSRRefP13x_0)</f>
        <v>98958.709999999992</v>
      </c>
      <c r="Q12" s="4"/>
      <c r="R12" s="12"/>
      <c r="S12" s="4"/>
      <c r="T12" s="4">
        <f>SUM(OSRRefT13x_0)</f>
        <v>74829.719999999987</v>
      </c>
      <c r="U12" s="4"/>
      <c r="V12" s="12"/>
      <c r="W12" s="4"/>
      <c r="X12" s="4">
        <f t="shared" ref="X12:X23" si="2">+P12-T12</f>
        <v>24128.990000000005</v>
      </c>
      <c r="Y12" s="4"/>
      <c r="Z12" s="12">
        <f t="shared" ref="Z12:Z23" si="3">IF(T12=0,0,X12/T12)</f>
        <v>0.32245196160028405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--4665.65</f>
        <v>4665.6499999999996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4665.6499999999996</v>
      </c>
      <c r="M13" s="2"/>
      <c r="N13" s="19">
        <f t="shared" si="1"/>
        <v>0</v>
      </c>
      <c r="O13" s="11"/>
      <c r="P13" s="2">
        <f>--78677.18</f>
        <v>78677.179999999993</v>
      </c>
      <c r="Q13" s="2"/>
      <c r="R13" s="19"/>
      <c r="S13" s="2"/>
      <c r="T13" s="2">
        <f>-8.65</f>
        <v>-8.65</v>
      </c>
      <c r="U13" s="2"/>
      <c r="V13" s="19"/>
      <c r="W13" s="2"/>
      <c r="X13" s="2">
        <f t="shared" si="2"/>
        <v>78685.829999999987</v>
      </c>
      <c r="Y13" s="2"/>
      <c r="Z13" s="19">
        <f t="shared" si="3"/>
        <v>-9096.6277456647385</v>
      </c>
    </row>
    <row r="14" spans="1:26" s="24" customFormat="1" hidden="1" outlineLevel="1" x14ac:dyDescent="0.3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 t="shared" ref="D14:D16" si="4">0</f>
        <v>0</v>
      </c>
      <c r="E14" s="2"/>
      <c r="F14" s="19"/>
      <c r="G14" s="2"/>
      <c r="H14" s="2">
        <f>--251.9</f>
        <v>251.9</v>
      </c>
      <c r="I14" s="2"/>
      <c r="J14" s="19"/>
      <c r="K14" s="2"/>
      <c r="L14" s="2">
        <f t="shared" si="0"/>
        <v>-251.9</v>
      </c>
      <c r="M14" s="2"/>
      <c r="N14" s="19">
        <f t="shared" si="1"/>
        <v>-1</v>
      </c>
      <c r="O14" s="11"/>
      <c r="P14" s="2">
        <f t="shared" ref="P14:P16" si="5">0</f>
        <v>0</v>
      </c>
      <c r="Q14" s="2"/>
      <c r="R14" s="19"/>
      <c r="S14" s="2"/>
      <c r="T14" s="2">
        <f>--60944.27</f>
        <v>60944.27</v>
      </c>
      <c r="U14" s="2"/>
      <c r="V14" s="19"/>
      <c r="W14" s="2"/>
      <c r="X14" s="2">
        <f t="shared" si="2"/>
        <v>-60944.27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 t="shared" si="4"/>
        <v>0</v>
      </c>
      <c r="E15" s="2"/>
      <c r="F15" s="19"/>
      <c r="G15" s="2"/>
      <c r="H15" s="2">
        <f>--964.03</f>
        <v>964.03</v>
      </c>
      <c r="I15" s="2"/>
      <c r="J15" s="19"/>
      <c r="K15" s="2"/>
      <c r="L15" s="2">
        <f t="shared" si="0"/>
        <v>-964.03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--12853.85</f>
        <v>12853.85</v>
      </c>
      <c r="U15" s="2"/>
      <c r="V15" s="19"/>
      <c r="W15" s="2"/>
      <c r="X15" s="2">
        <f t="shared" si="2"/>
        <v>-12853.85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 t="shared" si="4"/>
        <v>0</v>
      </c>
      <c r="E16" s="2"/>
      <c r="F16" s="19"/>
      <c r="G16" s="2"/>
      <c r="H16" s="2">
        <f>--7.98</f>
        <v>7.98</v>
      </c>
      <c r="I16" s="2"/>
      <c r="J16" s="19"/>
      <c r="K16" s="2"/>
      <c r="L16" s="2">
        <f t="shared" si="0"/>
        <v>-7.98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--15.96</f>
        <v>15.96</v>
      </c>
      <c r="U16" s="2"/>
      <c r="V16" s="19"/>
      <c r="W16" s="2"/>
      <c r="X16" s="2">
        <f t="shared" si="2"/>
        <v>-15.96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--3084.06</f>
        <v>3084.06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3084.06</v>
      </c>
      <c r="M17" s="2"/>
      <c r="N17" s="19">
        <f t="shared" si="1"/>
        <v>0</v>
      </c>
      <c r="O17" s="11"/>
      <c r="P17" s="2">
        <f>--20684.53</f>
        <v>20684.53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20684.53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 t="shared" ref="D18:D23" si="6">0</f>
        <v>0</v>
      </c>
      <c r="E18" s="2"/>
      <c r="F18" s="19"/>
      <c r="G18" s="2"/>
      <c r="H18" s="2">
        <f>--8.15</f>
        <v>8.15</v>
      </c>
      <c r="I18" s="2"/>
      <c r="J18" s="19"/>
      <c r="K18" s="2"/>
      <c r="L18" s="2">
        <f t="shared" si="0"/>
        <v>-8.15</v>
      </c>
      <c r="M18" s="2"/>
      <c r="N18" s="19">
        <f t="shared" si="1"/>
        <v>-1</v>
      </c>
      <c r="O18" s="11"/>
      <c r="P18" s="2">
        <f t="shared" ref="P18:P21" si="7">0</f>
        <v>0</v>
      </c>
      <c r="Q18" s="2"/>
      <c r="R18" s="19"/>
      <c r="S18" s="2"/>
      <c r="T18" s="2">
        <f>--519.65</f>
        <v>519.65</v>
      </c>
      <c r="U18" s="2"/>
      <c r="V18" s="19"/>
      <c r="W18" s="2"/>
      <c r="X18" s="2">
        <f t="shared" si="2"/>
        <v>-519.65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 t="shared" si="6"/>
        <v>0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7"/>
        <v>0</v>
      </c>
      <c r="Q19" s="2"/>
      <c r="R19" s="19"/>
      <c r="S19" s="2"/>
      <c r="T19" s="2">
        <f>--1110.59</f>
        <v>1110.5899999999999</v>
      </c>
      <c r="U19" s="2"/>
      <c r="V19" s="19"/>
      <c r="W19" s="2"/>
      <c r="X19" s="2">
        <f t="shared" si="2"/>
        <v>-1110.5899999999999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 t="shared" si="6"/>
        <v>0</v>
      </c>
      <c r="E20" s="2"/>
      <c r="F20" s="19"/>
      <c r="G20" s="2"/>
      <c r="H20" s="2">
        <f>--19.9</f>
        <v>19.899999999999999</v>
      </c>
      <c r="I20" s="2"/>
      <c r="J20" s="19"/>
      <c r="K20" s="2"/>
      <c r="L20" s="2">
        <f t="shared" si="0"/>
        <v>-19.899999999999999</v>
      </c>
      <c r="M20" s="2"/>
      <c r="N20" s="19">
        <f t="shared" si="1"/>
        <v>-1</v>
      </c>
      <c r="O20" s="11"/>
      <c r="P20" s="2">
        <f t="shared" si="7"/>
        <v>0</v>
      </c>
      <c r="Q20" s="2"/>
      <c r="R20" s="19"/>
      <c r="S20" s="2"/>
      <c r="T20" s="2">
        <f>--127.9</f>
        <v>127.9</v>
      </c>
      <c r="U20" s="2"/>
      <c r="V20" s="19"/>
      <c r="W20" s="2"/>
      <c r="X20" s="2">
        <f t="shared" si="2"/>
        <v>-127.9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 t="shared" si="6"/>
        <v>0</v>
      </c>
      <c r="E21" s="2"/>
      <c r="F21" s="19"/>
      <c r="G21" s="2"/>
      <c r="H21" s="2">
        <f>--13</f>
        <v>13</v>
      </c>
      <c r="I21" s="2"/>
      <c r="J21" s="19"/>
      <c r="K21" s="2"/>
      <c r="L21" s="2">
        <f t="shared" si="0"/>
        <v>-13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>--104.5</f>
        <v>104.5</v>
      </c>
      <c r="U21" s="2"/>
      <c r="V21" s="19"/>
      <c r="W21" s="2"/>
      <c r="X21" s="2">
        <f t="shared" si="2"/>
        <v>-104.5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"4200", " - ", "TAXABLE RETURNS")</f>
        <v xml:space="preserve">          4200 - TAXABLE RETURNS</v>
      </c>
      <c r="C22" s="11"/>
      <c r="D22" s="2">
        <f t="shared" si="6"/>
        <v>0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-403</f>
        <v>-403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-403</v>
      </c>
      <c r="Y22" s="2"/>
      <c r="Z22" s="19">
        <f t="shared" si="3"/>
        <v>0</v>
      </c>
    </row>
    <row r="23" spans="1:26" s="24" customFormat="1" hidden="1" outlineLevel="1" x14ac:dyDescent="0.3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 t="shared" si="6"/>
        <v>0</v>
      </c>
      <c r="E23" s="2"/>
      <c r="F23" s="19"/>
      <c r="G23" s="2"/>
      <c r="H23" s="2">
        <f>-8.15</f>
        <v>-8.15</v>
      </c>
      <c r="I23" s="2"/>
      <c r="J23" s="19"/>
      <c r="K23" s="2"/>
      <c r="L23" s="2">
        <f t="shared" si="0"/>
        <v>8.15</v>
      </c>
      <c r="M23" s="2"/>
      <c r="N23" s="19">
        <f t="shared" si="1"/>
        <v>-1</v>
      </c>
      <c r="O23" s="11"/>
      <c r="P23" s="2">
        <f>0</f>
        <v>0</v>
      </c>
      <c r="Q23" s="2"/>
      <c r="R23" s="19"/>
      <c r="S23" s="2"/>
      <c r="T23" s="2">
        <f>-838.35</f>
        <v>-838.35</v>
      </c>
      <c r="U23" s="2"/>
      <c r="V23" s="19"/>
      <c r="W23" s="2"/>
      <c r="X23" s="2">
        <f t="shared" si="2"/>
        <v>838.35</v>
      </c>
      <c r="Y23" s="2"/>
      <c r="Z23" s="19">
        <f t="shared" si="3"/>
        <v>-1</v>
      </c>
    </row>
    <row r="24" spans="1:26" x14ac:dyDescent="0.3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3">
      <c r="A25" s="10"/>
      <c r="B25" s="25" t="s">
        <v>256</v>
      </c>
      <c r="C25" s="10"/>
      <c r="D25" s="4">
        <f>SUM(OSRRefD16x_0)</f>
        <v>0</v>
      </c>
      <c r="E25" s="4"/>
      <c r="F25" s="12">
        <f t="shared" ref="F25:F28" si="8">IF(D$12=0,0,D25/D$12)</f>
        <v>0</v>
      </c>
      <c r="G25" s="4"/>
      <c r="H25" s="4">
        <f>SUM(OSRRefH16x_0)</f>
        <v>0</v>
      </c>
      <c r="I25" s="4"/>
      <c r="J25" s="12">
        <f t="shared" ref="J25:J28" si="9">IF(H$12=0,0,H25/H$12)</f>
        <v>0</v>
      </c>
      <c r="K25" s="4"/>
      <c r="L25" s="4">
        <f t="shared" ref="L25:L28" si="10">+D25-H25</f>
        <v>0</v>
      </c>
      <c r="M25" s="4"/>
      <c r="N25" s="12">
        <f t="shared" ref="N25:N28" si="11">IF(H25=0,0,L25/H25)</f>
        <v>0</v>
      </c>
      <c r="O25" s="10"/>
      <c r="P25" s="4">
        <f>SUM(OSRRefP16x_0)</f>
        <v>8.26</v>
      </c>
      <c r="Q25" s="4"/>
      <c r="R25" s="12">
        <f t="shared" ref="R25:R28" si="12">IF(P$12=0,0,P25/P$12)</f>
        <v>8.3469155974244218E-5</v>
      </c>
      <c r="S25" s="4"/>
      <c r="T25" s="4">
        <f>SUM(OSRRefT16x_0)</f>
        <v>0</v>
      </c>
      <c r="U25" s="4"/>
      <c r="V25" s="12">
        <f t="shared" ref="V25:V28" si="13">IF(T$12=0,0,T25/T$12)</f>
        <v>0</v>
      </c>
      <c r="W25" s="4"/>
      <c r="X25" s="4">
        <f t="shared" ref="X25:X28" si="14">+P25-T25</f>
        <v>8.26</v>
      </c>
      <c r="Y25" s="4"/>
      <c r="Z25" s="12">
        <f t="shared" ref="Z25:Z28" si="15">IF(T25=0,0,X25/T25)</f>
        <v>0</v>
      </c>
    </row>
    <row r="26" spans="1:26" s="24" customFormat="1" hidden="1" outlineLevel="1" x14ac:dyDescent="0.3">
      <c r="A26" s="44"/>
      <c r="B26" s="11" t="str">
        <f>CONCATENATE("          ", "5092", " - ", "PURCHASES @ COST-GRAD MERCH")</f>
        <v xml:space="preserve">          5092 - PURCHASES @ COST-GRAD MERCH</v>
      </c>
      <c r="C26" s="11"/>
      <c r="D26" s="2"/>
      <c r="E26" s="2"/>
      <c r="F26" s="19">
        <f t="shared" si="8"/>
        <v>0</v>
      </c>
      <c r="G26" s="2"/>
      <c r="H26" s="2"/>
      <c r="I26" s="2"/>
      <c r="J26" s="19">
        <f t="shared" si="9"/>
        <v>0</v>
      </c>
      <c r="K26" s="2"/>
      <c r="L26" s="2">
        <f t="shared" si="10"/>
        <v>0</v>
      </c>
      <c r="M26" s="2"/>
      <c r="N26" s="19">
        <f t="shared" si="11"/>
        <v>0</v>
      </c>
      <c r="O26" s="11"/>
      <c r="P26" s="2"/>
      <c r="Q26" s="2"/>
      <c r="R26" s="19">
        <f t="shared" si="12"/>
        <v>0</v>
      </c>
      <c r="S26" s="2"/>
      <c r="T26" s="2">
        <v>0</v>
      </c>
      <c r="U26" s="2"/>
      <c r="V26" s="19">
        <f t="shared" si="13"/>
        <v>0</v>
      </c>
      <c r="W26" s="2"/>
      <c r="X26" s="2">
        <f t="shared" si="14"/>
        <v>0</v>
      </c>
      <c r="Y26" s="2"/>
      <c r="Z26" s="19">
        <f t="shared" si="15"/>
        <v>0</v>
      </c>
    </row>
    <row r="27" spans="1:26" s="24" customFormat="1" hidden="1" outlineLevel="1" x14ac:dyDescent="0.3">
      <c r="A27" s="44"/>
      <c r="B27" s="11" t="str">
        <f>CONCATENATE("          ", "5500", " - ", "FREIGHT-IN")</f>
        <v xml:space="preserve">          5500 - FREIGHT-IN</v>
      </c>
      <c r="C27" s="11"/>
      <c r="D27" s="2"/>
      <c r="E27" s="2"/>
      <c r="F27" s="19">
        <f t="shared" si="8"/>
        <v>0</v>
      </c>
      <c r="G27" s="2"/>
      <c r="H27" s="2"/>
      <c r="I27" s="2"/>
      <c r="J27" s="19">
        <f t="shared" si="9"/>
        <v>0</v>
      </c>
      <c r="K27" s="2"/>
      <c r="L27" s="2">
        <f t="shared" si="10"/>
        <v>0</v>
      </c>
      <c r="M27" s="2"/>
      <c r="N27" s="19">
        <f t="shared" si="11"/>
        <v>0</v>
      </c>
      <c r="O27" s="11"/>
      <c r="P27" s="2">
        <v>8.26</v>
      </c>
      <c r="Q27" s="2"/>
      <c r="R27" s="19">
        <f t="shared" si="12"/>
        <v>8.3469155974244218E-5</v>
      </c>
      <c r="S27" s="2"/>
      <c r="T27" s="2"/>
      <c r="U27" s="2"/>
      <c r="V27" s="19">
        <f t="shared" si="13"/>
        <v>0</v>
      </c>
      <c r="W27" s="2"/>
      <c r="X27" s="2">
        <f t="shared" si="14"/>
        <v>8.26</v>
      </c>
      <c r="Y27" s="2"/>
      <c r="Z27" s="19">
        <f t="shared" si="15"/>
        <v>0</v>
      </c>
    </row>
    <row r="28" spans="1:26" s="24" customFormat="1" hidden="1" outlineLevel="1" x14ac:dyDescent="0.3">
      <c r="A28" s="44"/>
      <c r="B28" s="11" t="str">
        <f>CONCATENATE("          ", "5592", " - ", "FREIGHT-IN-GRAD MERCH")</f>
        <v xml:space="preserve">          5592 - FREIGHT-IN-GRAD MERCH</v>
      </c>
      <c r="C28" s="11"/>
      <c r="D28" s="2"/>
      <c r="E28" s="2"/>
      <c r="F28" s="19">
        <f t="shared" si="8"/>
        <v>0</v>
      </c>
      <c r="G28" s="2"/>
      <c r="H28" s="2"/>
      <c r="I28" s="2"/>
      <c r="J28" s="19">
        <f t="shared" si="9"/>
        <v>0</v>
      </c>
      <c r="K28" s="2"/>
      <c r="L28" s="2">
        <f t="shared" si="10"/>
        <v>0</v>
      </c>
      <c r="M28" s="2"/>
      <c r="N28" s="19">
        <f t="shared" si="11"/>
        <v>0</v>
      </c>
      <c r="O28" s="11"/>
      <c r="P28" s="2"/>
      <c r="Q28" s="2"/>
      <c r="R28" s="19">
        <f t="shared" si="12"/>
        <v>0</v>
      </c>
      <c r="S28" s="2"/>
      <c r="T28" s="2">
        <v>0</v>
      </c>
      <c r="U28" s="2"/>
      <c r="V28" s="19">
        <f t="shared" si="13"/>
        <v>0</v>
      </c>
      <c r="W28" s="2"/>
      <c r="X28" s="2">
        <f t="shared" si="14"/>
        <v>0</v>
      </c>
      <c r="Y28" s="2"/>
      <c r="Z28" s="19">
        <f t="shared" si="15"/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6" t="s">
        <v>107</v>
      </c>
      <c r="C30" s="26"/>
      <c r="D30" s="20">
        <f>D12-D25</f>
        <v>7749.7099999999991</v>
      </c>
      <c r="E30" s="13"/>
      <c r="F30" s="21">
        <f>IF(D$12=0,0,D30/D$12)</f>
        <v>1</v>
      </c>
      <c r="G30" s="13"/>
      <c r="H30" s="20">
        <f>H12-H25</f>
        <v>1256.8100000000002</v>
      </c>
      <c r="I30" s="13"/>
      <c r="J30" s="21">
        <f>IF(H$12=0,0,H30/H$12)</f>
        <v>1</v>
      </c>
      <c r="K30" s="15"/>
      <c r="L30" s="20">
        <f>+D30-H30</f>
        <v>6492.8999999999987</v>
      </c>
      <c r="M30" s="15"/>
      <c r="N30" s="21">
        <f>IF(H30=0,0,L30/H30)</f>
        <v>5.1661746803414976</v>
      </c>
      <c r="O30" s="25"/>
      <c r="P30" s="20">
        <f>P12-P25</f>
        <v>98950.45</v>
      </c>
      <c r="Q30" s="13"/>
      <c r="R30" s="21">
        <f>IF(P$12=0,0,P30/P$12)</f>
        <v>0.99991653084402576</v>
      </c>
      <c r="S30" s="13"/>
      <c r="T30" s="20">
        <f>T12-T25</f>
        <v>74829.719999999987</v>
      </c>
      <c r="U30" s="13"/>
      <c r="V30" s="21">
        <f>IF(T$12=0,0,T30/T$12)</f>
        <v>1</v>
      </c>
      <c r="W30" s="15"/>
      <c r="X30" s="20">
        <f>+P30-T30</f>
        <v>24120.73000000001</v>
      </c>
      <c r="Y30" s="15"/>
      <c r="Z30" s="21">
        <f>IF(T30=0,0,X30/T30)</f>
        <v>0.32234157765123289</v>
      </c>
    </row>
    <row r="31" spans="1:26" x14ac:dyDescent="0.3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">
      <c r="A32" s="10"/>
      <c r="B32" s="25" t="s">
        <v>294</v>
      </c>
      <c r="C32" s="10"/>
      <c r="D32" s="22">
        <f>SUM(OSRRefD22x_0)</f>
        <v>17624.769999999997</v>
      </c>
      <c r="E32" s="22"/>
      <c r="F32" s="34">
        <f t="shared" ref="F32:F41" si="16">IF(D$12=0,0,D32/D$12)</f>
        <v>2.2742489718970127</v>
      </c>
      <c r="G32" s="22"/>
      <c r="H32" s="22">
        <f>SUM(OSRRefH22x_0)</f>
        <v>31938.720000000001</v>
      </c>
      <c r="I32" s="22"/>
      <c r="J32" s="34">
        <f t="shared" ref="J32:J41" si="17">IF(H$12=0,0,H32/H$12)</f>
        <v>25.412528544489618</v>
      </c>
      <c r="K32" s="4"/>
      <c r="L32" s="22">
        <f t="shared" ref="L32:L41" si="18">+D32-H32</f>
        <v>-14313.950000000004</v>
      </c>
      <c r="M32" s="4"/>
      <c r="N32" s="34">
        <f t="shared" ref="N32:N41" si="19">IF(H32=0,0,L32/H32)</f>
        <v>-0.4481691814825392</v>
      </c>
      <c r="O32" s="10"/>
      <c r="P32" s="22">
        <f>SUM(OSRRefP22x_0)</f>
        <v>142997.83999999997</v>
      </c>
      <c r="Q32" s="22"/>
      <c r="R32" s="34">
        <f t="shared" ref="R32:R41" si="20">IF(P$12=0,0,P32/P$12)</f>
        <v>1.4450253039878953</v>
      </c>
      <c r="S32" s="22"/>
      <c r="T32" s="22">
        <f>SUM(OSRRefT22x_0)</f>
        <v>192124.46</v>
      </c>
      <c r="U32" s="22"/>
      <c r="V32" s="34">
        <f t="shared" ref="V32:V41" si="21">IF(T$12=0,0,T32/T$12)</f>
        <v>2.5674886929952434</v>
      </c>
      <c r="W32" s="4"/>
      <c r="X32" s="22">
        <f t="shared" ref="X32:X41" si="22">+P32-T32</f>
        <v>-49126.620000000024</v>
      </c>
      <c r="Y32" s="4"/>
      <c r="Z32" s="34">
        <f t="shared" ref="Z32:Z41" si="23">IF(T32=0,0,X32/T32)</f>
        <v>-0.25570205896740072</v>
      </c>
    </row>
    <row r="33" spans="1:26" s="29" customFormat="1" outlineLevel="1" collapsed="1" x14ac:dyDescent="0.3">
      <c r="A33" s="27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4512.1400000000003</v>
      </c>
      <c r="E33" s="1"/>
      <c r="F33" s="5">
        <f t="shared" si="16"/>
        <v>0.58223339970140831</v>
      </c>
      <c r="G33" s="1"/>
      <c r="H33" s="1">
        <f>SUM(OSRRefH22_0x_0)</f>
        <v>8896.2999999999993</v>
      </c>
      <c r="I33" s="1"/>
      <c r="J33" s="5">
        <f t="shared" si="17"/>
        <v>7.0784764602445858</v>
      </c>
      <c r="K33" s="1"/>
      <c r="L33" s="1">
        <f t="shared" si="18"/>
        <v>-4384.1599999999989</v>
      </c>
      <c r="M33" s="1"/>
      <c r="N33" s="5">
        <f t="shared" si="19"/>
        <v>-0.49280712206198074</v>
      </c>
      <c r="O33" s="14"/>
      <c r="P33" s="1">
        <f>SUM(OSRRefP22_0x_0)</f>
        <v>52347.419999999991</v>
      </c>
      <c r="Q33" s="1"/>
      <c r="R33" s="5">
        <f t="shared" si="20"/>
        <v>0.5289824412626235</v>
      </c>
      <c r="S33" s="1"/>
      <c r="T33" s="1">
        <f>SUM(OSRRefT22_0x_0)</f>
        <v>54708.87</v>
      </c>
      <c r="U33" s="1"/>
      <c r="V33" s="5">
        <f t="shared" si="21"/>
        <v>0.73111151558498433</v>
      </c>
      <c r="W33" s="1"/>
      <c r="X33" s="1">
        <f t="shared" si="22"/>
        <v>-2361.4500000000116</v>
      </c>
      <c r="Y33" s="1"/>
      <c r="Z33" s="5">
        <f t="shared" si="23"/>
        <v>-4.3163933014884269E-2</v>
      </c>
    </row>
    <row r="34" spans="1:26" s="24" customFormat="1" hidden="1" outlineLevel="2" x14ac:dyDescent="0.3">
      <c r="A34" s="28"/>
      <c r="B34" s="11" t="str">
        <f>CONCATENATE("          ", "6111", " - ", "F.I.C.A.")</f>
        <v xml:space="preserve">          6111 - F.I.C.A.</v>
      </c>
      <c r="C34" s="11"/>
      <c r="D34" s="6">
        <v>690.61</v>
      </c>
      <c r="E34" s="2"/>
      <c r="F34" s="7">
        <f t="shared" si="16"/>
        <v>8.9114302341636017E-2</v>
      </c>
      <c r="G34" s="2"/>
      <c r="H34" s="6">
        <v>1206.3</v>
      </c>
      <c r="I34" s="2"/>
      <c r="J34" s="7">
        <f t="shared" si="17"/>
        <v>0.95981094994470106</v>
      </c>
      <c r="K34" s="2"/>
      <c r="L34" s="6">
        <f t="shared" si="18"/>
        <v>-515.68999999999994</v>
      </c>
      <c r="M34" s="2"/>
      <c r="N34" s="7">
        <f t="shared" si="19"/>
        <v>-0.42749730581115808</v>
      </c>
      <c r="O34" s="11"/>
      <c r="P34" s="6">
        <v>9162.2900000000009</v>
      </c>
      <c r="Q34" s="2"/>
      <c r="R34" s="7">
        <f t="shared" si="20"/>
        <v>9.2586999163590575E-2</v>
      </c>
      <c r="S34" s="2"/>
      <c r="T34" s="6">
        <v>7826.77</v>
      </c>
      <c r="U34" s="2"/>
      <c r="V34" s="7">
        <f t="shared" si="21"/>
        <v>0.10459440446924032</v>
      </c>
      <c r="W34" s="2"/>
      <c r="X34" s="6">
        <f t="shared" si="22"/>
        <v>1335.5200000000004</v>
      </c>
      <c r="Y34" s="2"/>
      <c r="Z34" s="7">
        <f t="shared" si="23"/>
        <v>0.17063488514419106</v>
      </c>
    </row>
    <row r="35" spans="1:26" s="24" customFormat="1" hidden="1" outlineLevel="2" x14ac:dyDescent="0.3">
      <c r="A35" s="28"/>
      <c r="B35" s="11" t="str">
        <f>CONCATENATE("          ", "6112", " - ", "COMPENSATION INSURANCE")</f>
        <v xml:space="preserve">          6112 - COMPENSATION INSURANCE</v>
      </c>
      <c r="C35" s="11"/>
      <c r="D35" s="6">
        <v>172.02</v>
      </c>
      <c r="E35" s="2"/>
      <c r="F35" s="7">
        <f t="shared" si="16"/>
        <v>2.2196959628166736E-2</v>
      </c>
      <c r="G35" s="2"/>
      <c r="H35" s="6">
        <v>556.65</v>
      </c>
      <c r="I35" s="2"/>
      <c r="J35" s="7">
        <f t="shared" si="17"/>
        <v>0.44290704243282586</v>
      </c>
      <c r="K35" s="2"/>
      <c r="L35" s="6">
        <f t="shared" si="18"/>
        <v>-384.63</v>
      </c>
      <c r="M35" s="2"/>
      <c r="N35" s="7">
        <f t="shared" si="19"/>
        <v>-0.69097278361627601</v>
      </c>
      <c r="O35" s="11"/>
      <c r="P35" s="6">
        <v>2010.06</v>
      </c>
      <c r="Q35" s="2"/>
      <c r="R35" s="7">
        <f t="shared" si="20"/>
        <v>2.0312107948860694E-2</v>
      </c>
      <c r="S35" s="2"/>
      <c r="T35" s="6">
        <v>2343.9499999999998</v>
      </c>
      <c r="U35" s="2"/>
      <c r="V35" s="7">
        <f t="shared" si="21"/>
        <v>3.1323784186283204E-2</v>
      </c>
      <c r="W35" s="2"/>
      <c r="X35" s="6">
        <f t="shared" si="22"/>
        <v>-333.88999999999987</v>
      </c>
      <c r="Y35" s="2"/>
      <c r="Z35" s="7">
        <f t="shared" si="23"/>
        <v>-0.14244757780669379</v>
      </c>
    </row>
    <row r="36" spans="1:26" s="24" customFormat="1" hidden="1" outlineLevel="2" x14ac:dyDescent="0.3">
      <c r="A36" s="28"/>
      <c r="B36" s="11" t="str">
        <f>CONCATENATE("          ", "6113", " - ", "GROUP INSURANCE")</f>
        <v xml:space="preserve">          6113 - GROUP INSURANCE</v>
      </c>
      <c r="C36" s="11"/>
      <c r="D36" s="6">
        <v>1393.42</v>
      </c>
      <c r="E36" s="2"/>
      <c r="F36" s="7">
        <f t="shared" si="16"/>
        <v>0.17980285713917041</v>
      </c>
      <c r="G36" s="2"/>
      <c r="H36" s="6">
        <v>3423.78</v>
      </c>
      <c r="I36" s="2"/>
      <c r="J36" s="7">
        <f t="shared" si="17"/>
        <v>2.7241826529069626</v>
      </c>
      <c r="K36" s="2"/>
      <c r="L36" s="6">
        <f t="shared" si="18"/>
        <v>-2030.3600000000001</v>
      </c>
      <c r="M36" s="2"/>
      <c r="N36" s="7">
        <f t="shared" si="19"/>
        <v>-0.59301707469521991</v>
      </c>
      <c r="O36" s="11"/>
      <c r="P36" s="6">
        <v>17886.02</v>
      </c>
      <c r="Q36" s="2"/>
      <c r="R36" s="7">
        <f t="shared" si="20"/>
        <v>0.18074225098528468</v>
      </c>
      <c r="S36" s="2"/>
      <c r="T36" s="6">
        <v>19741.330000000002</v>
      </c>
      <c r="U36" s="2"/>
      <c r="V36" s="7">
        <f t="shared" si="21"/>
        <v>0.26381670277531449</v>
      </c>
      <c r="W36" s="2"/>
      <c r="X36" s="6">
        <f t="shared" si="22"/>
        <v>-1855.3100000000013</v>
      </c>
      <c r="Y36" s="2"/>
      <c r="Z36" s="7">
        <f t="shared" si="23"/>
        <v>-9.3981003306261593E-2</v>
      </c>
    </row>
    <row r="37" spans="1:26" s="24" customFormat="1" hidden="1" outlineLevel="2" x14ac:dyDescent="0.3">
      <c r="A37" s="28"/>
      <c r="B37" s="11" t="str">
        <f>CONCATENATE("          ", "6114", " - ", "STATE UNEMPLOYMENT INSURANCE")</f>
        <v xml:space="preserve">          6114 - STATE UNEMPLOYMENT INSURANCE</v>
      </c>
      <c r="C37" s="11"/>
      <c r="D37" s="6">
        <v>30.22</v>
      </c>
      <c r="E37" s="2"/>
      <c r="F37" s="7">
        <f t="shared" si="16"/>
        <v>3.8995007555121422E-3</v>
      </c>
      <c r="G37" s="2"/>
      <c r="H37" s="6"/>
      <c r="I37" s="2"/>
      <c r="J37" s="7">
        <f t="shared" si="17"/>
        <v>0</v>
      </c>
      <c r="K37" s="2"/>
      <c r="L37" s="6">
        <f t="shared" si="18"/>
        <v>30.22</v>
      </c>
      <c r="M37" s="2"/>
      <c r="N37" s="7">
        <f t="shared" si="19"/>
        <v>0</v>
      </c>
      <c r="O37" s="11"/>
      <c r="P37" s="6">
        <v>353.12</v>
      </c>
      <c r="Q37" s="2"/>
      <c r="R37" s="7">
        <f t="shared" si="20"/>
        <v>3.5683569440224114E-3</v>
      </c>
      <c r="S37" s="2"/>
      <c r="T37" s="6">
        <v>251.18</v>
      </c>
      <c r="U37" s="2"/>
      <c r="V37" s="7">
        <f t="shared" si="21"/>
        <v>3.3566876903989491E-3</v>
      </c>
      <c r="W37" s="2"/>
      <c r="X37" s="6">
        <f t="shared" si="22"/>
        <v>101.94</v>
      </c>
      <c r="Y37" s="2"/>
      <c r="Z37" s="7">
        <f t="shared" si="23"/>
        <v>0.40584441436420093</v>
      </c>
    </row>
    <row r="38" spans="1:26" s="24" customFormat="1" hidden="1" outlineLevel="2" x14ac:dyDescent="0.3">
      <c r="A38" s="28"/>
      <c r="B38" s="11" t="str">
        <f>CONCATENATE("          ", "6115", " - ", "P.E.R.S.")</f>
        <v xml:space="preserve">          6115 - P.E.R.S.</v>
      </c>
      <c r="C38" s="11"/>
      <c r="D38" s="6">
        <v>810.13</v>
      </c>
      <c r="E38" s="2"/>
      <c r="F38" s="7">
        <f t="shared" si="16"/>
        <v>0.10453681492597788</v>
      </c>
      <c r="G38" s="2"/>
      <c r="H38" s="6">
        <v>1385.13</v>
      </c>
      <c r="I38" s="2"/>
      <c r="J38" s="7">
        <f t="shared" si="17"/>
        <v>1.10209976050477</v>
      </c>
      <c r="K38" s="2"/>
      <c r="L38" s="6">
        <f t="shared" si="18"/>
        <v>-575.00000000000011</v>
      </c>
      <c r="M38" s="2"/>
      <c r="N38" s="7">
        <f t="shared" si="19"/>
        <v>-0.41512349021391498</v>
      </c>
      <c r="O38" s="11"/>
      <c r="P38" s="6">
        <v>11646.04</v>
      </c>
      <c r="Q38" s="2"/>
      <c r="R38" s="7">
        <f t="shared" si="20"/>
        <v>0.11768585099785558</v>
      </c>
      <c r="S38" s="2"/>
      <c r="T38" s="6">
        <v>10064.209999999999</v>
      </c>
      <c r="U38" s="2"/>
      <c r="V38" s="7">
        <f t="shared" si="21"/>
        <v>0.13449482371442792</v>
      </c>
      <c r="W38" s="2"/>
      <c r="X38" s="6">
        <f t="shared" si="22"/>
        <v>1581.8300000000017</v>
      </c>
      <c r="Y38" s="2"/>
      <c r="Z38" s="7">
        <f t="shared" si="23"/>
        <v>0.15717378711294794</v>
      </c>
    </row>
    <row r="39" spans="1:26" s="24" customFormat="1" hidden="1" outlineLevel="2" x14ac:dyDescent="0.3">
      <c r="A39" s="28"/>
      <c r="B39" s="11" t="str">
        <f>CONCATENATE("          ", "6118", " - ", "VACATION")</f>
        <v xml:space="preserve">          6118 - VACATION</v>
      </c>
      <c r="C39" s="11"/>
      <c r="D39" s="6">
        <v>639.32000000000005</v>
      </c>
      <c r="E39" s="2"/>
      <c r="F39" s="7">
        <f t="shared" si="16"/>
        <v>8.2495990172535505E-2</v>
      </c>
      <c r="G39" s="2"/>
      <c r="H39" s="6">
        <v>1216.0999999999999</v>
      </c>
      <c r="I39" s="2"/>
      <c r="J39" s="7">
        <f t="shared" si="17"/>
        <v>0.96760846906055786</v>
      </c>
      <c r="K39" s="2"/>
      <c r="L39" s="6">
        <f t="shared" si="18"/>
        <v>-576.77999999999986</v>
      </c>
      <c r="M39" s="2"/>
      <c r="N39" s="7">
        <f t="shared" si="19"/>
        <v>-0.47428665405805437</v>
      </c>
      <c r="O39" s="11"/>
      <c r="P39" s="6">
        <v>5242.5600000000004</v>
      </c>
      <c r="Q39" s="2"/>
      <c r="R39" s="7">
        <f t="shared" si="20"/>
        <v>5.2977246772921767E-2</v>
      </c>
      <c r="S39" s="2"/>
      <c r="T39" s="6">
        <v>7667.43</v>
      </c>
      <c r="U39" s="2"/>
      <c r="V39" s="7">
        <f t="shared" si="21"/>
        <v>0.10246503661914012</v>
      </c>
      <c r="W39" s="2"/>
      <c r="X39" s="6">
        <f t="shared" si="22"/>
        <v>-2424.87</v>
      </c>
      <c r="Y39" s="2"/>
      <c r="Z39" s="7">
        <f t="shared" si="23"/>
        <v>-0.31625590321659275</v>
      </c>
    </row>
    <row r="40" spans="1:26" s="24" customFormat="1" hidden="1" outlineLevel="2" x14ac:dyDescent="0.3">
      <c r="A40" s="28"/>
      <c r="B40" s="11" t="str">
        <f>CONCATENATE("          ", "6119", " - ", "SICK LEAVE")</f>
        <v xml:space="preserve">          6119 - SICK LEAVE</v>
      </c>
      <c r="C40" s="11"/>
      <c r="D40" s="6">
        <v>410.1</v>
      </c>
      <c r="E40" s="2"/>
      <c r="F40" s="7">
        <f t="shared" si="16"/>
        <v>5.2918109193763385E-2</v>
      </c>
      <c r="G40" s="2"/>
      <c r="H40" s="6">
        <v>738.5</v>
      </c>
      <c r="I40" s="2"/>
      <c r="J40" s="7">
        <f t="shared" si="17"/>
        <v>0.587598761944924</v>
      </c>
      <c r="K40" s="2"/>
      <c r="L40" s="6">
        <f t="shared" si="18"/>
        <v>-328.4</v>
      </c>
      <c r="M40" s="2"/>
      <c r="N40" s="7">
        <f t="shared" si="19"/>
        <v>-0.44468517264725793</v>
      </c>
      <c r="O40" s="11"/>
      <c r="P40" s="6">
        <v>3455.13</v>
      </c>
      <c r="Q40" s="2"/>
      <c r="R40" s="7">
        <f t="shared" si="20"/>
        <v>3.4914864997734919E-2</v>
      </c>
      <c r="S40" s="2"/>
      <c r="T40" s="6">
        <v>4694.2700000000004</v>
      </c>
      <c r="U40" s="2"/>
      <c r="V40" s="7">
        <f t="shared" si="21"/>
        <v>6.273269497734324E-2</v>
      </c>
      <c r="W40" s="2"/>
      <c r="X40" s="6">
        <f t="shared" si="22"/>
        <v>-1239.1400000000003</v>
      </c>
      <c r="Y40" s="2"/>
      <c r="Z40" s="7">
        <f t="shared" si="23"/>
        <v>-0.26396862557969614</v>
      </c>
    </row>
    <row r="41" spans="1:26" s="24" customFormat="1" hidden="1" outlineLevel="2" x14ac:dyDescent="0.3">
      <c r="A41" s="28"/>
      <c r="B41" s="11" t="str">
        <f>CONCATENATE("          ", "6156", " - ", "EMPLOYEE MEALS")</f>
        <v xml:space="preserve">          6156 - EMPLOYEE MEALS</v>
      </c>
      <c r="C41" s="11"/>
      <c r="D41" s="6">
        <v>366.32</v>
      </c>
      <c r="E41" s="2"/>
      <c r="F41" s="7">
        <f t="shared" si="16"/>
        <v>4.7268865544646189E-2</v>
      </c>
      <c r="G41" s="2"/>
      <c r="H41" s="6">
        <v>369.84</v>
      </c>
      <c r="I41" s="2"/>
      <c r="J41" s="7">
        <f t="shared" si="17"/>
        <v>0.29426882344984517</v>
      </c>
      <c r="K41" s="2"/>
      <c r="L41" s="6">
        <f t="shared" si="18"/>
        <v>-3.5199999999999818</v>
      </c>
      <c r="M41" s="2"/>
      <c r="N41" s="7">
        <f t="shared" si="19"/>
        <v>-9.5176292450789048E-3</v>
      </c>
      <c r="O41" s="11"/>
      <c r="P41" s="6">
        <v>2592.1999999999998</v>
      </c>
      <c r="Q41" s="2"/>
      <c r="R41" s="7">
        <f t="shared" si="20"/>
        <v>2.6194763452353009E-2</v>
      </c>
      <c r="S41" s="2"/>
      <c r="T41" s="6">
        <v>2119.73</v>
      </c>
      <c r="U41" s="2"/>
      <c r="V41" s="7">
        <f t="shared" si="21"/>
        <v>2.8327381152836072E-2</v>
      </c>
      <c r="W41" s="2"/>
      <c r="X41" s="6">
        <f t="shared" si="22"/>
        <v>472.4699999999998</v>
      </c>
      <c r="Y41" s="2"/>
      <c r="Z41" s="7">
        <f t="shared" si="23"/>
        <v>0.22289159468422856</v>
      </c>
    </row>
    <row r="42" spans="1:26" s="29" customFormat="1" outlineLevel="1" collapsed="1" x14ac:dyDescent="0.3">
      <c r="A42" s="27"/>
      <c r="B42" s="14" t="str">
        <f>CONCATENATE("     ","*Payroll                                          ")</f>
        <v xml:space="preserve">     *Payroll                                          </v>
      </c>
      <c r="C42" s="14"/>
      <c r="D42" s="1">
        <f>SUM(OSRRefD22_1x_0)</f>
        <v>10711.42</v>
      </c>
      <c r="E42" s="1"/>
      <c r="F42" s="5">
        <f t="shared" ref="F42:F45" si="24">IF(D$12=0,0,D42/D$12)</f>
        <v>1.3821704296031725</v>
      </c>
      <c r="G42" s="1"/>
      <c r="H42" s="1">
        <f>SUM(OSRRefH22_1x_0)</f>
        <v>14567.890000000001</v>
      </c>
      <c r="I42" s="1"/>
      <c r="J42" s="5">
        <f t="shared" ref="J42:J45" si="25">IF(H$12=0,0,H42/H$12)</f>
        <v>11.591163342112173</v>
      </c>
      <c r="K42" s="1"/>
      <c r="L42" s="1">
        <f t="shared" ref="L42:L45" si="26">+D42-H42</f>
        <v>-3856.4700000000012</v>
      </c>
      <c r="M42" s="1"/>
      <c r="N42" s="5">
        <f t="shared" ref="N42:N45" si="27">IF(H42=0,0,L42/H42)</f>
        <v>-0.26472399228714666</v>
      </c>
      <c r="O42" s="14"/>
      <c r="P42" s="1">
        <f>SUM(OSRRefP22_1x_0)</f>
        <v>88061.58</v>
      </c>
      <c r="Q42" s="1"/>
      <c r="R42" s="5">
        <f t="shared" ref="R42:R45" si="28">IF(P$12=0,0,P42/P$12)</f>
        <v>0.88988205282789168</v>
      </c>
      <c r="S42" s="1"/>
      <c r="T42" s="1">
        <f>SUM(OSRRefT22_1x_0)</f>
        <v>87263.33</v>
      </c>
      <c r="U42" s="1"/>
      <c r="V42" s="5">
        <f t="shared" ref="V42:V45" si="29">IF(T$12=0,0,T42/T$12)</f>
        <v>1.1661587134095921</v>
      </c>
      <c r="W42" s="1"/>
      <c r="X42" s="1">
        <f t="shared" ref="X42:X45" si="30">+P42-T42</f>
        <v>798.25</v>
      </c>
      <c r="Y42" s="1"/>
      <c r="Z42" s="5">
        <f t="shared" ref="Z42:Z45" si="31">IF(T42=0,0,X42/T42)</f>
        <v>9.147599570174551E-3</v>
      </c>
    </row>
    <row r="43" spans="1:26" s="24" customFormat="1" hidden="1" outlineLevel="2" x14ac:dyDescent="0.3">
      <c r="A43" s="28"/>
      <c r="B43" s="11" t="str">
        <f>CONCATENATE("          ", "6002", " - ", "STAFF SALARIES")</f>
        <v xml:space="preserve">          6002 - STAFF SALARIES</v>
      </c>
      <c r="C43" s="11"/>
      <c r="D43" s="6">
        <v>7763.16</v>
      </c>
      <c r="E43" s="2"/>
      <c r="F43" s="7">
        <f t="shared" si="24"/>
        <v>1.0017355488140847</v>
      </c>
      <c r="G43" s="2"/>
      <c r="H43" s="6">
        <v>14236.79</v>
      </c>
      <c r="I43" s="2"/>
      <c r="J43" s="7">
        <f t="shared" si="25"/>
        <v>11.327718589126439</v>
      </c>
      <c r="K43" s="2"/>
      <c r="L43" s="6">
        <f t="shared" si="26"/>
        <v>-6473.630000000001</v>
      </c>
      <c r="M43" s="2"/>
      <c r="N43" s="7">
        <f t="shared" si="27"/>
        <v>-0.45471134996020879</v>
      </c>
      <c r="O43" s="11"/>
      <c r="P43" s="6">
        <v>74024.17</v>
      </c>
      <c r="Q43" s="2"/>
      <c r="R43" s="7">
        <f t="shared" si="28"/>
        <v>0.74803087065302287</v>
      </c>
      <c r="S43" s="2"/>
      <c r="T43" s="6">
        <v>83030.710000000006</v>
      </c>
      <c r="U43" s="2"/>
      <c r="V43" s="7">
        <f t="shared" si="29"/>
        <v>1.1095953586355798</v>
      </c>
      <c r="W43" s="2"/>
      <c r="X43" s="6">
        <f t="shared" si="30"/>
        <v>-9006.5400000000081</v>
      </c>
      <c r="Y43" s="2"/>
      <c r="Z43" s="7">
        <f t="shared" si="31"/>
        <v>-0.10847239533420835</v>
      </c>
    </row>
    <row r="44" spans="1:26" s="24" customFormat="1" hidden="1" outlineLevel="2" x14ac:dyDescent="0.3">
      <c r="A44" s="28"/>
      <c r="B44" s="11" t="str">
        <f>CONCATENATE("          ", "6005", " - ", "TEMPORARY WAGES-HOURLY")</f>
        <v xml:space="preserve">          6005 - TEMPORARY WAGES-HOURLY</v>
      </c>
      <c r="C44" s="11"/>
      <c r="D44" s="6"/>
      <c r="E44" s="2"/>
      <c r="F44" s="7">
        <f t="shared" si="24"/>
        <v>0</v>
      </c>
      <c r="G44" s="2"/>
      <c r="H44" s="6"/>
      <c r="I44" s="2"/>
      <c r="J44" s="7">
        <f t="shared" si="25"/>
        <v>0</v>
      </c>
      <c r="K44" s="2"/>
      <c r="L44" s="6">
        <f t="shared" si="26"/>
        <v>0</v>
      </c>
      <c r="M44" s="2"/>
      <c r="N44" s="7">
        <f t="shared" si="27"/>
        <v>0</v>
      </c>
      <c r="O44" s="11"/>
      <c r="P44" s="6"/>
      <c r="Q44" s="2"/>
      <c r="R44" s="7">
        <f t="shared" si="28"/>
        <v>0</v>
      </c>
      <c r="S44" s="2"/>
      <c r="T44" s="6">
        <v>383.25</v>
      </c>
      <c r="U44" s="2"/>
      <c r="V44" s="7">
        <f t="shared" si="29"/>
        <v>5.1216281445393627E-3</v>
      </c>
      <c r="W44" s="2"/>
      <c r="X44" s="6">
        <f t="shared" si="30"/>
        <v>-383.25</v>
      </c>
      <c r="Y44" s="2"/>
      <c r="Z44" s="7">
        <f t="shared" si="31"/>
        <v>-1</v>
      </c>
    </row>
    <row r="45" spans="1:26" s="24" customFormat="1" hidden="1" outlineLevel="2" x14ac:dyDescent="0.3">
      <c r="A45" s="28"/>
      <c r="B45" s="11" t="str">
        <f>CONCATENATE("          ", "6007", " - ", "STUDENT HOURLY")</f>
        <v xml:space="preserve">          6007 - STUDENT HOURLY</v>
      </c>
      <c r="C45" s="11"/>
      <c r="D45" s="6">
        <v>2948.26</v>
      </c>
      <c r="E45" s="2"/>
      <c r="F45" s="7">
        <f t="shared" si="24"/>
        <v>0.38043488078908766</v>
      </c>
      <c r="G45" s="2"/>
      <c r="H45" s="6">
        <v>331.1</v>
      </c>
      <c r="I45" s="2"/>
      <c r="J45" s="7">
        <f t="shared" si="25"/>
        <v>0.26344475298573372</v>
      </c>
      <c r="K45" s="2"/>
      <c r="L45" s="6">
        <f t="shared" si="26"/>
        <v>2617.1600000000003</v>
      </c>
      <c r="M45" s="2"/>
      <c r="N45" s="7">
        <f t="shared" si="27"/>
        <v>7.9044397463002118</v>
      </c>
      <c r="O45" s="11"/>
      <c r="P45" s="6">
        <v>14037.41</v>
      </c>
      <c r="Q45" s="2"/>
      <c r="R45" s="7">
        <f t="shared" si="28"/>
        <v>0.1418511821748687</v>
      </c>
      <c r="S45" s="2"/>
      <c r="T45" s="6">
        <v>3849.37</v>
      </c>
      <c r="U45" s="2"/>
      <c r="V45" s="7">
        <f t="shared" si="29"/>
        <v>5.1441726629472898E-2</v>
      </c>
      <c r="W45" s="2"/>
      <c r="X45" s="6">
        <f t="shared" si="30"/>
        <v>10188.040000000001</v>
      </c>
      <c r="Y45" s="2"/>
      <c r="Z45" s="7">
        <f t="shared" si="31"/>
        <v>2.6466772484848171</v>
      </c>
    </row>
    <row r="46" spans="1:26" s="29" customFormat="1" outlineLevel="1" collapsed="1" x14ac:dyDescent="0.3">
      <c r="A46" s="27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0</v>
      </c>
      <c r="E46" s="1"/>
      <c r="F46" s="5">
        <f t="shared" ref="F46:F56" si="32">IF(D$12=0,0,D46/D$12)</f>
        <v>0</v>
      </c>
      <c r="G46" s="1"/>
      <c r="H46" s="1">
        <f>SUM(OSRRefH22_2x_0)</f>
        <v>0</v>
      </c>
      <c r="I46" s="1"/>
      <c r="J46" s="5">
        <f t="shared" ref="J46:J56" si="33">IF(H$12=0,0,H46/H$12)</f>
        <v>0</v>
      </c>
      <c r="K46" s="1"/>
      <c r="L46" s="1">
        <f t="shared" ref="L46:L56" si="34">+D46-H46</f>
        <v>0</v>
      </c>
      <c r="M46" s="1"/>
      <c r="N46" s="5">
        <f t="shared" ref="N46:N56" si="35">IF(H46=0,0,L46/H46)</f>
        <v>0</v>
      </c>
      <c r="O46" s="14"/>
      <c r="P46" s="1">
        <f>SUM(OSRRefP22_2x_0)</f>
        <v>97.75</v>
      </c>
      <c r="Q46" s="1"/>
      <c r="R46" s="5">
        <f t="shared" ref="R46:R56" si="36">IF(P$12=0,0,P46/P$12)</f>
        <v>9.8778571385985136E-4</v>
      </c>
      <c r="S46" s="1"/>
      <c r="T46" s="1">
        <f>SUM(OSRRefT22_2x_0)</f>
        <v>0</v>
      </c>
      <c r="U46" s="1"/>
      <c r="V46" s="5">
        <f t="shared" ref="V46:V56" si="37">IF(T$12=0,0,T46/T$12)</f>
        <v>0</v>
      </c>
      <c r="W46" s="1"/>
      <c r="X46" s="1">
        <f t="shared" ref="X46:X56" si="38">+P46-T46</f>
        <v>97.75</v>
      </c>
      <c r="Y46" s="1"/>
      <c r="Z46" s="5">
        <f t="shared" ref="Z46:Z56" si="39">IF(T46=0,0,X46/T46)</f>
        <v>0</v>
      </c>
    </row>
    <row r="47" spans="1:26" s="24" customFormat="1" hidden="1" outlineLevel="2" x14ac:dyDescent="0.3">
      <c r="A47" s="28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32"/>
        <v>0</v>
      </c>
      <c r="G47" s="2"/>
      <c r="H47" s="6"/>
      <c r="I47" s="2"/>
      <c r="J47" s="7">
        <f t="shared" si="33"/>
        <v>0</v>
      </c>
      <c r="K47" s="2"/>
      <c r="L47" s="6">
        <f t="shared" si="34"/>
        <v>0</v>
      </c>
      <c r="M47" s="2"/>
      <c r="N47" s="7">
        <f t="shared" si="35"/>
        <v>0</v>
      </c>
      <c r="O47" s="11"/>
      <c r="P47" s="6">
        <v>97.75</v>
      </c>
      <c r="Q47" s="2"/>
      <c r="R47" s="7">
        <f t="shared" si="36"/>
        <v>9.8778571385985136E-4</v>
      </c>
      <c r="S47" s="2"/>
      <c r="T47" s="6"/>
      <c r="U47" s="2"/>
      <c r="V47" s="7">
        <f t="shared" si="37"/>
        <v>0</v>
      </c>
      <c r="W47" s="2"/>
      <c r="X47" s="6">
        <f t="shared" si="38"/>
        <v>97.75</v>
      </c>
      <c r="Y47" s="2"/>
      <c r="Z47" s="7">
        <f t="shared" si="39"/>
        <v>0</v>
      </c>
    </row>
    <row r="48" spans="1:26" s="29" customFormat="1" outlineLevel="1" collapsed="1" x14ac:dyDescent="0.3">
      <c r="A48" s="27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SUM(OSRRefD22_3x_0)</f>
        <v>169.88</v>
      </c>
      <c r="E48" s="1"/>
      <c r="F48" s="5">
        <f t="shared" si="32"/>
        <v>2.1920820262951776E-2</v>
      </c>
      <c r="G48" s="1"/>
      <c r="H48" s="1">
        <f>SUM(OSRRefH22_3x_0)</f>
        <v>169.88</v>
      </c>
      <c r="I48" s="1"/>
      <c r="J48" s="5">
        <f t="shared" si="33"/>
        <v>0.13516760687773011</v>
      </c>
      <c r="K48" s="1"/>
      <c r="L48" s="1">
        <f t="shared" si="34"/>
        <v>0</v>
      </c>
      <c r="M48" s="1"/>
      <c r="N48" s="5">
        <f t="shared" si="35"/>
        <v>0</v>
      </c>
      <c r="O48" s="14"/>
      <c r="P48" s="1">
        <f>SUM(OSRRefP22_3x_0)</f>
        <v>1019.28</v>
      </c>
      <c r="Q48" s="1"/>
      <c r="R48" s="5">
        <f t="shared" si="36"/>
        <v>1.030005342632296E-2</v>
      </c>
      <c r="S48" s="1"/>
      <c r="T48" s="1">
        <f>SUM(OSRRefT22_3x_0)</f>
        <v>1019.28</v>
      </c>
      <c r="U48" s="1"/>
      <c r="V48" s="5">
        <f t="shared" si="37"/>
        <v>1.3621325858228525E-2</v>
      </c>
      <c r="W48" s="1"/>
      <c r="X48" s="1">
        <f t="shared" si="38"/>
        <v>0</v>
      </c>
      <c r="Y48" s="1"/>
      <c r="Z48" s="5">
        <f t="shared" si="39"/>
        <v>0</v>
      </c>
    </row>
    <row r="49" spans="1:26" s="24" customFormat="1" hidden="1" outlineLevel="2" x14ac:dyDescent="0.3">
      <c r="A49" s="28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169.88</v>
      </c>
      <c r="E49" s="2"/>
      <c r="F49" s="7">
        <f t="shared" si="32"/>
        <v>2.1920820262951776E-2</v>
      </c>
      <c r="G49" s="2"/>
      <c r="H49" s="6">
        <v>169.88</v>
      </c>
      <c r="I49" s="2"/>
      <c r="J49" s="7">
        <f t="shared" si="33"/>
        <v>0.13516760687773011</v>
      </c>
      <c r="K49" s="2"/>
      <c r="L49" s="6">
        <f t="shared" si="34"/>
        <v>0</v>
      </c>
      <c r="M49" s="2"/>
      <c r="N49" s="7">
        <f t="shared" si="35"/>
        <v>0</v>
      </c>
      <c r="O49" s="11"/>
      <c r="P49" s="6">
        <v>1019.28</v>
      </c>
      <c r="Q49" s="2"/>
      <c r="R49" s="7">
        <f t="shared" si="36"/>
        <v>1.030005342632296E-2</v>
      </c>
      <c r="S49" s="2"/>
      <c r="T49" s="6">
        <v>1019.28</v>
      </c>
      <c r="U49" s="2"/>
      <c r="V49" s="7">
        <f t="shared" si="37"/>
        <v>1.3621325858228525E-2</v>
      </c>
      <c r="W49" s="2"/>
      <c r="X49" s="6">
        <f t="shared" si="38"/>
        <v>0</v>
      </c>
      <c r="Y49" s="2"/>
      <c r="Z49" s="7">
        <f t="shared" si="39"/>
        <v>0</v>
      </c>
    </row>
    <row r="50" spans="1:26" s="29" customFormat="1" outlineLevel="1" collapsed="1" x14ac:dyDescent="0.3">
      <c r="A50" s="27"/>
      <c r="B50" s="14" t="str">
        <f>CONCATENATE("     ","Discounts and Markdowns                           ")</f>
        <v xml:space="preserve">     Discounts and Markdowns                           </v>
      </c>
      <c r="C50" s="14"/>
      <c r="D50" s="1">
        <f>SUM(OSRRefD22_4x_0)</f>
        <v>0</v>
      </c>
      <c r="E50" s="1"/>
      <c r="F50" s="5">
        <f t="shared" si="32"/>
        <v>0</v>
      </c>
      <c r="G50" s="1"/>
      <c r="H50" s="1">
        <f>SUM(OSRRefH22_4x_0)</f>
        <v>0</v>
      </c>
      <c r="I50" s="1"/>
      <c r="J50" s="5">
        <f t="shared" si="33"/>
        <v>0</v>
      </c>
      <c r="K50" s="1"/>
      <c r="L50" s="1">
        <f t="shared" si="34"/>
        <v>0</v>
      </c>
      <c r="M50" s="1"/>
      <c r="N50" s="5">
        <f t="shared" si="35"/>
        <v>0</v>
      </c>
      <c r="O50" s="14"/>
      <c r="P50" s="1">
        <f>SUM(OSRRefP22_4x_0)</f>
        <v>0</v>
      </c>
      <c r="Q50" s="1"/>
      <c r="R50" s="5">
        <f t="shared" si="36"/>
        <v>0</v>
      </c>
      <c r="S50" s="1"/>
      <c r="T50" s="1">
        <f>SUM(OSRRefT22_4x_0)</f>
        <v>0</v>
      </c>
      <c r="U50" s="1"/>
      <c r="V50" s="5">
        <f t="shared" si="37"/>
        <v>0</v>
      </c>
      <c r="W50" s="1"/>
      <c r="X50" s="1">
        <f t="shared" si="38"/>
        <v>0</v>
      </c>
      <c r="Y50" s="1"/>
      <c r="Z50" s="5">
        <f t="shared" si="39"/>
        <v>0</v>
      </c>
    </row>
    <row r="51" spans="1:26" s="24" customFormat="1" hidden="1" outlineLevel="2" x14ac:dyDescent="0.3">
      <c r="A51" s="28"/>
      <c r="B51" s="11" t="str">
        <f>CONCATENATE("          ", "6382", " - ", "DISCOUNTS/MARK DOWNS")</f>
        <v xml:space="preserve">          6382 - DISCOUNTS/MARK DOWNS</v>
      </c>
      <c r="C51" s="11"/>
      <c r="D51" s="6"/>
      <c r="E51" s="2"/>
      <c r="F51" s="7">
        <f t="shared" si="32"/>
        <v>0</v>
      </c>
      <c r="G51" s="2"/>
      <c r="H51" s="6"/>
      <c r="I51" s="2"/>
      <c r="J51" s="7">
        <f t="shared" si="33"/>
        <v>0</v>
      </c>
      <c r="K51" s="2"/>
      <c r="L51" s="6">
        <f t="shared" si="34"/>
        <v>0</v>
      </c>
      <c r="M51" s="2"/>
      <c r="N51" s="7">
        <f t="shared" si="35"/>
        <v>0</v>
      </c>
      <c r="O51" s="11"/>
      <c r="P51" s="6"/>
      <c r="Q51" s="2"/>
      <c r="R51" s="7">
        <f t="shared" si="36"/>
        <v>0</v>
      </c>
      <c r="S51" s="2"/>
      <c r="T51" s="6">
        <v>0</v>
      </c>
      <c r="U51" s="2"/>
      <c r="V51" s="7">
        <f t="shared" si="37"/>
        <v>0</v>
      </c>
      <c r="W51" s="2"/>
      <c r="X51" s="6">
        <f t="shared" si="38"/>
        <v>0</v>
      </c>
      <c r="Y51" s="2"/>
      <c r="Z51" s="7">
        <f t="shared" si="39"/>
        <v>0</v>
      </c>
    </row>
    <row r="52" spans="1:26" s="29" customFormat="1" outlineLevel="1" collapsed="1" x14ac:dyDescent="0.3">
      <c r="A52" s="27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SUM(OSRRefD22_5x_0)</f>
        <v>1205.6400000000001</v>
      </c>
      <c r="E52" s="1"/>
      <c r="F52" s="5">
        <f t="shared" si="32"/>
        <v>0.15557227302699073</v>
      </c>
      <c r="G52" s="1"/>
      <c r="H52" s="1">
        <f>SUM(OSRRefH22_5x_0)</f>
        <v>1205.6400000000001</v>
      </c>
      <c r="I52" s="1"/>
      <c r="J52" s="5">
        <f t="shared" si="33"/>
        <v>0.95928581090220477</v>
      </c>
      <c r="K52" s="1"/>
      <c r="L52" s="1">
        <f t="shared" si="34"/>
        <v>0</v>
      </c>
      <c r="M52" s="1"/>
      <c r="N52" s="5">
        <f t="shared" si="35"/>
        <v>0</v>
      </c>
      <c r="O52" s="14"/>
      <c r="P52" s="1">
        <f>SUM(OSRRefP22_5x_0)</f>
        <v>7233.84</v>
      </c>
      <c r="Q52" s="1"/>
      <c r="R52" s="5">
        <f t="shared" si="36"/>
        <v>7.3099578602025039E-2</v>
      </c>
      <c r="S52" s="1"/>
      <c r="T52" s="1">
        <f>SUM(OSRRefT22_5x_0)</f>
        <v>7233.84</v>
      </c>
      <c r="U52" s="1"/>
      <c r="V52" s="5">
        <f t="shared" si="37"/>
        <v>9.6670681114402163E-2</v>
      </c>
      <c r="W52" s="1"/>
      <c r="X52" s="1">
        <f t="shared" si="38"/>
        <v>0</v>
      </c>
      <c r="Y52" s="1"/>
      <c r="Z52" s="5">
        <f t="shared" si="39"/>
        <v>0</v>
      </c>
    </row>
    <row r="53" spans="1:26" s="24" customFormat="1" hidden="1" outlineLevel="2" x14ac:dyDescent="0.3">
      <c r="A53" s="28"/>
      <c r="B53" s="11" t="str">
        <f>CONCATENATE("          ", "6351", " - ", "EQUIPMENT RENTAL")</f>
        <v xml:space="preserve">          6351 - EQUIPMENT RENTAL</v>
      </c>
      <c r="C53" s="11"/>
      <c r="D53" s="6">
        <v>1205.6400000000001</v>
      </c>
      <c r="E53" s="2"/>
      <c r="F53" s="7">
        <f t="shared" si="32"/>
        <v>0.15557227302699073</v>
      </c>
      <c r="G53" s="2"/>
      <c r="H53" s="6">
        <v>1205.6400000000001</v>
      </c>
      <c r="I53" s="2"/>
      <c r="J53" s="7">
        <f t="shared" si="33"/>
        <v>0.95928581090220477</v>
      </c>
      <c r="K53" s="2"/>
      <c r="L53" s="6">
        <f t="shared" si="34"/>
        <v>0</v>
      </c>
      <c r="M53" s="2"/>
      <c r="N53" s="7">
        <f t="shared" si="35"/>
        <v>0</v>
      </c>
      <c r="O53" s="11"/>
      <c r="P53" s="6">
        <v>7233.84</v>
      </c>
      <c r="Q53" s="2"/>
      <c r="R53" s="7">
        <f t="shared" si="36"/>
        <v>7.3099578602025039E-2</v>
      </c>
      <c r="S53" s="2"/>
      <c r="T53" s="6">
        <v>7233.84</v>
      </c>
      <c r="U53" s="2"/>
      <c r="V53" s="7">
        <f t="shared" si="37"/>
        <v>9.6670681114402163E-2</v>
      </c>
      <c r="W53" s="2"/>
      <c r="X53" s="6">
        <f t="shared" si="38"/>
        <v>0</v>
      </c>
      <c r="Y53" s="2"/>
      <c r="Z53" s="7">
        <f t="shared" si="39"/>
        <v>0</v>
      </c>
    </row>
    <row r="54" spans="1:26" s="29" customFormat="1" outlineLevel="1" collapsed="1" x14ac:dyDescent="0.3">
      <c r="A54" s="27"/>
      <c r="B54" s="14" t="str">
        <f>CONCATENATE("     ","Freight out/Postage                               ")</f>
        <v xml:space="preserve">     Freight out/Postage                               </v>
      </c>
      <c r="C54" s="14"/>
      <c r="D54" s="1">
        <f>SUM(OSRRefD22_6x_0)</f>
        <v>-4174.8600000000006</v>
      </c>
      <c r="E54" s="1"/>
      <c r="F54" s="5">
        <f t="shared" si="32"/>
        <v>-0.53871177115014635</v>
      </c>
      <c r="G54" s="1"/>
      <c r="H54" s="1">
        <f>SUM(OSRRefH22_6x_0)</f>
        <v>107.48999999999978</v>
      </c>
      <c r="I54" s="1"/>
      <c r="J54" s="5">
        <f t="shared" si="33"/>
        <v>8.5526054057494583E-2</v>
      </c>
      <c r="K54" s="1"/>
      <c r="L54" s="1">
        <f t="shared" si="34"/>
        <v>-4282.3500000000004</v>
      </c>
      <c r="M54" s="1"/>
      <c r="N54" s="5">
        <f t="shared" si="35"/>
        <v>-39.83951995534477</v>
      </c>
      <c r="O54" s="14"/>
      <c r="P54" s="1">
        <f>SUM(OSRRefP22_6x_0)</f>
        <v>-47148.020000000004</v>
      </c>
      <c r="Q54" s="1"/>
      <c r="R54" s="5">
        <f t="shared" si="36"/>
        <v>-0.47644133598750438</v>
      </c>
      <c r="S54" s="1"/>
      <c r="T54" s="1">
        <f>SUM(OSRRefT22_6x_0)</f>
        <v>-24733.87999999999</v>
      </c>
      <c r="U54" s="1"/>
      <c r="V54" s="5">
        <f t="shared" si="37"/>
        <v>-0.33053551449878465</v>
      </c>
      <c r="W54" s="1"/>
      <c r="X54" s="1">
        <f t="shared" si="38"/>
        <v>-22414.140000000014</v>
      </c>
      <c r="Y54" s="1"/>
      <c r="Z54" s="5">
        <f t="shared" si="39"/>
        <v>0.90621204598712468</v>
      </c>
    </row>
    <row r="55" spans="1:26" s="24" customFormat="1" hidden="1" outlineLevel="2" x14ac:dyDescent="0.3">
      <c r="A55" s="28"/>
      <c r="B55" s="11" t="str">
        <f>CONCATENATE("          ", "6305", " - ", "FREIGHT OUT")</f>
        <v xml:space="preserve">          6305 - FREIGHT OUT</v>
      </c>
      <c r="C55" s="11"/>
      <c r="D55" s="6">
        <v>10292.709999999999</v>
      </c>
      <c r="E55" s="2"/>
      <c r="F55" s="7">
        <f t="shared" si="32"/>
        <v>1.3281413110942217</v>
      </c>
      <c r="G55" s="2"/>
      <c r="H55" s="6">
        <v>9824.01</v>
      </c>
      <c r="I55" s="2"/>
      <c r="J55" s="7">
        <f t="shared" si="33"/>
        <v>7.8166230376906602</v>
      </c>
      <c r="K55" s="2"/>
      <c r="L55" s="6">
        <f t="shared" si="34"/>
        <v>468.69999999999891</v>
      </c>
      <c r="M55" s="2"/>
      <c r="N55" s="7">
        <f t="shared" si="35"/>
        <v>4.7709641989370825E-2</v>
      </c>
      <c r="O55" s="11"/>
      <c r="P55" s="6">
        <v>72714.61</v>
      </c>
      <c r="Q55" s="2"/>
      <c r="R55" s="7">
        <f t="shared" si="36"/>
        <v>0.7347974726024622</v>
      </c>
      <c r="S55" s="2"/>
      <c r="T55" s="6">
        <v>108062.24</v>
      </c>
      <c r="U55" s="2"/>
      <c r="V55" s="7">
        <f t="shared" si="37"/>
        <v>1.4441085707657335</v>
      </c>
      <c r="W55" s="2"/>
      <c r="X55" s="6">
        <f t="shared" si="38"/>
        <v>-35347.630000000005</v>
      </c>
      <c r="Y55" s="2"/>
      <c r="Z55" s="7">
        <f t="shared" si="39"/>
        <v>-0.32710436133842868</v>
      </c>
    </row>
    <row r="56" spans="1:26" s="24" customFormat="1" hidden="1" outlineLevel="2" x14ac:dyDescent="0.3">
      <c r="A56" s="28"/>
      <c r="B56" s="11" t="str">
        <f>CONCATENATE("          ", "6307", " - ", "POSTAGE")</f>
        <v xml:space="preserve">          6307 - POSTAGE</v>
      </c>
      <c r="C56" s="11"/>
      <c r="D56" s="6">
        <v>-14467.57</v>
      </c>
      <c r="E56" s="2"/>
      <c r="F56" s="7">
        <f t="shared" si="32"/>
        <v>-1.8668530822443681</v>
      </c>
      <c r="G56" s="2"/>
      <c r="H56" s="6">
        <v>-9716.52</v>
      </c>
      <c r="I56" s="2"/>
      <c r="J56" s="7">
        <f t="shared" si="33"/>
        <v>-7.731096983633166</v>
      </c>
      <c r="K56" s="2"/>
      <c r="L56" s="6">
        <f t="shared" si="34"/>
        <v>-4751.0499999999993</v>
      </c>
      <c r="M56" s="2"/>
      <c r="N56" s="7">
        <f t="shared" si="35"/>
        <v>0.48896621424131265</v>
      </c>
      <c r="O56" s="11"/>
      <c r="P56" s="6">
        <v>-119862.63</v>
      </c>
      <c r="Q56" s="2"/>
      <c r="R56" s="7">
        <f t="shared" si="36"/>
        <v>-1.2112388085899666</v>
      </c>
      <c r="S56" s="2"/>
      <c r="T56" s="6">
        <v>-132796.12</v>
      </c>
      <c r="U56" s="2"/>
      <c r="V56" s="7">
        <f t="shared" si="37"/>
        <v>-1.7746440852645182</v>
      </c>
      <c r="W56" s="2"/>
      <c r="X56" s="6">
        <f t="shared" si="38"/>
        <v>12933.489999999991</v>
      </c>
      <c r="Y56" s="2"/>
      <c r="Z56" s="7">
        <f t="shared" si="39"/>
        <v>-9.7393583487228319E-2</v>
      </c>
    </row>
    <row r="57" spans="1:26" s="29" customFormat="1" outlineLevel="1" collapsed="1" x14ac:dyDescent="0.3">
      <c r="A57" s="27"/>
      <c r="B57" s="14" t="str">
        <f>CONCATENATE("     ","General                                           ")</f>
        <v xml:space="preserve">     General                                           </v>
      </c>
      <c r="C57" s="14"/>
      <c r="D57" s="1">
        <f>SUM(OSRRefD22_7x_0)</f>
        <v>0</v>
      </c>
      <c r="E57" s="1"/>
      <c r="F57" s="5">
        <f t="shared" ref="F57:F62" si="40">IF(D$12=0,0,D57/D$12)</f>
        <v>0</v>
      </c>
      <c r="G57" s="1"/>
      <c r="H57" s="1">
        <f>SUM(OSRRefH22_7x_0)</f>
        <v>0</v>
      </c>
      <c r="I57" s="1"/>
      <c r="J57" s="5">
        <f t="shared" ref="J57:J62" si="41">IF(H$12=0,0,H57/H$12)</f>
        <v>0</v>
      </c>
      <c r="K57" s="1"/>
      <c r="L57" s="1">
        <f t="shared" ref="L57:L62" si="42">+D57-H57</f>
        <v>0</v>
      </c>
      <c r="M57" s="1"/>
      <c r="N57" s="5">
        <f t="shared" ref="N57:N62" si="43">IF(H57=0,0,L57/H57)</f>
        <v>0</v>
      </c>
      <c r="O57" s="14"/>
      <c r="P57" s="1">
        <f>SUM(OSRRefP22_7x_0)</f>
        <v>91.31</v>
      </c>
      <c r="Q57" s="1"/>
      <c r="R57" s="5">
        <f t="shared" ref="R57:R62" si="44">IF(P$12=0,0,P57/P$12)</f>
        <v>9.2270806682908464E-4</v>
      </c>
      <c r="S57" s="1"/>
      <c r="T57" s="1">
        <f>SUM(OSRRefT22_7x_0)</f>
        <v>0</v>
      </c>
      <c r="U57" s="1"/>
      <c r="V57" s="5">
        <f t="shared" ref="V57:V62" si="45">IF(T$12=0,0,T57/T$12)</f>
        <v>0</v>
      </c>
      <c r="W57" s="1"/>
      <c r="X57" s="1">
        <f t="shared" ref="X57:X62" si="46">+P57-T57</f>
        <v>91.31</v>
      </c>
      <c r="Y57" s="1"/>
      <c r="Z57" s="5">
        <f t="shared" ref="Z57:Z62" si="47">IF(T57=0,0,X57/T57)</f>
        <v>0</v>
      </c>
    </row>
    <row r="58" spans="1:26" s="24" customFormat="1" hidden="1" outlineLevel="2" x14ac:dyDescent="0.3">
      <c r="A58" s="28"/>
      <c r="B58" s="11" t="str">
        <f>CONCATENATE("          ", "6279", " - ", "GENERAL EXPENSE")</f>
        <v xml:space="preserve">          6279 - GENERAL EXPENSE</v>
      </c>
      <c r="C58" s="11"/>
      <c r="D58" s="6"/>
      <c r="E58" s="2"/>
      <c r="F58" s="7">
        <f t="shared" si="40"/>
        <v>0</v>
      </c>
      <c r="G58" s="2"/>
      <c r="H58" s="6"/>
      <c r="I58" s="2"/>
      <c r="J58" s="7">
        <f t="shared" si="41"/>
        <v>0</v>
      </c>
      <c r="K58" s="2"/>
      <c r="L58" s="6">
        <f t="shared" si="42"/>
        <v>0</v>
      </c>
      <c r="M58" s="2"/>
      <c r="N58" s="7">
        <f t="shared" si="43"/>
        <v>0</v>
      </c>
      <c r="O58" s="11"/>
      <c r="P58" s="6">
        <v>91.31</v>
      </c>
      <c r="Q58" s="2"/>
      <c r="R58" s="7">
        <f t="shared" si="44"/>
        <v>9.2270806682908464E-4</v>
      </c>
      <c r="S58" s="2"/>
      <c r="T58" s="6"/>
      <c r="U58" s="2"/>
      <c r="V58" s="7">
        <f t="shared" si="45"/>
        <v>0</v>
      </c>
      <c r="W58" s="2"/>
      <c r="X58" s="6">
        <f t="shared" si="46"/>
        <v>91.31</v>
      </c>
      <c r="Y58" s="2"/>
      <c r="Z58" s="7">
        <f t="shared" si="47"/>
        <v>0</v>
      </c>
    </row>
    <row r="59" spans="1:26" s="29" customFormat="1" outlineLevel="1" collapsed="1" x14ac:dyDescent="0.3">
      <c r="A59" s="27"/>
      <c r="B59" s="14" t="str">
        <f>CONCATENATE("     ","Repair and Maintenance                            ")</f>
        <v xml:space="preserve">     Repair and Maintenance                            </v>
      </c>
      <c r="C59" s="14"/>
      <c r="D59" s="1">
        <f>SUM(OSRRefD22_8x_0)</f>
        <v>700.73</v>
      </c>
      <c r="E59" s="1"/>
      <c r="F59" s="5">
        <f t="shared" si="40"/>
        <v>9.0420157657512365E-2</v>
      </c>
      <c r="G59" s="1"/>
      <c r="H59" s="1">
        <f>SUM(OSRRefH22_8x_0)</f>
        <v>4858.63</v>
      </c>
      <c r="I59" s="1"/>
      <c r="J59" s="5">
        <f t="shared" si="41"/>
        <v>3.8658428879464672</v>
      </c>
      <c r="K59" s="1"/>
      <c r="L59" s="1">
        <f t="shared" si="42"/>
        <v>-4157.8999999999996</v>
      </c>
      <c r="M59" s="1"/>
      <c r="N59" s="5">
        <f t="shared" si="43"/>
        <v>-0.85577621675245896</v>
      </c>
      <c r="O59" s="14"/>
      <c r="P59" s="1">
        <f>SUM(OSRRefP22_8x_0)</f>
        <v>13228.75</v>
      </c>
      <c r="Q59" s="1"/>
      <c r="R59" s="5">
        <f t="shared" si="44"/>
        <v>0.13367949117364203</v>
      </c>
      <c r="S59" s="1"/>
      <c r="T59" s="1">
        <f>SUM(OSRRefT22_8x_0)</f>
        <v>29379.51</v>
      </c>
      <c r="U59" s="1"/>
      <c r="V59" s="5">
        <f t="shared" si="45"/>
        <v>0.39261820036210215</v>
      </c>
      <c r="W59" s="1"/>
      <c r="X59" s="1">
        <f t="shared" si="46"/>
        <v>-16150.759999999998</v>
      </c>
      <c r="Y59" s="1"/>
      <c r="Z59" s="5">
        <f t="shared" si="47"/>
        <v>-0.54972870548215402</v>
      </c>
    </row>
    <row r="60" spans="1:26" s="24" customFormat="1" hidden="1" outlineLevel="2" x14ac:dyDescent="0.3">
      <c r="A60" s="28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40"/>
        <v>0</v>
      </c>
      <c r="G60" s="2"/>
      <c r="H60" s="6"/>
      <c r="I60" s="2"/>
      <c r="J60" s="7">
        <f t="shared" si="41"/>
        <v>0</v>
      </c>
      <c r="K60" s="2"/>
      <c r="L60" s="6">
        <f t="shared" si="42"/>
        <v>0</v>
      </c>
      <c r="M60" s="2"/>
      <c r="N60" s="7">
        <f t="shared" si="43"/>
        <v>0</v>
      </c>
      <c r="O60" s="11"/>
      <c r="P60" s="6"/>
      <c r="Q60" s="2"/>
      <c r="R60" s="7">
        <f t="shared" si="44"/>
        <v>0</v>
      </c>
      <c r="S60" s="2"/>
      <c r="T60" s="6">
        <v>7.69</v>
      </c>
      <c r="U60" s="2"/>
      <c r="V60" s="7">
        <f t="shared" si="45"/>
        <v>1.0276665474626929E-4</v>
      </c>
      <c r="W60" s="2"/>
      <c r="X60" s="6">
        <f t="shared" si="46"/>
        <v>-7.69</v>
      </c>
      <c r="Y60" s="2"/>
      <c r="Z60" s="7">
        <f t="shared" si="47"/>
        <v>-1</v>
      </c>
    </row>
    <row r="61" spans="1:26" s="24" customFormat="1" hidden="1" outlineLevel="2" x14ac:dyDescent="0.3">
      <c r="A61" s="28"/>
      <c r="B61" s="11" t="str">
        <f>CONCATENATE("          ", "6373", " - ", "MAINTENANCE CONTRACTS")</f>
        <v xml:space="preserve">          6373 - MAINTENANCE CONTRACTS</v>
      </c>
      <c r="C61" s="11"/>
      <c r="D61" s="6">
        <v>700.73</v>
      </c>
      <c r="E61" s="2"/>
      <c r="F61" s="7">
        <f t="shared" si="40"/>
        <v>9.0420157657512365E-2</v>
      </c>
      <c r="G61" s="2"/>
      <c r="H61" s="6">
        <v>4858.63</v>
      </c>
      <c r="I61" s="2"/>
      <c r="J61" s="7">
        <f t="shared" si="41"/>
        <v>3.8658428879464672</v>
      </c>
      <c r="K61" s="2"/>
      <c r="L61" s="6">
        <f t="shared" si="42"/>
        <v>-4157.8999999999996</v>
      </c>
      <c r="M61" s="2"/>
      <c r="N61" s="7">
        <f t="shared" si="43"/>
        <v>-0.85577621675245896</v>
      </c>
      <c r="O61" s="11"/>
      <c r="P61" s="6">
        <v>5331.14</v>
      </c>
      <c r="Q61" s="2"/>
      <c r="R61" s="7">
        <f t="shared" si="44"/>
        <v>5.3872367576335636E-2</v>
      </c>
      <c r="S61" s="2"/>
      <c r="T61" s="6">
        <v>29371.82</v>
      </c>
      <c r="U61" s="2"/>
      <c r="V61" s="7">
        <f t="shared" si="45"/>
        <v>0.39251543370735592</v>
      </c>
      <c r="W61" s="2"/>
      <c r="X61" s="6">
        <f t="shared" si="46"/>
        <v>-24040.68</v>
      </c>
      <c r="Y61" s="2"/>
      <c r="Z61" s="7">
        <f t="shared" si="47"/>
        <v>-0.81849473406823281</v>
      </c>
    </row>
    <row r="62" spans="1:26" s="24" customFormat="1" hidden="1" outlineLevel="2" x14ac:dyDescent="0.3">
      <c r="A62" s="28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40"/>
        <v>0</v>
      </c>
      <c r="G62" s="2"/>
      <c r="H62" s="6"/>
      <c r="I62" s="2"/>
      <c r="J62" s="7">
        <f t="shared" si="41"/>
        <v>0</v>
      </c>
      <c r="K62" s="2"/>
      <c r="L62" s="6">
        <f t="shared" si="42"/>
        <v>0</v>
      </c>
      <c r="M62" s="2"/>
      <c r="N62" s="7">
        <f t="shared" si="43"/>
        <v>0</v>
      </c>
      <c r="O62" s="11"/>
      <c r="P62" s="6">
        <v>7897.61</v>
      </c>
      <c r="Q62" s="2"/>
      <c r="R62" s="7">
        <f t="shared" si="44"/>
        <v>7.9807123597306392E-2</v>
      </c>
      <c r="S62" s="2"/>
      <c r="T62" s="6"/>
      <c r="U62" s="2"/>
      <c r="V62" s="7">
        <f t="shared" si="45"/>
        <v>0</v>
      </c>
      <c r="W62" s="2"/>
      <c r="X62" s="6">
        <f t="shared" si="46"/>
        <v>7897.61</v>
      </c>
      <c r="Y62" s="2"/>
      <c r="Z62" s="7">
        <f t="shared" si="47"/>
        <v>0</v>
      </c>
    </row>
    <row r="63" spans="1:26" s="29" customFormat="1" outlineLevel="1" collapsed="1" x14ac:dyDescent="0.3">
      <c r="A63" s="27"/>
      <c r="B63" s="14" t="str">
        <f>CONCATENATE("     ","Royalty &amp; Commissions                             ")</f>
        <v xml:space="preserve">     Royalty &amp; Commissions                             </v>
      </c>
      <c r="C63" s="14"/>
      <c r="D63" s="1">
        <f>SUM(OSRRefD22_9x_0)</f>
        <v>1121.23</v>
      </c>
      <c r="E63" s="1"/>
      <c r="F63" s="5">
        <f t="shared" ref="F63:F70" si="48">IF(D$12=0,0,D63/D$12)</f>
        <v>0.14468025255138581</v>
      </c>
      <c r="G63" s="1"/>
      <c r="H63" s="1">
        <f>SUM(OSRRefH22_9x_0)</f>
        <v>5.97</v>
      </c>
      <c r="I63" s="1"/>
      <c r="J63" s="5">
        <f t="shared" ref="J63:J70" si="49">IF(H$12=0,0,H63/H$12)</f>
        <v>4.7501213389454242E-3</v>
      </c>
      <c r="K63" s="1"/>
      <c r="L63" s="1">
        <f t="shared" ref="L63:L70" si="50">+D63-H63</f>
        <v>1115.26</v>
      </c>
      <c r="M63" s="1"/>
      <c r="N63" s="5">
        <f t="shared" ref="N63:N70" si="51">IF(H63=0,0,L63/H63)</f>
        <v>186.81072026800672</v>
      </c>
      <c r="O63" s="14"/>
      <c r="P63" s="1">
        <f>SUM(OSRRefP22_9x_0)</f>
        <v>5614.14</v>
      </c>
      <c r="Q63" s="1"/>
      <c r="R63" s="5">
        <f t="shared" ref="R63:R70" si="52">IF(P$12=0,0,P63/P$12)</f>
        <v>5.6732146164799449E-2</v>
      </c>
      <c r="S63" s="1"/>
      <c r="T63" s="1">
        <f>SUM(OSRRefT22_9x_0)</f>
        <v>10164.26</v>
      </c>
      <c r="U63" s="1"/>
      <c r="V63" s="5">
        <f t="shared" ref="V63:V70" si="53">IF(T$12=0,0,T63/T$12)</f>
        <v>0.13583185932006697</v>
      </c>
      <c r="W63" s="1"/>
      <c r="X63" s="1">
        <f t="shared" ref="X63:X70" si="54">+P63-T63</f>
        <v>-4550.12</v>
      </c>
      <c r="Y63" s="1"/>
      <c r="Z63" s="5">
        <f t="shared" ref="Z63:Z70" si="55">IF(T63=0,0,X63/T63)</f>
        <v>-0.44765875725335635</v>
      </c>
    </row>
    <row r="64" spans="1:26" s="24" customFormat="1" hidden="1" outlineLevel="2" x14ac:dyDescent="0.3">
      <c r="A64" s="28"/>
      <c r="B64" s="11" t="str">
        <f>CONCATENATE("          ", "6259", " - ", "ROYALTY &amp; COMMISSIONS")</f>
        <v xml:space="preserve">          6259 - ROYALTY &amp; COMMISSIONS</v>
      </c>
      <c r="C64" s="11"/>
      <c r="D64" s="6">
        <v>1121.23</v>
      </c>
      <c r="E64" s="2"/>
      <c r="F64" s="7">
        <f t="shared" si="48"/>
        <v>0.14468025255138581</v>
      </c>
      <c r="G64" s="2"/>
      <c r="H64" s="6">
        <v>5.97</v>
      </c>
      <c r="I64" s="2"/>
      <c r="J64" s="7">
        <f t="shared" si="49"/>
        <v>4.7501213389454242E-3</v>
      </c>
      <c r="K64" s="2"/>
      <c r="L64" s="6">
        <f t="shared" si="50"/>
        <v>1115.26</v>
      </c>
      <c r="M64" s="2"/>
      <c r="N64" s="7">
        <f t="shared" si="51"/>
        <v>186.81072026800672</v>
      </c>
      <c r="O64" s="11"/>
      <c r="P64" s="6">
        <v>5614.14</v>
      </c>
      <c r="Q64" s="2"/>
      <c r="R64" s="7">
        <f t="shared" si="52"/>
        <v>5.6732146164799449E-2</v>
      </c>
      <c r="S64" s="2"/>
      <c r="T64" s="6">
        <v>10164.26</v>
      </c>
      <c r="U64" s="2"/>
      <c r="V64" s="7">
        <f t="shared" si="53"/>
        <v>0.13583185932006697</v>
      </c>
      <c r="W64" s="2"/>
      <c r="X64" s="6">
        <f t="shared" si="54"/>
        <v>-4550.12</v>
      </c>
      <c r="Y64" s="2"/>
      <c r="Z64" s="7">
        <f t="shared" si="55"/>
        <v>-0.44765875725335635</v>
      </c>
    </row>
    <row r="65" spans="1:26" s="29" customFormat="1" outlineLevel="1" collapsed="1" x14ac:dyDescent="0.3">
      <c r="A65" s="27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SUM(OSRRefD22_10x_0)</f>
        <v>3328.09</v>
      </c>
      <c r="E65" s="1"/>
      <c r="F65" s="5">
        <f t="shared" si="48"/>
        <v>0.42944703737301143</v>
      </c>
      <c r="G65" s="1"/>
      <c r="H65" s="1">
        <f>SUM(OSRRefH22_10x_0)</f>
        <v>1943.62</v>
      </c>
      <c r="I65" s="1"/>
      <c r="J65" s="5">
        <f t="shared" si="49"/>
        <v>1.5464708269348586</v>
      </c>
      <c r="K65" s="1"/>
      <c r="L65" s="1">
        <f t="shared" si="50"/>
        <v>1384.4700000000003</v>
      </c>
      <c r="M65" s="1"/>
      <c r="N65" s="5">
        <f t="shared" si="51"/>
        <v>0.71231516448688548</v>
      </c>
      <c r="O65" s="14"/>
      <c r="P65" s="1">
        <f>SUM(OSRRefP22_10x_0)</f>
        <v>21822.239999999998</v>
      </c>
      <c r="Q65" s="1"/>
      <c r="R65" s="5">
        <f t="shared" si="52"/>
        <v>0.22051863853116113</v>
      </c>
      <c r="S65" s="1"/>
      <c r="T65" s="1">
        <f>SUM(OSRRefT22_10x_0)</f>
        <v>25817.23</v>
      </c>
      <c r="U65" s="1"/>
      <c r="V65" s="5">
        <f t="shared" si="53"/>
        <v>0.34501305096424262</v>
      </c>
      <c r="W65" s="1"/>
      <c r="X65" s="1">
        <f t="shared" si="54"/>
        <v>-3994.9900000000016</v>
      </c>
      <c r="Y65" s="1"/>
      <c r="Z65" s="5">
        <f t="shared" si="55"/>
        <v>-0.15474123288981823</v>
      </c>
    </row>
    <row r="66" spans="1:26" s="24" customFormat="1" hidden="1" outlineLevel="2" x14ac:dyDescent="0.3">
      <c r="A66" s="28"/>
      <c r="B66" s="11" t="str">
        <f>CONCATENATE("          ", "6235", " - ", "COVID-19 EXPENSES")</f>
        <v xml:space="preserve">          6235 - COVID-19 EXPENSES</v>
      </c>
      <c r="C66" s="11"/>
      <c r="D66" s="6"/>
      <c r="E66" s="2"/>
      <c r="F66" s="7">
        <f t="shared" si="48"/>
        <v>0</v>
      </c>
      <c r="G66" s="2"/>
      <c r="H66" s="6"/>
      <c r="I66" s="2"/>
      <c r="J66" s="7">
        <f t="shared" si="49"/>
        <v>0</v>
      </c>
      <c r="K66" s="2"/>
      <c r="L66" s="6">
        <f t="shared" si="50"/>
        <v>0</v>
      </c>
      <c r="M66" s="2"/>
      <c r="N66" s="7">
        <f t="shared" si="51"/>
        <v>0</v>
      </c>
      <c r="O66" s="11"/>
      <c r="P66" s="6"/>
      <c r="Q66" s="2"/>
      <c r="R66" s="7">
        <f t="shared" si="52"/>
        <v>0</v>
      </c>
      <c r="S66" s="2"/>
      <c r="T66" s="6">
        <v>310.91000000000003</v>
      </c>
      <c r="U66" s="2"/>
      <c r="V66" s="7">
        <f t="shared" si="53"/>
        <v>4.1548999515165913E-3</v>
      </c>
      <c r="W66" s="2"/>
      <c r="X66" s="6">
        <f t="shared" si="54"/>
        <v>-310.91000000000003</v>
      </c>
      <c r="Y66" s="2"/>
      <c r="Z66" s="7">
        <f t="shared" si="55"/>
        <v>-1</v>
      </c>
    </row>
    <row r="67" spans="1:26" s="24" customFormat="1" hidden="1" outlineLevel="2" x14ac:dyDescent="0.3">
      <c r="A67" s="28"/>
      <c r="B67" s="11" t="str">
        <f>CONCATENATE("          ", "6241", " - ", "OFFICE EXPENSE")</f>
        <v xml:space="preserve">          6241 - OFFICE EXPENSE</v>
      </c>
      <c r="C67" s="11"/>
      <c r="D67" s="6">
        <v>9.98</v>
      </c>
      <c r="E67" s="2"/>
      <c r="F67" s="7">
        <f t="shared" si="48"/>
        <v>1.2877901237594699E-3</v>
      </c>
      <c r="G67" s="2"/>
      <c r="H67" s="6"/>
      <c r="I67" s="2"/>
      <c r="J67" s="7">
        <f t="shared" si="49"/>
        <v>0</v>
      </c>
      <c r="K67" s="2"/>
      <c r="L67" s="6">
        <f t="shared" si="50"/>
        <v>9.98</v>
      </c>
      <c r="M67" s="2"/>
      <c r="N67" s="7">
        <f t="shared" si="51"/>
        <v>0</v>
      </c>
      <c r="O67" s="11"/>
      <c r="P67" s="6">
        <v>4852.8500000000004</v>
      </c>
      <c r="Q67" s="2"/>
      <c r="R67" s="7">
        <f t="shared" si="52"/>
        <v>4.9039139657337902E-2</v>
      </c>
      <c r="S67" s="2"/>
      <c r="T67" s="6">
        <v>4596.8599999999997</v>
      </c>
      <c r="U67" s="2"/>
      <c r="V67" s="7">
        <f t="shared" si="53"/>
        <v>6.143093947164309E-2</v>
      </c>
      <c r="W67" s="2"/>
      <c r="X67" s="6">
        <f t="shared" si="54"/>
        <v>255.99000000000069</v>
      </c>
      <c r="Y67" s="2"/>
      <c r="Z67" s="7">
        <f t="shared" si="55"/>
        <v>5.5688013122000828E-2</v>
      </c>
    </row>
    <row r="68" spans="1:26" s="24" customFormat="1" hidden="1" outlineLevel="2" x14ac:dyDescent="0.3">
      <c r="A68" s="28"/>
      <c r="B68" s="11" t="str">
        <f>CONCATENATE("          ", "6243", " - ", "PAPER SUPPLIES")</f>
        <v xml:space="preserve">          6243 - PAPER SUPPLIES</v>
      </c>
      <c r="C68" s="11"/>
      <c r="D68" s="6"/>
      <c r="E68" s="2"/>
      <c r="F68" s="7">
        <f t="shared" si="48"/>
        <v>0</v>
      </c>
      <c r="G68" s="2"/>
      <c r="H68" s="6">
        <v>411.1</v>
      </c>
      <c r="I68" s="2"/>
      <c r="J68" s="7">
        <f t="shared" si="49"/>
        <v>0.32709797025803422</v>
      </c>
      <c r="K68" s="2"/>
      <c r="L68" s="6">
        <f t="shared" si="50"/>
        <v>-411.1</v>
      </c>
      <c r="M68" s="2"/>
      <c r="N68" s="7">
        <f t="shared" si="51"/>
        <v>-1</v>
      </c>
      <c r="O68" s="11"/>
      <c r="P68" s="6">
        <v>4470.8999999999996</v>
      </c>
      <c r="Q68" s="2"/>
      <c r="R68" s="7">
        <f t="shared" si="52"/>
        <v>4.5179449085381164E-2</v>
      </c>
      <c r="S68" s="2"/>
      <c r="T68" s="6">
        <v>5093.3999999999996</v>
      </c>
      <c r="U68" s="2"/>
      <c r="V68" s="7">
        <f t="shared" si="53"/>
        <v>6.8066538268484772E-2</v>
      </c>
      <c r="W68" s="2"/>
      <c r="X68" s="6">
        <f t="shared" si="54"/>
        <v>-622.5</v>
      </c>
      <c r="Y68" s="2"/>
      <c r="Z68" s="7">
        <f t="shared" si="55"/>
        <v>-0.12221698668865591</v>
      </c>
    </row>
    <row r="69" spans="1:26" s="24" customFormat="1" hidden="1" outlineLevel="2" x14ac:dyDescent="0.3">
      <c r="A69" s="28"/>
      <c r="B69" s="11" t="str">
        <f>CONCATENATE("          ", "6245", " - ", "PRINTING")</f>
        <v xml:space="preserve">          6245 - PRINTING</v>
      </c>
      <c r="C69" s="11"/>
      <c r="D69" s="6">
        <v>812.04</v>
      </c>
      <c r="E69" s="2"/>
      <c r="F69" s="7">
        <f t="shared" si="48"/>
        <v>0.10478327576128656</v>
      </c>
      <c r="G69" s="2"/>
      <c r="H69" s="6"/>
      <c r="I69" s="2"/>
      <c r="J69" s="7">
        <f t="shared" si="49"/>
        <v>0</v>
      </c>
      <c r="K69" s="2"/>
      <c r="L69" s="6">
        <f t="shared" si="50"/>
        <v>812.04</v>
      </c>
      <c r="M69" s="2"/>
      <c r="N69" s="7">
        <f t="shared" si="51"/>
        <v>0</v>
      </c>
      <c r="O69" s="11"/>
      <c r="P69" s="6">
        <v>1081.93</v>
      </c>
      <c r="Q69" s="2"/>
      <c r="R69" s="7">
        <f t="shared" si="52"/>
        <v>1.0933145753415745E-2</v>
      </c>
      <c r="S69" s="2"/>
      <c r="T69" s="6">
        <v>439.61</v>
      </c>
      <c r="U69" s="2"/>
      <c r="V69" s="7">
        <f t="shared" si="53"/>
        <v>5.8748048235380285E-3</v>
      </c>
      <c r="W69" s="2"/>
      <c r="X69" s="6">
        <f t="shared" si="54"/>
        <v>642.32000000000005</v>
      </c>
      <c r="Y69" s="2"/>
      <c r="Z69" s="7">
        <f t="shared" si="55"/>
        <v>1.4611132594799936</v>
      </c>
    </row>
    <row r="70" spans="1:26" s="24" customFormat="1" hidden="1" outlineLevel="2" x14ac:dyDescent="0.3">
      <c r="A70" s="28"/>
      <c r="B70" s="11" t="str">
        <f>CONCATENATE("          ", "6247", " - ", "STORE SUPPLIES")</f>
        <v xml:space="preserve">          6247 - STORE SUPPLIES</v>
      </c>
      <c r="C70" s="11"/>
      <c r="D70" s="6">
        <v>2506.0700000000002</v>
      </c>
      <c r="E70" s="2"/>
      <c r="F70" s="7">
        <f t="shared" si="48"/>
        <v>0.32337597148796543</v>
      </c>
      <c r="G70" s="2"/>
      <c r="H70" s="6">
        <v>1532.52</v>
      </c>
      <c r="I70" s="2"/>
      <c r="J70" s="7">
        <f t="shared" si="49"/>
        <v>1.2193728566768245</v>
      </c>
      <c r="K70" s="2"/>
      <c r="L70" s="6">
        <f t="shared" si="50"/>
        <v>973.55000000000018</v>
      </c>
      <c r="M70" s="2"/>
      <c r="N70" s="7">
        <f t="shared" si="51"/>
        <v>0.63526087750893967</v>
      </c>
      <c r="O70" s="11"/>
      <c r="P70" s="6">
        <v>11416.56</v>
      </c>
      <c r="Q70" s="2"/>
      <c r="R70" s="7">
        <f t="shared" si="52"/>
        <v>0.11536690403502634</v>
      </c>
      <c r="S70" s="2"/>
      <c r="T70" s="6">
        <v>15376.45</v>
      </c>
      <c r="U70" s="2"/>
      <c r="V70" s="7">
        <f t="shared" si="53"/>
        <v>0.20548586844906014</v>
      </c>
      <c r="W70" s="2"/>
      <c r="X70" s="6">
        <f t="shared" si="54"/>
        <v>-3959.8900000000012</v>
      </c>
      <c r="Y70" s="2"/>
      <c r="Z70" s="7">
        <f t="shared" si="55"/>
        <v>-0.25752953380006444</v>
      </c>
    </row>
    <row r="71" spans="1:26" s="29" customFormat="1" outlineLevel="1" collapsed="1" x14ac:dyDescent="0.3">
      <c r="A71" s="27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SUM(OSRRefD22_11x_0)</f>
        <v>50.5</v>
      </c>
      <c r="E71" s="1"/>
      <c r="F71" s="5">
        <f t="shared" ref="F71:F74" si="56">IF(D$12=0,0,D71/D$12)</f>
        <v>6.5163728707267766E-3</v>
      </c>
      <c r="G71" s="1"/>
      <c r="H71" s="1">
        <f>SUM(OSRRefH22_11x_0)</f>
        <v>183.3</v>
      </c>
      <c r="I71" s="1"/>
      <c r="J71" s="5">
        <f t="shared" ref="J71:J74" si="57">IF(H$12=0,0,H71/H$12)</f>
        <v>0.14584543407515851</v>
      </c>
      <c r="K71" s="1"/>
      <c r="L71" s="1">
        <f t="shared" ref="L71:L74" si="58">+D71-H71</f>
        <v>-132.80000000000001</v>
      </c>
      <c r="M71" s="1"/>
      <c r="N71" s="5">
        <f t="shared" ref="N71:N74" si="59">IF(H71=0,0,L71/H71)</f>
        <v>-0.72449536279323512</v>
      </c>
      <c r="O71" s="14"/>
      <c r="P71" s="1">
        <f>SUM(OSRRefP22_11x_0)</f>
        <v>629.54999999999995</v>
      </c>
      <c r="Q71" s="1"/>
      <c r="R71" s="5">
        <f t="shared" ref="R71:R74" si="60">IF(P$12=0,0,P71/P$12)</f>
        <v>6.3617442062452109E-3</v>
      </c>
      <c r="S71" s="1"/>
      <c r="T71" s="1">
        <f>SUM(OSRRefT22_11x_0)</f>
        <v>1257</v>
      </c>
      <c r="U71" s="1"/>
      <c r="V71" s="5">
        <f t="shared" ref="V71:V74" si="61">IF(T$12=0,0,T71/T$12)</f>
        <v>1.6798138493635956E-2</v>
      </c>
      <c r="W71" s="1"/>
      <c r="X71" s="1">
        <f t="shared" ref="X71:X74" si="62">+P71-T71</f>
        <v>-627.45000000000005</v>
      </c>
      <c r="Y71" s="1"/>
      <c r="Z71" s="5">
        <f t="shared" ref="Z71:Z74" si="63">IF(T71=0,0,X71/T71)</f>
        <v>-0.49916467780429596</v>
      </c>
    </row>
    <row r="72" spans="1:26" s="24" customFormat="1" hidden="1" outlineLevel="2" x14ac:dyDescent="0.3">
      <c r="A72" s="28"/>
      <c r="B72" s="11" t="str">
        <f>CONCATENATE("          ", "6309", " - ", "TELEPHONE")</f>
        <v xml:space="preserve">          6309 - TELEPHONE</v>
      </c>
      <c r="C72" s="11"/>
      <c r="D72" s="6">
        <v>50.5</v>
      </c>
      <c r="E72" s="2"/>
      <c r="F72" s="7">
        <f t="shared" si="56"/>
        <v>6.5163728707267766E-3</v>
      </c>
      <c r="G72" s="2"/>
      <c r="H72" s="6">
        <v>183.3</v>
      </c>
      <c r="I72" s="2"/>
      <c r="J72" s="7">
        <f t="shared" si="57"/>
        <v>0.14584543407515851</v>
      </c>
      <c r="K72" s="2"/>
      <c r="L72" s="6">
        <f t="shared" si="58"/>
        <v>-132.80000000000001</v>
      </c>
      <c r="M72" s="2"/>
      <c r="N72" s="7">
        <f t="shared" si="59"/>
        <v>-0.72449536279323512</v>
      </c>
      <c r="O72" s="11"/>
      <c r="P72" s="6">
        <v>629.54999999999995</v>
      </c>
      <c r="Q72" s="2"/>
      <c r="R72" s="7">
        <f t="shared" si="60"/>
        <v>6.3617442062452109E-3</v>
      </c>
      <c r="S72" s="2"/>
      <c r="T72" s="6">
        <v>1257</v>
      </c>
      <c r="U72" s="2"/>
      <c r="V72" s="7">
        <f t="shared" si="61"/>
        <v>1.6798138493635956E-2</v>
      </c>
      <c r="W72" s="2"/>
      <c r="X72" s="6">
        <f t="shared" si="62"/>
        <v>-627.45000000000005</v>
      </c>
      <c r="Y72" s="2"/>
      <c r="Z72" s="7">
        <f t="shared" si="63"/>
        <v>-0.49916467780429596</v>
      </c>
    </row>
    <row r="73" spans="1:26" s="29" customFormat="1" outlineLevel="1" collapsed="1" x14ac:dyDescent="0.3">
      <c r="A73" s="27"/>
      <c r="B73" s="14" t="str">
        <f>CONCATENATE("     ","Utilities                                         ")</f>
        <v xml:space="preserve">     Utilities                                         </v>
      </c>
      <c r="C73" s="14"/>
      <c r="D73" s="1">
        <f>SUM(OSRRefD22_12x_0)</f>
        <v>0</v>
      </c>
      <c r="E73" s="1"/>
      <c r="F73" s="5">
        <f t="shared" si="56"/>
        <v>0</v>
      </c>
      <c r="G73" s="1"/>
      <c r="H73" s="1">
        <f>SUM(OSRRefH22_12x_0)</f>
        <v>0</v>
      </c>
      <c r="I73" s="1"/>
      <c r="J73" s="5">
        <f t="shared" si="57"/>
        <v>0</v>
      </c>
      <c r="K73" s="1"/>
      <c r="L73" s="1">
        <f t="shared" si="58"/>
        <v>0</v>
      </c>
      <c r="M73" s="1"/>
      <c r="N73" s="5">
        <f t="shared" si="59"/>
        <v>0</v>
      </c>
      <c r="O73" s="14"/>
      <c r="P73" s="1">
        <f>SUM(OSRRefP22_12x_0)</f>
        <v>0</v>
      </c>
      <c r="Q73" s="1"/>
      <c r="R73" s="5">
        <f t="shared" si="60"/>
        <v>0</v>
      </c>
      <c r="S73" s="1"/>
      <c r="T73" s="1">
        <f>SUM(OSRRefT22_12x_0)</f>
        <v>15.02</v>
      </c>
      <c r="U73" s="1"/>
      <c r="V73" s="5">
        <f t="shared" si="61"/>
        <v>2.0072238677359746E-4</v>
      </c>
      <c r="W73" s="1"/>
      <c r="X73" s="1">
        <f t="shared" si="62"/>
        <v>-15.02</v>
      </c>
      <c r="Y73" s="1"/>
      <c r="Z73" s="5">
        <f t="shared" si="63"/>
        <v>-1</v>
      </c>
    </row>
    <row r="74" spans="1:26" s="24" customFormat="1" hidden="1" outlineLevel="2" x14ac:dyDescent="0.3">
      <c r="A74" s="28"/>
      <c r="B74" s="11" t="str">
        <f>CONCATENATE("          ", "6274", " - ", "UTILITIES")</f>
        <v xml:space="preserve">          6274 - UTILITIES</v>
      </c>
      <c r="C74" s="11"/>
      <c r="D74" s="6"/>
      <c r="E74" s="2"/>
      <c r="F74" s="7">
        <f t="shared" si="56"/>
        <v>0</v>
      </c>
      <c r="G74" s="2"/>
      <c r="H74" s="6"/>
      <c r="I74" s="2"/>
      <c r="J74" s="7">
        <f t="shared" si="57"/>
        <v>0</v>
      </c>
      <c r="K74" s="2"/>
      <c r="L74" s="6">
        <f t="shared" si="58"/>
        <v>0</v>
      </c>
      <c r="M74" s="2"/>
      <c r="N74" s="7">
        <f t="shared" si="59"/>
        <v>0</v>
      </c>
      <c r="O74" s="11"/>
      <c r="P74" s="6"/>
      <c r="Q74" s="2"/>
      <c r="R74" s="7">
        <f t="shared" si="60"/>
        <v>0</v>
      </c>
      <c r="S74" s="2"/>
      <c r="T74" s="6">
        <v>15.02</v>
      </c>
      <c r="U74" s="2"/>
      <c r="V74" s="7">
        <f t="shared" si="61"/>
        <v>2.0072238677359746E-4</v>
      </c>
      <c r="W74" s="2"/>
      <c r="X74" s="6">
        <f t="shared" si="62"/>
        <v>-15.02</v>
      </c>
      <c r="Y74" s="2"/>
      <c r="Z74" s="7">
        <f t="shared" si="63"/>
        <v>-1</v>
      </c>
    </row>
    <row r="75" spans="1:26" s="53" customFormat="1" x14ac:dyDescent="0.3">
      <c r="A75" s="37"/>
      <c r="B75" s="37"/>
      <c r="C75" s="37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collapsed="1" x14ac:dyDescent="0.3">
      <c r="A76" s="10"/>
      <c r="B76" s="25" t="s">
        <v>292</v>
      </c>
      <c r="C76" s="10"/>
      <c r="D76" s="4">
        <f>SUM(OSRRefD25x_0)</f>
        <v>0</v>
      </c>
      <c r="E76" s="4"/>
      <c r="F76" s="12">
        <f t="shared" ref="F76:F78" si="64">IF(D$12=0,0,D76/D$12)</f>
        <v>0</v>
      </c>
      <c r="G76" s="4"/>
      <c r="H76" s="4">
        <f>SUM(OSRRefH25x_0)</f>
        <v>6782</v>
      </c>
      <c r="I76" s="4"/>
      <c r="J76" s="12">
        <f t="shared" ref="J76:J78" si="65">IF(H$12=0,0,H76/H$12)</f>
        <v>5.3962014942592749</v>
      </c>
      <c r="K76" s="4"/>
      <c r="L76" s="4">
        <f t="shared" ref="L76:L78" si="66">+D76-H76</f>
        <v>-6782</v>
      </c>
      <c r="M76" s="4"/>
      <c r="N76" s="12">
        <f t="shared" ref="N76:N78" si="67">IF(H76=0,0,L76/H76)</f>
        <v>-1</v>
      </c>
      <c r="O76" s="10"/>
      <c r="P76" s="4">
        <f>SUM(OSRRefP25x_0)</f>
        <v>14899</v>
      </c>
      <c r="Q76" s="4"/>
      <c r="R76" s="12">
        <f t="shared" ref="R76:R78" si="68">IF(P$12=0,0,P76/P$12)</f>
        <v>0.15055774271916036</v>
      </c>
      <c r="S76" s="4"/>
      <c r="T76" s="4">
        <f>SUM(OSRRefT25x_0)</f>
        <v>40692</v>
      </c>
      <c r="U76" s="4"/>
      <c r="V76" s="12">
        <f t="shared" ref="V76:V78" si="69">IF(T$12=0,0,T76/T$12)</f>
        <v>0.54379463133097394</v>
      </c>
      <c r="W76" s="4"/>
      <c r="X76" s="4">
        <f t="shared" ref="X76:X78" si="70">+P76-T76</f>
        <v>-25793</v>
      </c>
      <c r="Y76" s="4"/>
      <c r="Z76" s="12">
        <f t="shared" ref="Z76:Z78" si="71">IF(T76=0,0,X76/T76)</f>
        <v>-0.63385923523051213</v>
      </c>
    </row>
    <row r="77" spans="1:26" s="24" customFormat="1" hidden="1" outlineLevel="1" x14ac:dyDescent="0.3">
      <c r="A77" s="44"/>
      <c r="B77" s="11" t="str">
        <f>CONCATENATE("          ", "9150", " - ", "MISC. INCOME")</f>
        <v xml:space="preserve">          9150 - MISC. INCOME</v>
      </c>
      <c r="C77" s="11"/>
      <c r="D77" s="2">
        <f t="shared" ref="D77:D78" si="72">0</f>
        <v>0</v>
      </c>
      <c r="E77" s="2"/>
      <c r="F77" s="19">
        <f t="shared" si="64"/>
        <v>0</v>
      </c>
      <c r="G77" s="2"/>
      <c r="H77" s="2">
        <f>--6782</f>
        <v>6782</v>
      </c>
      <c r="I77" s="2"/>
      <c r="J77" s="19">
        <f t="shared" si="65"/>
        <v>5.3962014942592749</v>
      </c>
      <c r="K77" s="2"/>
      <c r="L77" s="2">
        <f t="shared" si="66"/>
        <v>-6782</v>
      </c>
      <c r="M77" s="2"/>
      <c r="N77" s="19">
        <f t="shared" si="67"/>
        <v>-1</v>
      </c>
      <c r="O77" s="11"/>
      <c r="P77" s="2">
        <f>--14899</f>
        <v>14899</v>
      </c>
      <c r="Q77" s="2"/>
      <c r="R77" s="19">
        <f t="shared" si="68"/>
        <v>0.15055774271916036</v>
      </c>
      <c r="S77" s="2"/>
      <c r="T77" s="2">
        <f>--40692</f>
        <v>40692</v>
      </c>
      <c r="U77" s="2"/>
      <c r="V77" s="19">
        <f t="shared" si="69"/>
        <v>0.54379463133097394</v>
      </c>
      <c r="W77" s="2"/>
      <c r="X77" s="2">
        <f t="shared" si="70"/>
        <v>-25793</v>
      </c>
      <c r="Y77" s="2"/>
      <c r="Z77" s="19">
        <f t="shared" si="71"/>
        <v>-0.63385923523051213</v>
      </c>
    </row>
    <row r="78" spans="1:26" s="24" customFormat="1" hidden="1" outlineLevel="1" x14ac:dyDescent="0.3">
      <c r="A78" s="44"/>
      <c r="B78" s="11" t="str">
        <f>CONCATENATE("          ", "9163", " - ", "MISC. INCOME")</f>
        <v xml:space="preserve">          9163 - MISC. INCOME</v>
      </c>
      <c r="C78" s="11"/>
      <c r="D78" s="2">
        <f t="shared" si="72"/>
        <v>0</v>
      </c>
      <c r="E78" s="2"/>
      <c r="F78" s="19">
        <f t="shared" si="64"/>
        <v>0</v>
      </c>
      <c r="G78" s="2"/>
      <c r="H78" s="2">
        <f>0</f>
        <v>0</v>
      </c>
      <c r="I78" s="2"/>
      <c r="J78" s="19">
        <f t="shared" si="65"/>
        <v>0</v>
      </c>
      <c r="K78" s="2"/>
      <c r="L78" s="2">
        <f t="shared" si="66"/>
        <v>0</v>
      </c>
      <c r="M78" s="2"/>
      <c r="N78" s="19">
        <f t="shared" si="67"/>
        <v>0</v>
      </c>
      <c r="O78" s="11"/>
      <c r="P78" s="2">
        <f>0</f>
        <v>0</v>
      </c>
      <c r="Q78" s="2"/>
      <c r="R78" s="19">
        <f t="shared" si="68"/>
        <v>0</v>
      </c>
      <c r="S78" s="2"/>
      <c r="T78" s="2">
        <f>0</f>
        <v>0</v>
      </c>
      <c r="U78" s="2"/>
      <c r="V78" s="19">
        <f t="shared" si="69"/>
        <v>0</v>
      </c>
      <c r="W78" s="2"/>
      <c r="X78" s="2">
        <f t="shared" si="70"/>
        <v>0</v>
      </c>
      <c r="Y78" s="2"/>
      <c r="Z78" s="19">
        <f t="shared" si="71"/>
        <v>0</v>
      </c>
    </row>
    <row r="79" spans="1:26" x14ac:dyDescent="0.3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3">
      <c r="A80" s="10"/>
      <c r="B80" s="26" t="s">
        <v>276</v>
      </c>
      <c r="C80" s="26"/>
      <c r="D80" s="20">
        <f>+D30-D32+D76</f>
        <v>-9875.0599999999977</v>
      </c>
      <c r="E80" s="13"/>
      <c r="F80" s="21">
        <f>IF(D$12=0,0,D80/D$12)</f>
        <v>-1.2742489718970127</v>
      </c>
      <c r="G80" s="13"/>
      <c r="H80" s="20">
        <f>+H30-H32+H76</f>
        <v>-23899.91</v>
      </c>
      <c r="I80" s="13"/>
      <c r="J80" s="21">
        <f>IF(H$12=0,0,H80/H$12)</f>
        <v>-19.016327050230341</v>
      </c>
      <c r="K80" s="15"/>
      <c r="L80" s="20">
        <f>+D80-H80</f>
        <v>14024.850000000002</v>
      </c>
      <c r="M80" s="15"/>
      <c r="N80" s="21">
        <f>IF(H80=0,0,L80/H80)</f>
        <v>-0.58681601729881006</v>
      </c>
      <c r="O80" s="25"/>
      <c r="P80" s="20">
        <f>+P30-P32+P76</f>
        <v>-29148.38999999997</v>
      </c>
      <c r="Q80" s="13"/>
      <c r="R80" s="21">
        <f>IF(P$12=0,0,P80/P$12)</f>
        <v>-0.2945510304247092</v>
      </c>
      <c r="S80" s="13"/>
      <c r="T80" s="20">
        <f>+T30-T32+T76</f>
        <v>-76602.740000000005</v>
      </c>
      <c r="U80" s="13"/>
      <c r="V80" s="21">
        <f>IF(T$12=0,0,T80/T$12)</f>
        <v>-1.0236940616642696</v>
      </c>
      <c r="W80" s="15"/>
      <c r="X80" s="20">
        <f>+P80-T80</f>
        <v>47454.350000000035</v>
      </c>
      <c r="Y80" s="15"/>
      <c r="Z80" s="21">
        <f>IF(T80=0,0,X80/T80)</f>
        <v>-0.61948632646821811</v>
      </c>
    </row>
    <row r="81" spans="1:26" x14ac:dyDescent="0.3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3">
      <c r="A82" s="51"/>
      <c r="B82" s="10" t="s">
        <v>127</v>
      </c>
      <c r="C82" s="10"/>
      <c r="D82" s="4">
        <v>1047.68</v>
      </c>
      <c r="E82" s="4"/>
      <c r="F82" s="12">
        <f>IF(D$12=0,0,D82/D$12)</f>
        <v>0.13518957483570354</v>
      </c>
      <c r="G82" s="4"/>
      <c r="H82" s="4">
        <v>2154.34</v>
      </c>
      <c r="I82" s="4"/>
      <c r="J82" s="12">
        <f>IF(H$12=0,0,H82/H$12)</f>
        <v>1.7141334012300984</v>
      </c>
      <c r="K82" s="4"/>
      <c r="L82" s="4">
        <f>+D82-H82</f>
        <v>-1106.6600000000001</v>
      </c>
      <c r="M82" s="4"/>
      <c r="N82" s="12">
        <f>IF(H82=0,0,L82/H82)</f>
        <v>-0.51368864710305706</v>
      </c>
      <c r="O82" s="10"/>
      <c r="P82" s="4">
        <v>11911.74</v>
      </c>
      <c r="Q82" s="4"/>
      <c r="R82" s="12">
        <f>IF(P$12=0,0,P82/P$12)</f>
        <v>0.12037080919910942</v>
      </c>
      <c r="S82" s="4"/>
      <c r="T82" s="4">
        <v>13845.08</v>
      </c>
      <c r="U82" s="4"/>
      <c r="V82" s="12">
        <f>IF(T$12=0,0,T82/T$12)</f>
        <v>0.1850211386598801</v>
      </c>
      <c r="W82" s="4"/>
      <c r="X82" s="4">
        <f>+P82-T82</f>
        <v>-1933.3400000000001</v>
      </c>
      <c r="Y82" s="4"/>
      <c r="Z82" s="12">
        <f>IF(T82=0,0,X82/T82)</f>
        <v>-0.13964094104187191</v>
      </c>
    </row>
    <row r="83" spans="1:26" x14ac:dyDescent="0.3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" thickBot="1" x14ac:dyDescent="0.35">
      <c r="A84" s="10"/>
      <c r="B84" s="26" t="s">
        <v>125</v>
      </c>
      <c r="C84" s="26"/>
      <c r="D84" s="32">
        <f>+D80-D82</f>
        <v>-10922.739999999998</v>
      </c>
      <c r="E84" s="13"/>
      <c r="F84" s="35">
        <f>IF(D$12=0,0,D84/D$12)</f>
        <v>-1.4094385467327164</v>
      </c>
      <c r="G84" s="13"/>
      <c r="H84" s="32">
        <f>+H80-H82</f>
        <v>-26054.25</v>
      </c>
      <c r="I84" s="13"/>
      <c r="J84" s="35">
        <f>IF(H$12=0,0,H84/H$12)</f>
        <v>-20.730460451460441</v>
      </c>
      <c r="K84" s="15"/>
      <c r="L84" s="32">
        <f>D84-H84</f>
        <v>15131.510000000002</v>
      </c>
      <c r="M84" s="15"/>
      <c r="N84" s="35">
        <f>IF(H84=0,0,L84/H84)</f>
        <v>-0.5807693562470615</v>
      </c>
      <c r="O84" s="25"/>
      <c r="P84" s="32">
        <f>+P80-P82</f>
        <v>-41060.129999999968</v>
      </c>
      <c r="Q84" s="13"/>
      <c r="R84" s="35">
        <f>IF(P$12=0,0,P84/P$12)</f>
        <v>-0.41492183962381857</v>
      </c>
      <c r="S84" s="13"/>
      <c r="T84" s="32">
        <f>+T80-T82</f>
        <v>-90447.82</v>
      </c>
      <c r="U84" s="13"/>
      <c r="V84" s="35">
        <f>IF(T$12=0,0,T84/T$12)</f>
        <v>-1.2087152003241497</v>
      </c>
      <c r="W84" s="15"/>
      <c r="X84" s="32">
        <f>P84-T84</f>
        <v>49387.690000000039</v>
      </c>
      <c r="Y84" s="15"/>
      <c r="Z84" s="35">
        <f>IF(T84=0,0,X84/T84)</f>
        <v>-0.5460351614886908</v>
      </c>
    </row>
    <row r="85" spans="1:26" ht="15" thickTop="1" x14ac:dyDescent="0.3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3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" thickBot="1" x14ac:dyDescent="0.35">
      <c r="A87" s="10"/>
      <c r="B87" s="26" t="s">
        <v>293</v>
      </c>
      <c r="C87" s="26"/>
      <c r="D87" s="31">
        <f>SUM(D84:D86)</f>
        <v>-10922.739999999998</v>
      </c>
      <c r="E87" s="13"/>
      <c r="F87" s="33">
        <f>IF(D$12=0,0,D87/D$12)</f>
        <v>-1.4094385467327164</v>
      </c>
      <c r="G87" s="13"/>
      <c r="H87" s="31">
        <f>SUM(H84:H86)</f>
        <v>-26054.25</v>
      </c>
      <c r="I87" s="13"/>
      <c r="J87" s="33">
        <f>IF(H$12=0,0,H87/H$12)</f>
        <v>-20.730460451460441</v>
      </c>
      <c r="K87" s="15"/>
      <c r="L87" s="31">
        <f>+D87-H87</f>
        <v>15131.510000000002</v>
      </c>
      <c r="M87" s="15"/>
      <c r="N87" s="33">
        <f>IF(H87=0,0,L87/H87)</f>
        <v>-0.5807693562470615</v>
      </c>
      <c r="O87" s="25"/>
      <c r="P87" s="31">
        <f>SUM(P84:P86)</f>
        <v>-41060.129999999968</v>
      </c>
      <c r="Q87" s="13"/>
      <c r="R87" s="33">
        <f>IF(P$12=0,0,P87/P$12)</f>
        <v>-0.41492183962381857</v>
      </c>
      <c r="S87" s="13"/>
      <c r="T87" s="31">
        <f>SUM(T84:T86)</f>
        <v>-90447.82</v>
      </c>
      <c r="U87" s="13"/>
      <c r="V87" s="33">
        <f>IF(T$12=0,0,T87/T$12)</f>
        <v>-1.2087152003241497</v>
      </c>
      <c r="W87" s="15"/>
      <c r="X87" s="31">
        <f>+P87-T87</f>
        <v>49387.690000000039</v>
      </c>
      <c r="Y87" s="15"/>
      <c r="Z87" s="33">
        <f>IF(T87=0,0,X87/T87)</f>
        <v>-0.5460351614886908</v>
      </c>
    </row>
    <row r="88" spans="1:26" ht="15" thickTop="1" x14ac:dyDescent="0.3">
      <c r="A88" s="9"/>
      <c r="C88" s="9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3">
      <c r="A89" s="9"/>
      <c r="B89" s="60">
        <v>44575.854556018516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3">
      <c r="A90" s="9"/>
      <c r="B90" s="57" t="s">
        <v>56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3">
      <c r="A91" s="9"/>
      <c r="B91" s="59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3"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","316", " - ", "Campus Copy Center")</f>
        <v>Department 316 - Campus Copy Center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7749.7099999999991</v>
      </c>
      <c r="E12" s="4"/>
      <c r="F12" s="12"/>
      <c r="G12" s="4"/>
      <c r="H12" s="4">
        <f>SUM(OSRRefH13x_0)</f>
        <v>1256.8100000000002</v>
      </c>
      <c r="I12" s="4"/>
      <c r="J12" s="12"/>
      <c r="K12" s="4"/>
      <c r="L12" s="4">
        <f t="shared" ref="L12:L23" si="0">+D12-H12</f>
        <v>6492.8999999999987</v>
      </c>
      <c r="M12" s="4"/>
      <c r="N12" s="12">
        <f t="shared" ref="N12:N23" si="1">IF(H12=0,0,L12/H12)</f>
        <v>5.1661746803414976</v>
      </c>
      <c r="O12" s="10"/>
      <c r="P12" s="4">
        <f>SUM(OSRRefP13x_0)</f>
        <v>98958.709999999992</v>
      </c>
      <c r="Q12" s="4"/>
      <c r="R12" s="12"/>
      <c r="S12" s="4"/>
      <c r="T12" s="4">
        <f>SUM(OSRRefT13x_0)</f>
        <v>74829.719999999987</v>
      </c>
      <c r="U12" s="4"/>
      <c r="V12" s="12"/>
      <c r="W12" s="4"/>
      <c r="X12" s="4">
        <f t="shared" ref="X12:X23" si="2">+P12-T12</f>
        <v>24128.990000000005</v>
      </c>
      <c r="Y12" s="4"/>
      <c r="Z12" s="12">
        <f t="shared" ref="Z12:Z23" si="3">IF(T12=0,0,X12/T12)</f>
        <v>0.32245196160028405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--4665.65</f>
        <v>4665.6499999999996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4665.6499999999996</v>
      </c>
      <c r="M13" s="2"/>
      <c r="N13" s="19">
        <f t="shared" si="1"/>
        <v>0</v>
      </c>
      <c r="O13" s="11"/>
      <c r="P13" s="2">
        <f>--78677.18</f>
        <v>78677.179999999993</v>
      </c>
      <c r="Q13" s="2"/>
      <c r="R13" s="19"/>
      <c r="S13" s="2"/>
      <c r="T13" s="2">
        <f>-8.65</f>
        <v>-8.65</v>
      </c>
      <c r="U13" s="2"/>
      <c r="V13" s="19"/>
      <c r="W13" s="2"/>
      <c r="X13" s="2">
        <f t="shared" si="2"/>
        <v>78685.829999999987</v>
      </c>
      <c r="Y13" s="2"/>
      <c r="Z13" s="19">
        <f t="shared" si="3"/>
        <v>-9096.6277456647385</v>
      </c>
    </row>
    <row r="14" spans="1:26" s="24" customFormat="1" hidden="1" outlineLevel="1" x14ac:dyDescent="0.3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 t="shared" ref="D14:D16" si="4">0</f>
        <v>0</v>
      </c>
      <c r="E14" s="2"/>
      <c r="F14" s="19"/>
      <c r="G14" s="2"/>
      <c r="H14" s="2">
        <f>--251.9</f>
        <v>251.9</v>
      </c>
      <c r="I14" s="2"/>
      <c r="J14" s="19"/>
      <c r="K14" s="2"/>
      <c r="L14" s="2">
        <f t="shared" si="0"/>
        <v>-251.9</v>
      </c>
      <c r="M14" s="2"/>
      <c r="N14" s="19">
        <f t="shared" si="1"/>
        <v>-1</v>
      </c>
      <c r="O14" s="11"/>
      <c r="P14" s="2">
        <f t="shared" ref="P14:P16" si="5">0</f>
        <v>0</v>
      </c>
      <c r="Q14" s="2"/>
      <c r="R14" s="19"/>
      <c r="S14" s="2"/>
      <c r="T14" s="2">
        <f>--60944.27</f>
        <v>60944.27</v>
      </c>
      <c r="U14" s="2"/>
      <c r="V14" s="19"/>
      <c r="W14" s="2"/>
      <c r="X14" s="2">
        <f t="shared" si="2"/>
        <v>-60944.27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 t="shared" si="4"/>
        <v>0</v>
      </c>
      <c r="E15" s="2"/>
      <c r="F15" s="19"/>
      <c r="G15" s="2"/>
      <c r="H15" s="2">
        <f>--964.03</f>
        <v>964.03</v>
      </c>
      <c r="I15" s="2"/>
      <c r="J15" s="19"/>
      <c r="K15" s="2"/>
      <c r="L15" s="2">
        <f t="shared" si="0"/>
        <v>-964.03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--12853.85</f>
        <v>12853.85</v>
      </c>
      <c r="U15" s="2"/>
      <c r="V15" s="19"/>
      <c r="W15" s="2"/>
      <c r="X15" s="2">
        <f t="shared" si="2"/>
        <v>-12853.85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 t="shared" si="4"/>
        <v>0</v>
      </c>
      <c r="E16" s="2"/>
      <c r="F16" s="19"/>
      <c r="G16" s="2"/>
      <c r="H16" s="2">
        <f>--7.98</f>
        <v>7.98</v>
      </c>
      <c r="I16" s="2"/>
      <c r="J16" s="19"/>
      <c r="K16" s="2"/>
      <c r="L16" s="2">
        <f t="shared" si="0"/>
        <v>-7.98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--15.96</f>
        <v>15.96</v>
      </c>
      <c r="U16" s="2"/>
      <c r="V16" s="19"/>
      <c r="W16" s="2"/>
      <c r="X16" s="2">
        <f t="shared" si="2"/>
        <v>-15.96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--3084.06</f>
        <v>3084.06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3084.06</v>
      </c>
      <c r="M17" s="2"/>
      <c r="N17" s="19">
        <f t="shared" si="1"/>
        <v>0</v>
      </c>
      <c r="O17" s="11"/>
      <c r="P17" s="2">
        <f>--20684.53</f>
        <v>20684.53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20684.53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 t="shared" ref="D18:D23" si="6">0</f>
        <v>0</v>
      </c>
      <c r="E18" s="2"/>
      <c r="F18" s="19"/>
      <c r="G18" s="2"/>
      <c r="H18" s="2">
        <f>--8.15</f>
        <v>8.15</v>
      </c>
      <c r="I18" s="2"/>
      <c r="J18" s="19"/>
      <c r="K18" s="2"/>
      <c r="L18" s="2">
        <f t="shared" si="0"/>
        <v>-8.15</v>
      </c>
      <c r="M18" s="2"/>
      <c r="N18" s="19">
        <f t="shared" si="1"/>
        <v>-1</v>
      </c>
      <c r="O18" s="11"/>
      <c r="P18" s="2">
        <f t="shared" ref="P18:P21" si="7">0</f>
        <v>0</v>
      </c>
      <c r="Q18" s="2"/>
      <c r="R18" s="19"/>
      <c r="S18" s="2"/>
      <c r="T18" s="2">
        <f>--519.65</f>
        <v>519.65</v>
      </c>
      <c r="U18" s="2"/>
      <c r="V18" s="19"/>
      <c r="W18" s="2"/>
      <c r="X18" s="2">
        <f t="shared" si="2"/>
        <v>-519.65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 t="shared" si="6"/>
        <v>0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7"/>
        <v>0</v>
      </c>
      <c r="Q19" s="2"/>
      <c r="R19" s="19"/>
      <c r="S19" s="2"/>
      <c r="T19" s="2">
        <f>--1110.59</f>
        <v>1110.5899999999999</v>
      </c>
      <c r="U19" s="2"/>
      <c r="V19" s="19"/>
      <c r="W19" s="2"/>
      <c r="X19" s="2">
        <f t="shared" si="2"/>
        <v>-1110.5899999999999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 t="shared" si="6"/>
        <v>0</v>
      </c>
      <c r="E20" s="2"/>
      <c r="F20" s="19"/>
      <c r="G20" s="2"/>
      <c r="H20" s="2">
        <f>--19.9</f>
        <v>19.899999999999999</v>
      </c>
      <c r="I20" s="2"/>
      <c r="J20" s="19"/>
      <c r="K20" s="2"/>
      <c r="L20" s="2">
        <f t="shared" si="0"/>
        <v>-19.899999999999999</v>
      </c>
      <c r="M20" s="2"/>
      <c r="N20" s="19">
        <f t="shared" si="1"/>
        <v>-1</v>
      </c>
      <c r="O20" s="11"/>
      <c r="P20" s="2">
        <f t="shared" si="7"/>
        <v>0</v>
      </c>
      <c r="Q20" s="2"/>
      <c r="R20" s="19"/>
      <c r="S20" s="2"/>
      <c r="T20" s="2">
        <f>--127.9</f>
        <v>127.9</v>
      </c>
      <c r="U20" s="2"/>
      <c r="V20" s="19"/>
      <c r="W20" s="2"/>
      <c r="X20" s="2">
        <f t="shared" si="2"/>
        <v>-127.9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 t="shared" si="6"/>
        <v>0</v>
      </c>
      <c r="E21" s="2"/>
      <c r="F21" s="19"/>
      <c r="G21" s="2"/>
      <c r="H21" s="2">
        <f>--13</f>
        <v>13</v>
      </c>
      <c r="I21" s="2"/>
      <c r="J21" s="19"/>
      <c r="K21" s="2"/>
      <c r="L21" s="2">
        <f t="shared" si="0"/>
        <v>-13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>--104.5</f>
        <v>104.5</v>
      </c>
      <c r="U21" s="2"/>
      <c r="V21" s="19"/>
      <c r="W21" s="2"/>
      <c r="X21" s="2">
        <f t="shared" si="2"/>
        <v>-104.5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"4200", " - ", "TAXABLE RETURNS")</f>
        <v xml:space="preserve">          4200 - TAXABLE RETURNS</v>
      </c>
      <c r="C22" s="11"/>
      <c r="D22" s="2">
        <f t="shared" si="6"/>
        <v>0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-403</f>
        <v>-403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-403</v>
      </c>
      <c r="Y22" s="2"/>
      <c r="Z22" s="19">
        <f t="shared" si="3"/>
        <v>0</v>
      </c>
    </row>
    <row r="23" spans="1:26" s="24" customFormat="1" hidden="1" outlineLevel="1" x14ac:dyDescent="0.3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 t="shared" si="6"/>
        <v>0</v>
      </c>
      <c r="E23" s="2"/>
      <c r="F23" s="19"/>
      <c r="G23" s="2"/>
      <c r="H23" s="2">
        <f>-8.15</f>
        <v>-8.15</v>
      </c>
      <c r="I23" s="2"/>
      <c r="J23" s="19"/>
      <c r="K23" s="2"/>
      <c r="L23" s="2">
        <f t="shared" si="0"/>
        <v>8.15</v>
      </c>
      <c r="M23" s="2"/>
      <c r="N23" s="19">
        <f t="shared" si="1"/>
        <v>-1</v>
      </c>
      <c r="O23" s="11"/>
      <c r="P23" s="2">
        <f>0</f>
        <v>0</v>
      </c>
      <c r="Q23" s="2"/>
      <c r="R23" s="19"/>
      <c r="S23" s="2"/>
      <c r="T23" s="2">
        <f>-838.35</f>
        <v>-838.35</v>
      </c>
      <c r="U23" s="2"/>
      <c r="V23" s="19"/>
      <c r="W23" s="2"/>
      <c r="X23" s="2">
        <f t="shared" si="2"/>
        <v>838.35</v>
      </c>
      <c r="Y23" s="2"/>
      <c r="Z23" s="19">
        <f t="shared" si="3"/>
        <v>-1</v>
      </c>
    </row>
    <row r="24" spans="1:26" x14ac:dyDescent="0.3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3">
      <c r="A25" s="10"/>
      <c r="B25" s="25" t="s">
        <v>256</v>
      </c>
      <c r="C25" s="10"/>
      <c r="D25" s="4">
        <f>SUM(OSRRefD16x_0)</f>
        <v>0</v>
      </c>
      <c r="E25" s="4"/>
      <c r="F25" s="12">
        <f t="shared" ref="F25:F26" si="8">IF(D$12=0,0,D25/D$12)</f>
        <v>0</v>
      </c>
      <c r="G25" s="4"/>
      <c r="H25" s="4">
        <f>SUM(OSRRefH16x_0)</f>
        <v>0</v>
      </c>
      <c r="I25" s="4"/>
      <c r="J25" s="12">
        <f t="shared" ref="J25:J26" si="9">IF(H$12=0,0,H25/H$12)</f>
        <v>0</v>
      </c>
      <c r="K25" s="4"/>
      <c r="L25" s="4">
        <f t="shared" ref="L25:L26" si="10">+D25-H25</f>
        <v>0</v>
      </c>
      <c r="M25" s="4"/>
      <c r="N25" s="12">
        <f t="shared" ref="N25:N26" si="11">IF(H25=0,0,L25/H25)</f>
        <v>0</v>
      </c>
      <c r="O25" s="10"/>
      <c r="P25" s="4">
        <f>SUM(OSRRefP16x_0)</f>
        <v>8.26</v>
      </c>
      <c r="Q25" s="4"/>
      <c r="R25" s="12">
        <f t="shared" ref="R25:R26" si="12">IF(P$12=0,0,P25/P$12)</f>
        <v>8.3469155974244218E-5</v>
      </c>
      <c r="S25" s="4"/>
      <c r="T25" s="4">
        <f>SUM(OSRRefT16x_0)</f>
        <v>0</v>
      </c>
      <c r="U25" s="4"/>
      <c r="V25" s="12">
        <f t="shared" ref="V25:V26" si="13">IF(T$12=0,0,T25/T$12)</f>
        <v>0</v>
      </c>
      <c r="W25" s="4"/>
      <c r="X25" s="4">
        <f t="shared" ref="X25:X26" si="14">+P25-T25</f>
        <v>8.26</v>
      </c>
      <c r="Y25" s="4"/>
      <c r="Z25" s="12">
        <f t="shared" ref="Z25:Z26" si="15">IF(T25=0,0,X25/T25)</f>
        <v>0</v>
      </c>
    </row>
    <row r="26" spans="1:26" s="24" customFormat="1" hidden="1" outlineLevel="1" x14ac:dyDescent="0.3">
      <c r="A26" s="44"/>
      <c r="B26" s="11" t="str">
        <f>CONCATENATE("          ", "5500", " - ", "FREIGHT-IN")</f>
        <v xml:space="preserve">          5500 - FREIGHT-IN</v>
      </c>
      <c r="C26" s="11"/>
      <c r="D26" s="2"/>
      <c r="E26" s="2"/>
      <c r="F26" s="19">
        <f t="shared" si="8"/>
        <v>0</v>
      </c>
      <c r="G26" s="2"/>
      <c r="H26" s="2"/>
      <c r="I26" s="2"/>
      <c r="J26" s="19">
        <f t="shared" si="9"/>
        <v>0</v>
      </c>
      <c r="K26" s="2"/>
      <c r="L26" s="2">
        <f t="shared" si="10"/>
        <v>0</v>
      </c>
      <c r="M26" s="2"/>
      <c r="N26" s="19">
        <f t="shared" si="11"/>
        <v>0</v>
      </c>
      <c r="O26" s="11"/>
      <c r="P26" s="2">
        <v>8.26</v>
      </c>
      <c r="Q26" s="2"/>
      <c r="R26" s="19">
        <f t="shared" si="12"/>
        <v>8.3469155974244218E-5</v>
      </c>
      <c r="S26" s="2"/>
      <c r="T26" s="2"/>
      <c r="U26" s="2"/>
      <c r="V26" s="19">
        <f t="shared" si="13"/>
        <v>0</v>
      </c>
      <c r="W26" s="2"/>
      <c r="X26" s="2">
        <f t="shared" si="14"/>
        <v>8.26</v>
      </c>
      <c r="Y26" s="2"/>
      <c r="Z26" s="19">
        <f t="shared" si="15"/>
        <v>0</v>
      </c>
    </row>
    <row r="27" spans="1:26" x14ac:dyDescent="0.3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10"/>
      <c r="B28" s="26" t="s">
        <v>107</v>
      </c>
      <c r="C28" s="26"/>
      <c r="D28" s="20">
        <f>D12-D25</f>
        <v>7749.7099999999991</v>
      </c>
      <c r="E28" s="13"/>
      <c r="F28" s="21">
        <f>IF(D$12=0,0,D28/D$12)</f>
        <v>1</v>
      </c>
      <c r="G28" s="13"/>
      <c r="H28" s="20">
        <f>H12-H25</f>
        <v>1256.8100000000002</v>
      </c>
      <c r="I28" s="13"/>
      <c r="J28" s="21">
        <f>IF(H$12=0,0,H28/H$12)</f>
        <v>1</v>
      </c>
      <c r="K28" s="15"/>
      <c r="L28" s="20">
        <f>+D28-H28</f>
        <v>6492.8999999999987</v>
      </c>
      <c r="M28" s="15"/>
      <c r="N28" s="21">
        <f>IF(H28=0,0,L28/H28)</f>
        <v>5.1661746803414976</v>
      </c>
      <c r="O28" s="25"/>
      <c r="P28" s="20">
        <f>P12-P25</f>
        <v>98950.45</v>
      </c>
      <c r="Q28" s="13"/>
      <c r="R28" s="21">
        <f>IF(P$12=0,0,P28/P$12)</f>
        <v>0.99991653084402576</v>
      </c>
      <c r="S28" s="13"/>
      <c r="T28" s="20">
        <f>T12-T25</f>
        <v>74829.719999999987</v>
      </c>
      <c r="U28" s="13"/>
      <c r="V28" s="21">
        <f>IF(T$12=0,0,T28/T$12)</f>
        <v>1</v>
      </c>
      <c r="W28" s="15"/>
      <c r="X28" s="20">
        <f>+P28-T28</f>
        <v>24120.73000000001</v>
      </c>
      <c r="Y28" s="15"/>
      <c r="Z28" s="21">
        <f>IF(T28=0,0,X28/T28)</f>
        <v>0.32234157765123289</v>
      </c>
    </row>
    <row r="29" spans="1:26" x14ac:dyDescent="0.3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3">
      <c r="A30" s="10"/>
      <c r="B30" s="25" t="s">
        <v>294</v>
      </c>
      <c r="C30" s="10"/>
      <c r="D30" s="22">
        <f>SUM(OSRRefD22x_0)</f>
        <v>17624.769999999997</v>
      </c>
      <c r="E30" s="22"/>
      <c r="F30" s="34">
        <f t="shared" ref="F30:F39" si="16">IF(D$12=0,0,D30/D$12)</f>
        <v>2.2742489718970127</v>
      </c>
      <c r="G30" s="22"/>
      <c r="H30" s="22">
        <f>SUM(OSRRefH22x_0)</f>
        <v>31938.720000000001</v>
      </c>
      <c r="I30" s="22"/>
      <c r="J30" s="34">
        <f t="shared" ref="J30:J39" si="17">IF(H$12=0,0,H30/H$12)</f>
        <v>25.412528544489618</v>
      </c>
      <c r="K30" s="4"/>
      <c r="L30" s="22">
        <f t="shared" ref="L30:L39" si="18">+D30-H30</f>
        <v>-14313.950000000004</v>
      </c>
      <c r="M30" s="4"/>
      <c r="N30" s="34">
        <f t="shared" ref="N30:N39" si="19">IF(H30=0,0,L30/H30)</f>
        <v>-0.4481691814825392</v>
      </c>
      <c r="O30" s="10"/>
      <c r="P30" s="22">
        <f>SUM(OSRRefP22x_0)</f>
        <v>142997.83999999997</v>
      </c>
      <c r="Q30" s="22"/>
      <c r="R30" s="34">
        <f t="shared" ref="R30:R39" si="20">IF(P$12=0,0,P30/P$12)</f>
        <v>1.4450253039878953</v>
      </c>
      <c r="S30" s="22"/>
      <c r="T30" s="22">
        <f>SUM(OSRRefT22x_0)</f>
        <v>192124.46</v>
      </c>
      <c r="U30" s="22"/>
      <c r="V30" s="34">
        <f t="shared" ref="V30:V39" si="21">IF(T$12=0,0,T30/T$12)</f>
        <v>2.5674886929952434</v>
      </c>
      <c r="W30" s="4"/>
      <c r="X30" s="22">
        <f t="shared" ref="X30:X39" si="22">+P30-T30</f>
        <v>-49126.620000000024</v>
      </c>
      <c r="Y30" s="4"/>
      <c r="Z30" s="34">
        <f t="shared" ref="Z30:Z39" si="23">IF(T30=0,0,X30/T30)</f>
        <v>-0.25570205896740072</v>
      </c>
    </row>
    <row r="31" spans="1:26" s="29" customFormat="1" outlineLevel="1" collapsed="1" x14ac:dyDescent="0.3">
      <c r="A31" s="27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SUM(OSRRefD22_0x_0)</f>
        <v>4512.1400000000003</v>
      </c>
      <c r="E31" s="1"/>
      <c r="F31" s="5">
        <f t="shared" si="16"/>
        <v>0.58223339970140831</v>
      </c>
      <c r="G31" s="1"/>
      <c r="H31" s="1">
        <f>SUM(OSRRefH22_0x_0)</f>
        <v>8896.2999999999993</v>
      </c>
      <c r="I31" s="1"/>
      <c r="J31" s="5">
        <f t="shared" si="17"/>
        <v>7.0784764602445858</v>
      </c>
      <c r="K31" s="1"/>
      <c r="L31" s="1">
        <f t="shared" si="18"/>
        <v>-4384.1599999999989</v>
      </c>
      <c r="M31" s="1"/>
      <c r="N31" s="5">
        <f t="shared" si="19"/>
        <v>-0.49280712206198074</v>
      </c>
      <c r="O31" s="14"/>
      <c r="P31" s="1">
        <f>SUM(OSRRefP22_0x_0)</f>
        <v>52347.419999999991</v>
      </c>
      <c r="Q31" s="1"/>
      <c r="R31" s="5">
        <f t="shared" si="20"/>
        <v>0.5289824412626235</v>
      </c>
      <c r="S31" s="1"/>
      <c r="T31" s="1">
        <f>SUM(OSRRefT22_0x_0)</f>
        <v>54708.87</v>
      </c>
      <c r="U31" s="1"/>
      <c r="V31" s="5">
        <f t="shared" si="21"/>
        <v>0.73111151558498433</v>
      </c>
      <c r="W31" s="1"/>
      <c r="X31" s="1">
        <f t="shared" si="22"/>
        <v>-2361.4500000000116</v>
      </c>
      <c r="Y31" s="1"/>
      <c r="Z31" s="5">
        <f t="shared" si="23"/>
        <v>-4.3163933014884269E-2</v>
      </c>
    </row>
    <row r="32" spans="1:26" s="24" customFormat="1" hidden="1" outlineLevel="2" x14ac:dyDescent="0.3">
      <c r="A32" s="28"/>
      <c r="B32" s="11" t="str">
        <f>CONCATENATE("          ", "6111", " - ", "F.I.C.A.")</f>
        <v xml:space="preserve">          6111 - F.I.C.A.</v>
      </c>
      <c r="C32" s="11"/>
      <c r="D32" s="6">
        <v>690.61</v>
      </c>
      <c r="E32" s="2"/>
      <c r="F32" s="7">
        <f t="shared" si="16"/>
        <v>8.9114302341636017E-2</v>
      </c>
      <c r="G32" s="2"/>
      <c r="H32" s="6">
        <v>1206.3</v>
      </c>
      <c r="I32" s="2"/>
      <c r="J32" s="7">
        <f t="shared" si="17"/>
        <v>0.95981094994470106</v>
      </c>
      <c r="K32" s="2"/>
      <c r="L32" s="6">
        <f t="shared" si="18"/>
        <v>-515.68999999999994</v>
      </c>
      <c r="M32" s="2"/>
      <c r="N32" s="7">
        <f t="shared" si="19"/>
        <v>-0.42749730581115808</v>
      </c>
      <c r="O32" s="11"/>
      <c r="P32" s="6">
        <v>9162.2900000000009</v>
      </c>
      <c r="Q32" s="2"/>
      <c r="R32" s="7">
        <f t="shared" si="20"/>
        <v>9.2586999163590575E-2</v>
      </c>
      <c r="S32" s="2"/>
      <c r="T32" s="6">
        <v>7826.77</v>
      </c>
      <c r="U32" s="2"/>
      <c r="V32" s="7">
        <f t="shared" si="21"/>
        <v>0.10459440446924032</v>
      </c>
      <c r="W32" s="2"/>
      <c r="X32" s="6">
        <f t="shared" si="22"/>
        <v>1335.5200000000004</v>
      </c>
      <c r="Y32" s="2"/>
      <c r="Z32" s="7">
        <f t="shared" si="23"/>
        <v>0.17063488514419106</v>
      </c>
    </row>
    <row r="33" spans="1:26" s="24" customFormat="1" hidden="1" outlineLevel="2" x14ac:dyDescent="0.3">
      <c r="A33" s="28"/>
      <c r="B33" s="11" t="str">
        <f>CONCATENATE("          ", "6112", " - ", "COMPENSATION INSURANCE")</f>
        <v xml:space="preserve">          6112 - COMPENSATION INSURANCE</v>
      </c>
      <c r="C33" s="11"/>
      <c r="D33" s="6">
        <v>172.02</v>
      </c>
      <c r="E33" s="2"/>
      <c r="F33" s="7">
        <f t="shared" si="16"/>
        <v>2.2196959628166736E-2</v>
      </c>
      <c r="G33" s="2"/>
      <c r="H33" s="6">
        <v>556.65</v>
      </c>
      <c r="I33" s="2"/>
      <c r="J33" s="7">
        <f t="shared" si="17"/>
        <v>0.44290704243282586</v>
      </c>
      <c r="K33" s="2"/>
      <c r="L33" s="6">
        <f t="shared" si="18"/>
        <v>-384.63</v>
      </c>
      <c r="M33" s="2"/>
      <c r="N33" s="7">
        <f t="shared" si="19"/>
        <v>-0.69097278361627601</v>
      </c>
      <c r="O33" s="11"/>
      <c r="P33" s="6">
        <v>2010.06</v>
      </c>
      <c r="Q33" s="2"/>
      <c r="R33" s="7">
        <f t="shared" si="20"/>
        <v>2.0312107948860694E-2</v>
      </c>
      <c r="S33" s="2"/>
      <c r="T33" s="6">
        <v>2343.9499999999998</v>
      </c>
      <c r="U33" s="2"/>
      <c r="V33" s="7">
        <f t="shared" si="21"/>
        <v>3.1323784186283204E-2</v>
      </c>
      <c r="W33" s="2"/>
      <c r="X33" s="6">
        <f t="shared" si="22"/>
        <v>-333.88999999999987</v>
      </c>
      <c r="Y33" s="2"/>
      <c r="Z33" s="7">
        <f t="shared" si="23"/>
        <v>-0.14244757780669379</v>
      </c>
    </row>
    <row r="34" spans="1:26" s="24" customFormat="1" hidden="1" outlineLevel="2" x14ac:dyDescent="0.3">
      <c r="A34" s="28"/>
      <c r="B34" s="11" t="str">
        <f>CONCATENATE("          ", "6113", " - ", "GROUP INSURANCE")</f>
        <v xml:space="preserve">          6113 - GROUP INSURANCE</v>
      </c>
      <c r="C34" s="11"/>
      <c r="D34" s="6">
        <v>1393.42</v>
      </c>
      <c r="E34" s="2"/>
      <c r="F34" s="7">
        <f t="shared" si="16"/>
        <v>0.17980285713917041</v>
      </c>
      <c r="G34" s="2"/>
      <c r="H34" s="6">
        <v>3423.78</v>
      </c>
      <c r="I34" s="2"/>
      <c r="J34" s="7">
        <f t="shared" si="17"/>
        <v>2.7241826529069626</v>
      </c>
      <c r="K34" s="2"/>
      <c r="L34" s="6">
        <f t="shared" si="18"/>
        <v>-2030.3600000000001</v>
      </c>
      <c r="M34" s="2"/>
      <c r="N34" s="7">
        <f t="shared" si="19"/>
        <v>-0.59301707469521991</v>
      </c>
      <c r="O34" s="11"/>
      <c r="P34" s="6">
        <v>17886.02</v>
      </c>
      <c r="Q34" s="2"/>
      <c r="R34" s="7">
        <f t="shared" si="20"/>
        <v>0.18074225098528468</v>
      </c>
      <c r="S34" s="2"/>
      <c r="T34" s="6">
        <v>19741.330000000002</v>
      </c>
      <c r="U34" s="2"/>
      <c r="V34" s="7">
        <f t="shared" si="21"/>
        <v>0.26381670277531449</v>
      </c>
      <c r="W34" s="2"/>
      <c r="X34" s="6">
        <f t="shared" si="22"/>
        <v>-1855.3100000000013</v>
      </c>
      <c r="Y34" s="2"/>
      <c r="Z34" s="7">
        <f t="shared" si="23"/>
        <v>-9.3981003306261593E-2</v>
      </c>
    </row>
    <row r="35" spans="1:26" s="24" customFormat="1" hidden="1" outlineLevel="2" x14ac:dyDescent="0.3">
      <c r="A35" s="28"/>
      <c r="B35" s="11" t="str">
        <f>CONCATENATE("          ", "6114", " - ", "STATE UNEMPLOYMENT INSURANCE")</f>
        <v xml:space="preserve">          6114 - STATE UNEMPLOYMENT INSURANCE</v>
      </c>
      <c r="C35" s="11"/>
      <c r="D35" s="6">
        <v>30.22</v>
      </c>
      <c r="E35" s="2"/>
      <c r="F35" s="7">
        <f t="shared" si="16"/>
        <v>3.8995007555121422E-3</v>
      </c>
      <c r="G35" s="2"/>
      <c r="H35" s="6"/>
      <c r="I35" s="2"/>
      <c r="J35" s="7">
        <f t="shared" si="17"/>
        <v>0</v>
      </c>
      <c r="K35" s="2"/>
      <c r="L35" s="6">
        <f t="shared" si="18"/>
        <v>30.22</v>
      </c>
      <c r="M35" s="2"/>
      <c r="N35" s="7">
        <f t="shared" si="19"/>
        <v>0</v>
      </c>
      <c r="O35" s="11"/>
      <c r="P35" s="6">
        <v>353.12</v>
      </c>
      <c r="Q35" s="2"/>
      <c r="R35" s="7">
        <f t="shared" si="20"/>
        <v>3.5683569440224114E-3</v>
      </c>
      <c r="S35" s="2"/>
      <c r="T35" s="6">
        <v>251.18</v>
      </c>
      <c r="U35" s="2"/>
      <c r="V35" s="7">
        <f t="shared" si="21"/>
        <v>3.3566876903989491E-3</v>
      </c>
      <c r="W35" s="2"/>
      <c r="X35" s="6">
        <f t="shared" si="22"/>
        <v>101.94</v>
      </c>
      <c r="Y35" s="2"/>
      <c r="Z35" s="7">
        <f t="shared" si="23"/>
        <v>0.40584441436420093</v>
      </c>
    </row>
    <row r="36" spans="1:26" s="24" customFormat="1" hidden="1" outlineLevel="2" x14ac:dyDescent="0.3">
      <c r="A36" s="28"/>
      <c r="B36" s="11" t="str">
        <f>CONCATENATE("          ", "6115", " - ", "P.E.R.S.")</f>
        <v xml:space="preserve">          6115 - P.E.R.S.</v>
      </c>
      <c r="C36" s="11"/>
      <c r="D36" s="6">
        <v>810.13</v>
      </c>
      <c r="E36" s="2"/>
      <c r="F36" s="7">
        <f t="shared" si="16"/>
        <v>0.10453681492597788</v>
      </c>
      <c r="G36" s="2"/>
      <c r="H36" s="6">
        <v>1385.13</v>
      </c>
      <c r="I36" s="2"/>
      <c r="J36" s="7">
        <f t="shared" si="17"/>
        <v>1.10209976050477</v>
      </c>
      <c r="K36" s="2"/>
      <c r="L36" s="6">
        <f t="shared" si="18"/>
        <v>-575.00000000000011</v>
      </c>
      <c r="M36" s="2"/>
      <c r="N36" s="7">
        <f t="shared" si="19"/>
        <v>-0.41512349021391498</v>
      </c>
      <c r="O36" s="11"/>
      <c r="P36" s="6">
        <v>11646.04</v>
      </c>
      <c r="Q36" s="2"/>
      <c r="R36" s="7">
        <f t="shared" si="20"/>
        <v>0.11768585099785558</v>
      </c>
      <c r="S36" s="2"/>
      <c r="T36" s="6">
        <v>10064.209999999999</v>
      </c>
      <c r="U36" s="2"/>
      <c r="V36" s="7">
        <f t="shared" si="21"/>
        <v>0.13449482371442792</v>
      </c>
      <c r="W36" s="2"/>
      <c r="X36" s="6">
        <f t="shared" si="22"/>
        <v>1581.8300000000017</v>
      </c>
      <c r="Y36" s="2"/>
      <c r="Z36" s="7">
        <f t="shared" si="23"/>
        <v>0.15717378711294794</v>
      </c>
    </row>
    <row r="37" spans="1:26" s="24" customFormat="1" hidden="1" outlineLevel="2" x14ac:dyDescent="0.3">
      <c r="A37" s="28"/>
      <c r="B37" s="11" t="str">
        <f>CONCATENATE("          ", "6118", " - ", "VACATION")</f>
        <v xml:space="preserve">          6118 - VACATION</v>
      </c>
      <c r="C37" s="11"/>
      <c r="D37" s="6">
        <v>639.32000000000005</v>
      </c>
      <c r="E37" s="2"/>
      <c r="F37" s="7">
        <f t="shared" si="16"/>
        <v>8.2495990172535505E-2</v>
      </c>
      <c r="G37" s="2"/>
      <c r="H37" s="6">
        <v>1216.0999999999999</v>
      </c>
      <c r="I37" s="2"/>
      <c r="J37" s="7">
        <f t="shared" si="17"/>
        <v>0.96760846906055786</v>
      </c>
      <c r="K37" s="2"/>
      <c r="L37" s="6">
        <f t="shared" si="18"/>
        <v>-576.77999999999986</v>
      </c>
      <c r="M37" s="2"/>
      <c r="N37" s="7">
        <f t="shared" si="19"/>
        <v>-0.47428665405805437</v>
      </c>
      <c r="O37" s="11"/>
      <c r="P37" s="6">
        <v>5242.5600000000004</v>
      </c>
      <c r="Q37" s="2"/>
      <c r="R37" s="7">
        <f t="shared" si="20"/>
        <v>5.2977246772921767E-2</v>
      </c>
      <c r="S37" s="2"/>
      <c r="T37" s="6">
        <v>7667.43</v>
      </c>
      <c r="U37" s="2"/>
      <c r="V37" s="7">
        <f t="shared" si="21"/>
        <v>0.10246503661914012</v>
      </c>
      <c r="W37" s="2"/>
      <c r="X37" s="6">
        <f t="shared" si="22"/>
        <v>-2424.87</v>
      </c>
      <c r="Y37" s="2"/>
      <c r="Z37" s="7">
        <f t="shared" si="23"/>
        <v>-0.31625590321659275</v>
      </c>
    </row>
    <row r="38" spans="1:26" s="24" customFormat="1" hidden="1" outlineLevel="2" x14ac:dyDescent="0.3">
      <c r="A38" s="28"/>
      <c r="B38" s="11" t="str">
        <f>CONCATENATE("          ", "6119", " - ", "SICK LEAVE")</f>
        <v xml:space="preserve">          6119 - SICK LEAVE</v>
      </c>
      <c r="C38" s="11"/>
      <c r="D38" s="6">
        <v>410.1</v>
      </c>
      <c r="E38" s="2"/>
      <c r="F38" s="7">
        <f t="shared" si="16"/>
        <v>5.2918109193763385E-2</v>
      </c>
      <c r="G38" s="2"/>
      <c r="H38" s="6">
        <v>738.5</v>
      </c>
      <c r="I38" s="2"/>
      <c r="J38" s="7">
        <f t="shared" si="17"/>
        <v>0.587598761944924</v>
      </c>
      <c r="K38" s="2"/>
      <c r="L38" s="6">
        <f t="shared" si="18"/>
        <v>-328.4</v>
      </c>
      <c r="M38" s="2"/>
      <c r="N38" s="7">
        <f t="shared" si="19"/>
        <v>-0.44468517264725793</v>
      </c>
      <c r="O38" s="11"/>
      <c r="P38" s="6">
        <v>3455.13</v>
      </c>
      <c r="Q38" s="2"/>
      <c r="R38" s="7">
        <f t="shared" si="20"/>
        <v>3.4914864997734919E-2</v>
      </c>
      <c r="S38" s="2"/>
      <c r="T38" s="6">
        <v>4694.2700000000004</v>
      </c>
      <c r="U38" s="2"/>
      <c r="V38" s="7">
        <f t="shared" si="21"/>
        <v>6.273269497734324E-2</v>
      </c>
      <c r="W38" s="2"/>
      <c r="X38" s="6">
        <f t="shared" si="22"/>
        <v>-1239.1400000000003</v>
      </c>
      <c r="Y38" s="2"/>
      <c r="Z38" s="7">
        <f t="shared" si="23"/>
        <v>-0.26396862557969614</v>
      </c>
    </row>
    <row r="39" spans="1:26" s="24" customFormat="1" hidden="1" outlineLevel="2" x14ac:dyDescent="0.3">
      <c r="A39" s="28"/>
      <c r="B39" s="11" t="str">
        <f>CONCATENATE("          ", "6156", " - ", "EMPLOYEE MEALS")</f>
        <v xml:space="preserve">          6156 - EMPLOYEE MEALS</v>
      </c>
      <c r="C39" s="11"/>
      <c r="D39" s="6">
        <v>366.32</v>
      </c>
      <c r="E39" s="2"/>
      <c r="F39" s="7">
        <f t="shared" si="16"/>
        <v>4.7268865544646189E-2</v>
      </c>
      <c r="G39" s="2"/>
      <c r="H39" s="6">
        <v>369.84</v>
      </c>
      <c r="I39" s="2"/>
      <c r="J39" s="7">
        <f t="shared" si="17"/>
        <v>0.29426882344984517</v>
      </c>
      <c r="K39" s="2"/>
      <c r="L39" s="6">
        <f t="shared" si="18"/>
        <v>-3.5199999999999818</v>
      </c>
      <c r="M39" s="2"/>
      <c r="N39" s="7">
        <f t="shared" si="19"/>
        <v>-9.5176292450789048E-3</v>
      </c>
      <c r="O39" s="11"/>
      <c r="P39" s="6">
        <v>2592.1999999999998</v>
      </c>
      <c r="Q39" s="2"/>
      <c r="R39" s="7">
        <f t="shared" si="20"/>
        <v>2.6194763452353009E-2</v>
      </c>
      <c r="S39" s="2"/>
      <c r="T39" s="6">
        <v>2119.73</v>
      </c>
      <c r="U39" s="2"/>
      <c r="V39" s="7">
        <f t="shared" si="21"/>
        <v>2.8327381152836072E-2</v>
      </c>
      <c r="W39" s="2"/>
      <c r="X39" s="6">
        <f t="shared" si="22"/>
        <v>472.4699999999998</v>
      </c>
      <c r="Y39" s="2"/>
      <c r="Z39" s="7">
        <f t="shared" si="23"/>
        <v>0.22289159468422856</v>
      </c>
    </row>
    <row r="40" spans="1:26" s="29" customFormat="1" outlineLevel="1" collapsed="1" x14ac:dyDescent="0.3">
      <c r="A40" s="27"/>
      <c r="B40" s="14" t="str">
        <f>CONCATENATE("     ","*Payroll                                          ")</f>
        <v xml:space="preserve">     *Payroll                                          </v>
      </c>
      <c r="C40" s="14"/>
      <c r="D40" s="1">
        <f>SUM(OSRRefD22_1x_0)</f>
        <v>10711.42</v>
      </c>
      <c r="E40" s="1"/>
      <c r="F40" s="5">
        <f t="shared" ref="F40:F43" si="24">IF(D$12=0,0,D40/D$12)</f>
        <v>1.3821704296031725</v>
      </c>
      <c r="G40" s="1"/>
      <c r="H40" s="1">
        <f>SUM(OSRRefH22_1x_0)</f>
        <v>14567.890000000001</v>
      </c>
      <c r="I40" s="1"/>
      <c r="J40" s="5">
        <f t="shared" ref="J40:J43" si="25">IF(H$12=0,0,H40/H$12)</f>
        <v>11.591163342112173</v>
      </c>
      <c r="K40" s="1"/>
      <c r="L40" s="1">
        <f t="shared" ref="L40:L43" si="26">+D40-H40</f>
        <v>-3856.4700000000012</v>
      </c>
      <c r="M40" s="1"/>
      <c r="N40" s="5">
        <f t="shared" ref="N40:N43" si="27">IF(H40=0,0,L40/H40)</f>
        <v>-0.26472399228714666</v>
      </c>
      <c r="O40" s="14"/>
      <c r="P40" s="1">
        <f>SUM(OSRRefP22_1x_0)</f>
        <v>88061.58</v>
      </c>
      <c r="Q40" s="1"/>
      <c r="R40" s="5">
        <f t="shared" ref="R40:R43" si="28">IF(P$12=0,0,P40/P$12)</f>
        <v>0.88988205282789168</v>
      </c>
      <c r="S40" s="1"/>
      <c r="T40" s="1">
        <f>SUM(OSRRefT22_1x_0)</f>
        <v>87263.33</v>
      </c>
      <c r="U40" s="1"/>
      <c r="V40" s="5">
        <f t="shared" ref="V40:V43" si="29">IF(T$12=0,0,T40/T$12)</f>
        <v>1.1661587134095921</v>
      </c>
      <c r="W40" s="1"/>
      <c r="X40" s="1">
        <f t="shared" ref="X40:X43" si="30">+P40-T40</f>
        <v>798.25</v>
      </c>
      <c r="Y40" s="1"/>
      <c r="Z40" s="5">
        <f t="shared" ref="Z40:Z43" si="31">IF(T40=0,0,X40/T40)</f>
        <v>9.147599570174551E-3</v>
      </c>
    </row>
    <row r="41" spans="1:26" s="24" customFormat="1" hidden="1" outlineLevel="2" x14ac:dyDescent="0.3">
      <c r="A41" s="28"/>
      <c r="B41" s="11" t="str">
        <f>CONCATENATE("          ", "6002", " - ", "STAFF SALARIES")</f>
        <v xml:space="preserve">          6002 - STAFF SALARIES</v>
      </c>
      <c r="C41" s="11"/>
      <c r="D41" s="6">
        <v>7763.16</v>
      </c>
      <c r="E41" s="2"/>
      <c r="F41" s="7">
        <f t="shared" si="24"/>
        <v>1.0017355488140847</v>
      </c>
      <c r="G41" s="2"/>
      <c r="H41" s="6">
        <v>14236.79</v>
      </c>
      <c r="I41" s="2"/>
      <c r="J41" s="7">
        <f t="shared" si="25"/>
        <v>11.327718589126439</v>
      </c>
      <c r="K41" s="2"/>
      <c r="L41" s="6">
        <f t="shared" si="26"/>
        <v>-6473.630000000001</v>
      </c>
      <c r="M41" s="2"/>
      <c r="N41" s="7">
        <f t="shared" si="27"/>
        <v>-0.45471134996020879</v>
      </c>
      <c r="O41" s="11"/>
      <c r="P41" s="6">
        <v>74024.17</v>
      </c>
      <c r="Q41" s="2"/>
      <c r="R41" s="7">
        <f t="shared" si="28"/>
        <v>0.74803087065302287</v>
      </c>
      <c r="S41" s="2"/>
      <c r="T41" s="6">
        <v>83030.710000000006</v>
      </c>
      <c r="U41" s="2"/>
      <c r="V41" s="7">
        <f t="shared" si="29"/>
        <v>1.1095953586355798</v>
      </c>
      <c r="W41" s="2"/>
      <c r="X41" s="6">
        <f t="shared" si="30"/>
        <v>-9006.5400000000081</v>
      </c>
      <c r="Y41" s="2"/>
      <c r="Z41" s="7">
        <f t="shared" si="31"/>
        <v>-0.10847239533420835</v>
      </c>
    </row>
    <row r="42" spans="1:26" s="24" customFormat="1" hidden="1" outlineLevel="2" x14ac:dyDescent="0.3">
      <c r="A42" s="28"/>
      <c r="B42" s="11" t="str">
        <f>CONCATENATE("          ", "6005", " - ", "TEMPORARY WAGES-HOURLY")</f>
        <v xml:space="preserve">          6005 - TEMPORARY WAGES-HOURLY</v>
      </c>
      <c r="C42" s="11"/>
      <c r="D42" s="6"/>
      <c r="E42" s="2"/>
      <c r="F42" s="7">
        <f t="shared" si="24"/>
        <v>0</v>
      </c>
      <c r="G42" s="2"/>
      <c r="H42" s="6"/>
      <c r="I42" s="2"/>
      <c r="J42" s="7">
        <f t="shared" si="25"/>
        <v>0</v>
      </c>
      <c r="K42" s="2"/>
      <c r="L42" s="6">
        <f t="shared" si="26"/>
        <v>0</v>
      </c>
      <c r="M42" s="2"/>
      <c r="N42" s="7">
        <f t="shared" si="27"/>
        <v>0</v>
      </c>
      <c r="O42" s="11"/>
      <c r="P42" s="6"/>
      <c r="Q42" s="2"/>
      <c r="R42" s="7">
        <f t="shared" si="28"/>
        <v>0</v>
      </c>
      <c r="S42" s="2"/>
      <c r="T42" s="6">
        <v>383.25</v>
      </c>
      <c r="U42" s="2"/>
      <c r="V42" s="7">
        <f t="shared" si="29"/>
        <v>5.1216281445393627E-3</v>
      </c>
      <c r="W42" s="2"/>
      <c r="X42" s="6">
        <f t="shared" si="30"/>
        <v>-383.25</v>
      </c>
      <c r="Y42" s="2"/>
      <c r="Z42" s="7">
        <f t="shared" si="31"/>
        <v>-1</v>
      </c>
    </row>
    <row r="43" spans="1:26" s="24" customFormat="1" hidden="1" outlineLevel="2" x14ac:dyDescent="0.3">
      <c r="A43" s="28"/>
      <c r="B43" s="11" t="str">
        <f>CONCATENATE("          ", "6007", " - ", "STUDENT HOURLY")</f>
        <v xml:space="preserve">          6007 - STUDENT HOURLY</v>
      </c>
      <c r="C43" s="11"/>
      <c r="D43" s="6">
        <v>2948.26</v>
      </c>
      <c r="E43" s="2"/>
      <c r="F43" s="7">
        <f t="shared" si="24"/>
        <v>0.38043488078908766</v>
      </c>
      <c r="G43" s="2"/>
      <c r="H43" s="6">
        <v>331.1</v>
      </c>
      <c r="I43" s="2"/>
      <c r="J43" s="7">
        <f t="shared" si="25"/>
        <v>0.26344475298573372</v>
      </c>
      <c r="K43" s="2"/>
      <c r="L43" s="6">
        <f t="shared" si="26"/>
        <v>2617.1600000000003</v>
      </c>
      <c r="M43" s="2"/>
      <c r="N43" s="7">
        <f t="shared" si="27"/>
        <v>7.9044397463002118</v>
      </c>
      <c r="O43" s="11"/>
      <c r="P43" s="6">
        <v>14037.41</v>
      </c>
      <c r="Q43" s="2"/>
      <c r="R43" s="7">
        <f t="shared" si="28"/>
        <v>0.1418511821748687</v>
      </c>
      <c r="S43" s="2"/>
      <c r="T43" s="6">
        <v>3849.37</v>
      </c>
      <c r="U43" s="2"/>
      <c r="V43" s="7">
        <f t="shared" si="29"/>
        <v>5.1441726629472898E-2</v>
      </c>
      <c r="W43" s="2"/>
      <c r="X43" s="6">
        <f t="shared" si="30"/>
        <v>10188.040000000001</v>
      </c>
      <c r="Y43" s="2"/>
      <c r="Z43" s="7">
        <f t="shared" si="31"/>
        <v>2.6466772484848171</v>
      </c>
    </row>
    <row r="44" spans="1:26" s="29" customFormat="1" outlineLevel="1" collapsed="1" x14ac:dyDescent="0.3">
      <c r="A44" s="27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4" si="32">IF(D$12=0,0,D44/D$12)</f>
        <v>0</v>
      </c>
      <c r="G44" s="1"/>
      <c r="H44" s="1">
        <f>SUM(OSRRefH22_2x_0)</f>
        <v>0</v>
      </c>
      <c r="I44" s="1"/>
      <c r="J44" s="5">
        <f t="shared" ref="J44:J54" si="33">IF(H$12=0,0,H44/H$12)</f>
        <v>0</v>
      </c>
      <c r="K44" s="1"/>
      <c r="L44" s="1">
        <f t="shared" ref="L44:L54" si="34">+D44-H44</f>
        <v>0</v>
      </c>
      <c r="M44" s="1"/>
      <c r="N44" s="5">
        <f t="shared" ref="N44:N54" si="35">IF(H44=0,0,L44/H44)</f>
        <v>0</v>
      </c>
      <c r="O44" s="14"/>
      <c r="P44" s="1">
        <f>SUM(OSRRefP22_2x_0)</f>
        <v>97.75</v>
      </c>
      <c r="Q44" s="1"/>
      <c r="R44" s="5">
        <f t="shared" ref="R44:R54" si="36">IF(P$12=0,0,P44/P$12)</f>
        <v>9.8778571385985136E-4</v>
      </c>
      <c r="S44" s="1"/>
      <c r="T44" s="1">
        <f>SUM(OSRRefT22_2x_0)</f>
        <v>0</v>
      </c>
      <c r="U44" s="1"/>
      <c r="V44" s="5">
        <f t="shared" ref="V44:V54" si="37">IF(T$12=0,0,T44/T$12)</f>
        <v>0</v>
      </c>
      <c r="W44" s="1"/>
      <c r="X44" s="1">
        <f t="shared" ref="X44:X54" si="38">+P44-T44</f>
        <v>97.75</v>
      </c>
      <c r="Y44" s="1"/>
      <c r="Z44" s="5">
        <f t="shared" ref="Z44:Z54" si="39">IF(T44=0,0,X44/T44)</f>
        <v>0</v>
      </c>
    </row>
    <row r="45" spans="1:26" s="24" customFormat="1" hidden="1" outlineLevel="2" x14ac:dyDescent="0.3">
      <c r="A45" s="28"/>
      <c r="B45" s="11" t="str">
        <f>CONCATENATE("          ", "6362", " - ", "ADVERTISING EXPENSE")</f>
        <v xml:space="preserve">          6362 - ADVERTISING EXPENSE</v>
      </c>
      <c r="C45" s="11"/>
      <c r="D45" s="6"/>
      <c r="E45" s="2"/>
      <c r="F45" s="7">
        <f t="shared" si="32"/>
        <v>0</v>
      </c>
      <c r="G45" s="2"/>
      <c r="H45" s="6"/>
      <c r="I45" s="2"/>
      <c r="J45" s="7">
        <f t="shared" si="33"/>
        <v>0</v>
      </c>
      <c r="K45" s="2"/>
      <c r="L45" s="6">
        <f t="shared" si="34"/>
        <v>0</v>
      </c>
      <c r="M45" s="2"/>
      <c r="N45" s="7">
        <f t="shared" si="35"/>
        <v>0</v>
      </c>
      <c r="O45" s="11"/>
      <c r="P45" s="6">
        <v>97.75</v>
      </c>
      <c r="Q45" s="2"/>
      <c r="R45" s="7">
        <f t="shared" si="36"/>
        <v>9.8778571385985136E-4</v>
      </c>
      <c r="S45" s="2"/>
      <c r="T45" s="6"/>
      <c r="U45" s="2"/>
      <c r="V45" s="7">
        <f t="shared" si="37"/>
        <v>0</v>
      </c>
      <c r="W45" s="2"/>
      <c r="X45" s="6">
        <f t="shared" si="38"/>
        <v>97.75</v>
      </c>
      <c r="Y45" s="2"/>
      <c r="Z45" s="7">
        <f t="shared" si="39"/>
        <v>0</v>
      </c>
    </row>
    <row r="46" spans="1:26" s="29" customFormat="1" outlineLevel="1" collapsed="1" x14ac:dyDescent="0.3">
      <c r="A46" s="27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SUM(OSRRefD22_3x_0)</f>
        <v>169.88</v>
      </c>
      <c r="E46" s="1"/>
      <c r="F46" s="5">
        <f t="shared" si="32"/>
        <v>2.1920820262951776E-2</v>
      </c>
      <c r="G46" s="1"/>
      <c r="H46" s="1">
        <f>SUM(OSRRefH22_3x_0)</f>
        <v>169.88</v>
      </c>
      <c r="I46" s="1"/>
      <c r="J46" s="5">
        <f t="shared" si="33"/>
        <v>0.13516760687773011</v>
      </c>
      <c r="K46" s="1"/>
      <c r="L46" s="1">
        <f t="shared" si="34"/>
        <v>0</v>
      </c>
      <c r="M46" s="1"/>
      <c r="N46" s="5">
        <f t="shared" si="35"/>
        <v>0</v>
      </c>
      <c r="O46" s="14"/>
      <c r="P46" s="1">
        <f>SUM(OSRRefP22_3x_0)</f>
        <v>1019.28</v>
      </c>
      <c r="Q46" s="1"/>
      <c r="R46" s="5">
        <f t="shared" si="36"/>
        <v>1.030005342632296E-2</v>
      </c>
      <c r="S46" s="1"/>
      <c r="T46" s="1">
        <f>SUM(OSRRefT22_3x_0)</f>
        <v>1019.28</v>
      </c>
      <c r="U46" s="1"/>
      <c r="V46" s="5">
        <f t="shared" si="37"/>
        <v>1.3621325858228525E-2</v>
      </c>
      <c r="W46" s="1"/>
      <c r="X46" s="1">
        <f t="shared" si="38"/>
        <v>0</v>
      </c>
      <c r="Y46" s="1"/>
      <c r="Z46" s="5">
        <f t="shared" si="39"/>
        <v>0</v>
      </c>
    </row>
    <row r="47" spans="1:26" s="24" customFormat="1" hidden="1" outlineLevel="2" x14ac:dyDescent="0.3">
      <c r="A47" s="28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169.88</v>
      </c>
      <c r="E47" s="2"/>
      <c r="F47" s="7">
        <f t="shared" si="32"/>
        <v>2.1920820262951776E-2</v>
      </c>
      <c r="G47" s="2"/>
      <c r="H47" s="6">
        <v>169.88</v>
      </c>
      <c r="I47" s="2"/>
      <c r="J47" s="7">
        <f t="shared" si="33"/>
        <v>0.13516760687773011</v>
      </c>
      <c r="K47" s="2"/>
      <c r="L47" s="6">
        <f t="shared" si="34"/>
        <v>0</v>
      </c>
      <c r="M47" s="2"/>
      <c r="N47" s="7">
        <f t="shared" si="35"/>
        <v>0</v>
      </c>
      <c r="O47" s="11"/>
      <c r="P47" s="6">
        <v>1019.28</v>
      </c>
      <c r="Q47" s="2"/>
      <c r="R47" s="7">
        <f t="shared" si="36"/>
        <v>1.030005342632296E-2</v>
      </c>
      <c r="S47" s="2"/>
      <c r="T47" s="6">
        <v>1019.28</v>
      </c>
      <c r="U47" s="2"/>
      <c r="V47" s="7">
        <f t="shared" si="37"/>
        <v>1.3621325858228525E-2</v>
      </c>
      <c r="W47" s="2"/>
      <c r="X47" s="6">
        <f t="shared" si="38"/>
        <v>0</v>
      </c>
      <c r="Y47" s="2"/>
      <c r="Z47" s="7">
        <f t="shared" si="39"/>
        <v>0</v>
      </c>
    </row>
    <row r="48" spans="1:26" s="29" customFormat="1" outlineLevel="1" collapsed="1" x14ac:dyDescent="0.3">
      <c r="A48" s="27"/>
      <c r="B48" s="14" t="str">
        <f>CONCATENATE("     ","Discounts and Markdowns                           ")</f>
        <v xml:space="preserve">     Discounts and Markdowns                           </v>
      </c>
      <c r="C48" s="14"/>
      <c r="D48" s="1">
        <f>SUM(OSRRefD22_4x_0)</f>
        <v>0</v>
      </c>
      <c r="E48" s="1"/>
      <c r="F48" s="5">
        <f t="shared" si="32"/>
        <v>0</v>
      </c>
      <c r="G48" s="1"/>
      <c r="H48" s="1">
        <f>SUM(OSRRefH22_4x_0)</f>
        <v>0</v>
      </c>
      <c r="I48" s="1"/>
      <c r="J48" s="5">
        <f t="shared" si="33"/>
        <v>0</v>
      </c>
      <c r="K48" s="1"/>
      <c r="L48" s="1">
        <f t="shared" si="34"/>
        <v>0</v>
      </c>
      <c r="M48" s="1"/>
      <c r="N48" s="5">
        <f t="shared" si="35"/>
        <v>0</v>
      </c>
      <c r="O48" s="14"/>
      <c r="P48" s="1">
        <f>SUM(OSRRefP22_4x_0)</f>
        <v>0</v>
      </c>
      <c r="Q48" s="1"/>
      <c r="R48" s="5">
        <f t="shared" si="36"/>
        <v>0</v>
      </c>
      <c r="S48" s="1"/>
      <c r="T48" s="1">
        <f>SUM(OSRRefT22_4x_0)</f>
        <v>0</v>
      </c>
      <c r="U48" s="1"/>
      <c r="V48" s="5">
        <f t="shared" si="37"/>
        <v>0</v>
      </c>
      <c r="W48" s="1"/>
      <c r="X48" s="1">
        <f t="shared" si="38"/>
        <v>0</v>
      </c>
      <c r="Y48" s="1"/>
      <c r="Z48" s="5">
        <f t="shared" si="39"/>
        <v>0</v>
      </c>
    </row>
    <row r="49" spans="1:26" s="24" customFormat="1" hidden="1" outlineLevel="2" x14ac:dyDescent="0.3">
      <c r="A49" s="28"/>
      <c r="B49" s="11" t="str">
        <f>CONCATENATE("          ", "6382", " - ", "DISCOUNTS/MARK DOWNS")</f>
        <v xml:space="preserve">          6382 - DISCOUNTS/MARK DOWNS</v>
      </c>
      <c r="C49" s="11"/>
      <c r="D49" s="6"/>
      <c r="E49" s="2"/>
      <c r="F49" s="7">
        <f t="shared" si="32"/>
        <v>0</v>
      </c>
      <c r="G49" s="2"/>
      <c r="H49" s="6"/>
      <c r="I49" s="2"/>
      <c r="J49" s="7">
        <f t="shared" si="33"/>
        <v>0</v>
      </c>
      <c r="K49" s="2"/>
      <c r="L49" s="6">
        <f t="shared" si="34"/>
        <v>0</v>
      </c>
      <c r="M49" s="2"/>
      <c r="N49" s="7">
        <f t="shared" si="35"/>
        <v>0</v>
      </c>
      <c r="O49" s="11"/>
      <c r="P49" s="6"/>
      <c r="Q49" s="2"/>
      <c r="R49" s="7">
        <f t="shared" si="36"/>
        <v>0</v>
      </c>
      <c r="S49" s="2"/>
      <c r="T49" s="6">
        <v>0</v>
      </c>
      <c r="U49" s="2"/>
      <c r="V49" s="7">
        <f t="shared" si="37"/>
        <v>0</v>
      </c>
      <c r="W49" s="2"/>
      <c r="X49" s="6">
        <f t="shared" si="38"/>
        <v>0</v>
      </c>
      <c r="Y49" s="2"/>
      <c r="Z49" s="7">
        <f t="shared" si="39"/>
        <v>0</v>
      </c>
    </row>
    <row r="50" spans="1:26" s="29" customFormat="1" outlineLevel="1" collapsed="1" x14ac:dyDescent="0.3">
      <c r="A50" s="27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SUM(OSRRefD22_5x_0)</f>
        <v>1205.6400000000001</v>
      </c>
      <c r="E50" s="1"/>
      <c r="F50" s="5">
        <f t="shared" si="32"/>
        <v>0.15557227302699073</v>
      </c>
      <c r="G50" s="1"/>
      <c r="H50" s="1">
        <f>SUM(OSRRefH22_5x_0)</f>
        <v>1205.6400000000001</v>
      </c>
      <c r="I50" s="1"/>
      <c r="J50" s="5">
        <f t="shared" si="33"/>
        <v>0.95928581090220477</v>
      </c>
      <c r="K50" s="1"/>
      <c r="L50" s="1">
        <f t="shared" si="34"/>
        <v>0</v>
      </c>
      <c r="M50" s="1"/>
      <c r="N50" s="5">
        <f t="shared" si="35"/>
        <v>0</v>
      </c>
      <c r="O50" s="14"/>
      <c r="P50" s="1">
        <f>SUM(OSRRefP22_5x_0)</f>
        <v>7233.84</v>
      </c>
      <c r="Q50" s="1"/>
      <c r="R50" s="5">
        <f t="shared" si="36"/>
        <v>7.3099578602025039E-2</v>
      </c>
      <c r="S50" s="1"/>
      <c r="T50" s="1">
        <f>SUM(OSRRefT22_5x_0)</f>
        <v>7233.84</v>
      </c>
      <c r="U50" s="1"/>
      <c r="V50" s="5">
        <f t="shared" si="37"/>
        <v>9.6670681114402163E-2</v>
      </c>
      <c r="W50" s="1"/>
      <c r="X50" s="1">
        <f t="shared" si="38"/>
        <v>0</v>
      </c>
      <c r="Y50" s="1"/>
      <c r="Z50" s="5">
        <f t="shared" si="39"/>
        <v>0</v>
      </c>
    </row>
    <row r="51" spans="1:26" s="24" customFormat="1" hidden="1" outlineLevel="2" x14ac:dyDescent="0.3">
      <c r="A51" s="28"/>
      <c r="B51" s="11" t="str">
        <f>CONCATENATE("          ", "6351", " - ", "EQUIPMENT RENTAL")</f>
        <v xml:space="preserve">          6351 - EQUIPMENT RENTAL</v>
      </c>
      <c r="C51" s="11"/>
      <c r="D51" s="6">
        <v>1205.6400000000001</v>
      </c>
      <c r="E51" s="2"/>
      <c r="F51" s="7">
        <f t="shared" si="32"/>
        <v>0.15557227302699073</v>
      </c>
      <c r="G51" s="2"/>
      <c r="H51" s="6">
        <v>1205.6400000000001</v>
      </c>
      <c r="I51" s="2"/>
      <c r="J51" s="7">
        <f t="shared" si="33"/>
        <v>0.95928581090220477</v>
      </c>
      <c r="K51" s="2"/>
      <c r="L51" s="6">
        <f t="shared" si="34"/>
        <v>0</v>
      </c>
      <c r="M51" s="2"/>
      <c r="N51" s="7">
        <f t="shared" si="35"/>
        <v>0</v>
      </c>
      <c r="O51" s="11"/>
      <c r="P51" s="6">
        <v>7233.84</v>
      </c>
      <c r="Q51" s="2"/>
      <c r="R51" s="7">
        <f t="shared" si="36"/>
        <v>7.3099578602025039E-2</v>
      </c>
      <c r="S51" s="2"/>
      <c r="T51" s="6">
        <v>7233.84</v>
      </c>
      <c r="U51" s="2"/>
      <c r="V51" s="7">
        <f t="shared" si="37"/>
        <v>9.6670681114402163E-2</v>
      </c>
      <c r="W51" s="2"/>
      <c r="X51" s="6">
        <f t="shared" si="38"/>
        <v>0</v>
      </c>
      <c r="Y51" s="2"/>
      <c r="Z51" s="7">
        <f t="shared" si="39"/>
        <v>0</v>
      </c>
    </row>
    <row r="52" spans="1:26" s="29" customFormat="1" outlineLevel="1" collapsed="1" x14ac:dyDescent="0.3">
      <c r="A52" s="27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SUM(OSRRefD22_6x_0)</f>
        <v>-4174.8600000000006</v>
      </c>
      <c r="E52" s="1"/>
      <c r="F52" s="5">
        <f t="shared" si="32"/>
        <v>-0.53871177115014635</v>
      </c>
      <c r="G52" s="1"/>
      <c r="H52" s="1">
        <f>SUM(OSRRefH22_6x_0)</f>
        <v>107.48999999999978</v>
      </c>
      <c r="I52" s="1"/>
      <c r="J52" s="5">
        <f t="shared" si="33"/>
        <v>8.5526054057494583E-2</v>
      </c>
      <c r="K52" s="1"/>
      <c r="L52" s="1">
        <f t="shared" si="34"/>
        <v>-4282.3500000000004</v>
      </c>
      <c r="M52" s="1"/>
      <c r="N52" s="5">
        <f t="shared" si="35"/>
        <v>-39.83951995534477</v>
      </c>
      <c r="O52" s="14"/>
      <c r="P52" s="1">
        <f>SUM(OSRRefP22_6x_0)</f>
        <v>-47148.020000000004</v>
      </c>
      <c r="Q52" s="1"/>
      <c r="R52" s="5">
        <f t="shared" si="36"/>
        <v>-0.47644133598750438</v>
      </c>
      <c r="S52" s="1"/>
      <c r="T52" s="1">
        <f>SUM(OSRRefT22_6x_0)</f>
        <v>-24733.87999999999</v>
      </c>
      <c r="U52" s="1"/>
      <c r="V52" s="5">
        <f t="shared" si="37"/>
        <v>-0.33053551449878465</v>
      </c>
      <c r="W52" s="1"/>
      <c r="X52" s="1">
        <f t="shared" si="38"/>
        <v>-22414.140000000014</v>
      </c>
      <c r="Y52" s="1"/>
      <c r="Z52" s="5">
        <f t="shared" si="39"/>
        <v>0.90621204598712468</v>
      </c>
    </row>
    <row r="53" spans="1:26" s="24" customFormat="1" hidden="1" outlineLevel="2" x14ac:dyDescent="0.3">
      <c r="A53" s="28"/>
      <c r="B53" s="11" t="str">
        <f>CONCATENATE("          ", "6305", " - ", "FREIGHT OUT")</f>
        <v xml:space="preserve">          6305 - FREIGHT OUT</v>
      </c>
      <c r="C53" s="11"/>
      <c r="D53" s="6">
        <v>10292.709999999999</v>
      </c>
      <c r="E53" s="2"/>
      <c r="F53" s="7">
        <f t="shared" si="32"/>
        <v>1.3281413110942217</v>
      </c>
      <c r="G53" s="2"/>
      <c r="H53" s="6">
        <v>9824.01</v>
      </c>
      <c r="I53" s="2"/>
      <c r="J53" s="7">
        <f t="shared" si="33"/>
        <v>7.8166230376906602</v>
      </c>
      <c r="K53" s="2"/>
      <c r="L53" s="6">
        <f t="shared" si="34"/>
        <v>468.69999999999891</v>
      </c>
      <c r="M53" s="2"/>
      <c r="N53" s="7">
        <f t="shared" si="35"/>
        <v>4.7709641989370825E-2</v>
      </c>
      <c r="O53" s="11"/>
      <c r="P53" s="6">
        <v>72714.61</v>
      </c>
      <c r="Q53" s="2"/>
      <c r="R53" s="7">
        <f t="shared" si="36"/>
        <v>0.7347974726024622</v>
      </c>
      <c r="S53" s="2"/>
      <c r="T53" s="6">
        <v>108062.24</v>
      </c>
      <c r="U53" s="2"/>
      <c r="V53" s="7">
        <f t="shared" si="37"/>
        <v>1.4441085707657335</v>
      </c>
      <c r="W53" s="2"/>
      <c r="X53" s="6">
        <f t="shared" si="38"/>
        <v>-35347.630000000005</v>
      </c>
      <c r="Y53" s="2"/>
      <c r="Z53" s="7">
        <f t="shared" si="39"/>
        <v>-0.32710436133842868</v>
      </c>
    </row>
    <row r="54" spans="1:26" s="24" customFormat="1" hidden="1" outlineLevel="2" x14ac:dyDescent="0.3">
      <c r="A54" s="28"/>
      <c r="B54" s="11" t="str">
        <f>CONCATENATE("          ", "6307", " - ", "POSTAGE")</f>
        <v xml:space="preserve">          6307 - POSTAGE</v>
      </c>
      <c r="C54" s="11"/>
      <c r="D54" s="6">
        <v>-14467.57</v>
      </c>
      <c r="E54" s="2"/>
      <c r="F54" s="7">
        <f t="shared" si="32"/>
        <v>-1.8668530822443681</v>
      </c>
      <c r="G54" s="2"/>
      <c r="H54" s="6">
        <v>-9716.52</v>
      </c>
      <c r="I54" s="2"/>
      <c r="J54" s="7">
        <f t="shared" si="33"/>
        <v>-7.731096983633166</v>
      </c>
      <c r="K54" s="2"/>
      <c r="L54" s="6">
        <f t="shared" si="34"/>
        <v>-4751.0499999999993</v>
      </c>
      <c r="M54" s="2"/>
      <c r="N54" s="7">
        <f t="shared" si="35"/>
        <v>0.48896621424131265</v>
      </c>
      <c r="O54" s="11"/>
      <c r="P54" s="6">
        <v>-119862.63</v>
      </c>
      <c r="Q54" s="2"/>
      <c r="R54" s="7">
        <f t="shared" si="36"/>
        <v>-1.2112388085899666</v>
      </c>
      <c r="S54" s="2"/>
      <c r="T54" s="6">
        <v>-132796.12</v>
      </c>
      <c r="U54" s="2"/>
      <c r="V54" s="7">
        <f t="shared" si="37"/>
        <v>-1.7746440852645182</v>
      </c>
      <c r="W54" s="2"/>
      <c r="X54" s="6">
        <f t="shared" si="38"/>
        <v>12933.489999999991</v>
      </c>
      <c r="Y54" s="2"/>
      <c r="Z54" s="7">
        <f t="shared" si="39"/>
        <v>-9.7393583487228319E-2</v>
      </c>
    </row>
    <row r="55" spans="1:26" s="29" customFormat="1" outlineLevel="1" collapsed="1" x14ac:dyDescent="0.3">
      <c r="A55" s="27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SUM(OSRRefD22_7x_0)</f>
        <v>0</v>
      </c>
      <c r="E55" s="1"/>
      <c r="F55" s="5">
        <f t="shared" ref="F55:F60" si="40">IF(D$12=0,0,D55/D$12)</f>
        <v>0</v>
      </c>
      <c r="G55" s="1"/>
      <c r="H55" s="1">
        <f>SUM(OSRRefH22_7x_0)</f>
        <v>0</v>
      </c>
      <c r="I55" s="1"/>
      <c r="J55" s="5">
        <f t="shared" ref="J55:J60" si="41">IF(H$12=0,0,H55/H$12)</f>
        <v>0</v>
      </c>
      <c r="K55" s="1"/>
      <c r="L55" s="1">
        <f t="shared" ref="L55:L60" si="42">+D55-H55</f>
        <v>0</v>
      </c>
      <c r="M55" s="1"/>
      <c r="N55" s="5">
        <f t="shared" ref="N55:N60" si="43">IF(H55=0,0,L55/H55)</f>
        <v>0</v>
      </c>
      <c r="O55" s="14"/>
      <c r="P55" s="1">
        <f>SUM(OSRRefP22_7x_0)</f>
        <v>91.31</v>
      </c>
      <c r="Q55" s="1"/>
      <c r="R55" s="5">
        <f t="shared" ref="R55:R60" si="44">IF(P$12=0,0,P55/P$12)</f>
        <v>9.2270806682908464E-4</v>
      </c>
      <c r="S55" s="1"/>
      <c r="T55" s="1">
        <f>SUM(OSRRefT22_7x_0)</f>
        <v>0</v>
      </c>
      <c r="U55" s="1"/>
      <c r="V55" s="5">
        <f t="shared" ref="V55:V60" si="45">IF(T$12=0,0,T55/T$12)</f>
        <v>0</v>
      </c>
      <c r="W55" s="1"/>
      <c r="X55" s="1">
        <f t="shared" ref="X55:X60" si="46">+P55-T55</f>
        <v>91.31</v>
      </c>
      <c r="Y55" s="1"/>
      <c r="Z55" s="5">
        <f t="shared" ref="Z55:Z60" si="47">IF(T55=0,0,X55/T55)</f>
        <v>0</v>
      </c>
    </row>
    <row r="56" spans="1:26" s="24" customFormat="1" hidden="1" outlineLevel="2" x14ac:dyDescent="0.3">
      <c r="A56" s="28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40"/>
        <v>0</v>
      </c>
      <c r="G56" s="2"/>
      <c r="H56" s="6"/>
      <c r="I56" s="2"/>
      <c r="J56" s="7">
        <f t="shared" si="41"/>
        <v>0</v>
      </c>
      <c r="K56" s="2"/>
      <c r="L56" s="6">
        <f t="shared" si="42"/>
        <v>0</v>
      </c>
      <c r="M56" s="2"/>
      <c r="N56" s="7">
        <f t="shared" si="43"/>
        <v>0</v>
      </c>
      <c r="O56" s="11"/>
      <c r="P56" s="6">
        <v>91.31</v>
      </c>
      <c r="Q56" s="2"/>
      <c r="R56" s="7">
        <f t="shared" si="44"/>
        <v>9.2270806682908464E-4</v>
      </c>
      <c r="S56" s="2"/>
      <c r="T56" s="6"/>
      <c r="U56" s="2"/>
      <c r="V56" s="7">
        <f t="shared" si="45"/>
        <v>0</v>
      </c>
      <c r="W56" s="2"/>
      <c r="X56" s="6">
        <f t="shared" si="46"/>
        <v>91.31</v>
      </c>
      <c r="Y56" s="2"/>
      <c r="Z56" s="7">
        <f t="shared" si="47"/>
        <v>0</v>
      </c>
    </row>
    <row r="57" spans="1:26" s="29" customFormat="1" outlineLevel="1" collapsed="1" x14ac:dyDescent="0.3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SUM(OSRRefD22_8x_0)</f>
        <v>700.73</v>
      </c>
      <c r="E57" s="1"/>
      <c r="F57" s="5">
        <f t="shared" si="40"/>
        <v>9.0420157657512365E-2</v>
      </c>
      <c r="G57" s="1"/>
      <c r="H57" s="1">
        <f>SUM(OSRRefH22_8x_0)</f>
        <v>4858.63</v>
      </c>
      <c r="I57" s="1"/>
      <c r="J57" s="5">
        <f t="shared" si="41"/>
        <v>3.8658428879464672</v>
      </c>
      <c r="K57" s="1"/>
      <c r="L57" s="1">
        <f t="shared" si="42"/>
        <v>-4157.8999999999996</v>
      </c>
      <c r="M57" s="1"/>
      <c r="N57" s="5">
        <f t="shared" si="43"/>
        <v>-0.85577621675245896</v>
      </c>
      <c r="O57" s="14"/>
      <c r="P57" s="1">
        <f>SUM(OSRRefP22_8x_0)</f>
        <v>13228.75</v>
      </c>
      <c r="Q57" s="1"/>
      <c r="R57" s="5">
        <f t="shared" si="44"/>
        <v>0.13367949117364203</v>
      </c>
      <c r="S57" s="1"/>
      <c r="T57" s="1">
        <f>SUM(OSRRefT22_8x_0)</f>
        <v>29379.51</v>
      </c>
      <c r="U57" s="1"/>
      <c r="V57" s="5">
        <f t="shared" si="45"/>
        <v>0.39261820036210215</v>
      </c>
      <c r="W57" s="1"/>
      <c r="X57" s="1">
        <f t="shared" si="46"/>
        <v>-16150.759999999998</v>
      </c>
      <c r="Y57" s="1"/>
      <c r="Z57" s="5">
        <f t="shared" si="47"/>
        <v>-0.54972870548215402</v>
      </c>
    </row>
    <row r="58" spans="1:26" s="24" customFormat="1" hidden="1" outlineLevel="2" x14ac:dyDescent="0.3">
      <c r="A58" s="28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40"/>
        <v>0</v>
      </c>
      <c r="G58" s="2"/>
      <c r="H58" s="6"/>
      <c r="I58" s="2"/>
      <c r="J58" s="7">
        <f t="shared" si="41"/>
        <v>0</v>
      </c>
      <c r="K58" s="2"/>
      <c r="L58" s="6">
        <f t="shared" si="42"/>
        <v>0</v>
      </c>
      <c r="M58" s="2"/>
      <c r="N58" s="7">
        <f t="shared" si="43"/>
        <v>0</v>
      </c>
      <c r="O58" s="11"/>
      <c r="P58" s="6"/>
      <c r="Q58" s="2"/>
      <c r="R58" s="7">
        <f t="shared" si="44"/>
        <v>0</v>
      </c>
      <c r="S58" s="2"/>
      <c r="T58" s="6">
        <v>7.69</v>
      </c>
      <c r="U58" s="2"/>
      <c r="V58" s="7">
        <f t="shared" si="45"/>
        <v>1.0276665474626929E-4</v>
      </c>
      <c r="W58" s="2"/>
      <c r="X58" s="6">
        <f t="shared" si="46"/>
        <v>-7.69</v>
      </c>
      <c r="Y58" s="2"/>
      <c r="Z58" s="7">
        <f t="shared" si="47"/>
        <v>-1</v>
      </c>
    </row>
    <row r="59" spans="1:26" s="24" customFormat="1" hidden="1" outlineLevel="2" x14ac:dyDescent="0.3">
      <c r="A59" s="28"/>
      <c r="B59" s="11" t="str">
        <f>CONCATENATE("          ", "6373", " - ", "MAINTENANCE CONTRACTS")</f>
        <v xml:space="preserve">          6373 - MAINTENANCE CONTRACTS</v>
      </c>
      <c r="C59" s="11"/>
      <c r="D59" s="6">
        <v>700.73</v>
      </c>
      <c r="E59" s="2"/>
      <c r="F59" s="7">
        <f t="shared" si="40"/>
        <v>9.0420157657512365E-2</v>
      </c>
      <c r="G59" s="2"/>
      <c r="H59" s="6">
        <v>4858.63</v>
      </c>
      <c r="I59" s="2"/>
      <c r="J59" s="7">
        <f t="shared" si="41"/>
        <v>3.8658428879464672</v>
      </c>
      <c r="K59" s="2"/>
      <c r="L59" s="6">
        <f t="shared" si="42"/>
        <v>-4157.8999999999996</v>
      </c>
      <c r="M59" s="2"/>
      <c r="N59" s="7">
        <f t="shared" si="43"/>
        <v>-0.85577621675245896</v>
      </c>
      <c r="O59" s="11"/>
      <c r="P59" s="6">
        <v>5331.14</v>
      </c>
      <c r="Q59" s="2"/>
      <c r="R59" s="7">
        <f t="shared" si="44"/>
        <v>5.3872367576335636E-2</v>
      </c>
      <c r="S59" s="2"/>
      <c r="T59" s="6">
        <v>29371.82</v>
      </c>
      <c r="U59" s="2"/>
      <c r="V59" s="7">
        <f t="shared" si="45"/>
        <v>0.39251543370735592</v>
      </c>
      <c r="W59" s="2"/>
      <c r="X59" s="6">
        <f t="shared" si="46"/>
        <v>-24040.68</v>
      </c>
      <c r="Y59" s="2"/>
      <c r="Z59" s="7">
        <f t="shared" si="47"/>
        <v>-0.81849473406823281</v>
      </c>
    </row>
    <row r="60" spans="1:26" s="24" customFormat="1" hidden="1" outlineLevel="2" x14ac:dyDescent="0.3">
      <c r="A60" s="28"/>
      <c r="B60" s="11" t="str">
        <f>CONCATENATE("          ", "6375", " - ", "OUTSIDE REPAIRS &amp; MAINTENANCE")</f>
        <v xml:space="preserve">          6375 - OUTSIDE REPAIRS &amp; MAINTENANCE</v>
      </c>
      <c r="C60" s="11"/>
      <c r="D60" s="6"/>
      <c r="E60" s="2"/>
      <c r="F60" s="7">
        <f t="shared" si="40"/>
        <v>0</v>
      </c>
      <c r="G60" s="2"/>
      <c r="H60" s="6"/>
      <c r="I60" s="2"/>
      <c r="J60" s="7">
        <f t="shared" si="41"/>
        <v>0</v>
      </c>
      <c r="K60" s="2"/>
      <c r="L60" s="6">
        <f t="shared" si="42"/>
        <v>0</v>
      </c>
      <c r="M60" s="2"/>
      <c r="N60" s="7">
        <f t="shared" si="43"/>
        <v>0</v>
      </c>
      <c r="O60" s="11"/>
      <c r="P60" s="6">
        <v>7897.61</v>
      </c>
      <c r="Q60" s="2"/>
      <c r="R60" s="7">
        <f t="shared" si="44"/>
        <v>7.9807123597306392E-2</v>
      </c>
      <c r="S60" s="2"/>
      <c r="T60" s="6"/>
      <c r="U60" s="2"/>
      <c r="V60" s="7">
        <f t="shared" si="45"/>
        <v>0</v>
      </c>
      <c r="W60" s="2"/>
      <c r="X60" s="6">
        <f t="shared" si="46"/>
        <v>7897.61</v>
      </c>
      <c r="Y60" s="2"/>
      <c r="Z60" s="7">
        <f t="shared" si="47"/>
        <v>0</v>
      </c>
    </row>
    <row r="61" spans="1:26" s="29" customFormat="1" outlineLevel="1" collapsed="1" x14ac:dyDescent="0.3">
      <c r="A61" s="27"/>
      <c r="B61" s="14" t="str">
        <f>CONCATENATE("     ","Royalty &amp; Commissions                             ")</f>
        <v xml:space="preserve">     Royalty &amp; Commissions                             </v>
      </c>
      <c r="C61" s="14"/>
      <c r="D61" s="1">
        <f>SUM(OSRRefD22_9x_0)</f>
        <v>1121.23</v>
      </c>
      <c r="E61" s="1"/>
      <c r="F61" s="5">
        <f t="shared" ref="F61:F68" si="48">IF(D$12=0,0,D61/D$12)</f>
        <v>0.14468025255138581</v>
      </c>
      <c r="G61" s="1"/>
      <c r="H61" s="1">
        <f>SUM(OSRRefH22_9x_0)</f>
        <v>5.97</v>
      </c>
      <c r="I61" s="1"/>
      <c r="J61" s="5">
        <f t="shared" ref="J61:J68" si="49">IF(H$12=0,0,H61/H$12)</f>
        <v>4.7501213389454242E-3</v>
      </c>
      <c r="K61" s="1"/>
      <c r="L61" s="1">
        <f t="shared" ref="L61:L68" si="50">+D61-H61</f>
        <v>1115.26</v>
      </c>
      <c r="M61" s="1"/>
      <c r="N61" s="5">
        <f t="shared" ref="N61:N68" si="51">IF(H61=0,0,L61/H61)</f>
        <v>186.81072026800672</v>
      </c>
      <c r="O61" s="14"/>
      <c r="P61" s="1">
        <f>SUM(OSRRefP22_9x_0)</f>
        <v>5614.14</v>
      </c>
      <c r="Q61" s="1"/>
      <c r="R61" s="5">
        <f t="shared" ref="R61:R68" si="52">IF(P$12=0,0,P61/P$12)</f>
        <v>5.6732146164799449E-2</v>
      </c>
      <c r="S61" s="1"/>
      <c r="T61" s="1">
        <f>SUM(OSRRefT22_9x_0)</f>
        <v>10164.26</v>
      </c>
      <c r="U61" s="1"/>
      <c r="V61" s="5">
        <f t="shared" ref="V61:V68" si="53">IF(T$12=0,0,T61/T$12)</f>
        <v>0.13583185932006697</v>
      </c>
      <c r="W61" s="1"/>
      <c r="X61" s="1">
        <f t="shared" ref="X61:X68" si="54">+P61-T61</f>
        <v>-4550.12</v>
      </c>
      <c r="Y61" s="1"/>
      <c r="Z61" s="5">
        <f t="shared" ref="Z61:Z68" si="55">IF(T61=0,0,X61/T61)</f>
        <v>-0.44765875725335635</v>
      </c>
    </row>
    <row r="62" spans="1:26" s="24" customFormat="1" hidden="1" outlineLevel="2" x14ac:dyDescent="0.3">
      <c r="A62" s="28"/>
      <c r="B62" s="11" t="str">
        <f>CONCATENATE("          ", "6259", " - ", "ROYALTY &amp; COMMISSIONS")</f>
        <v xml:space="preserve">          6259 - ROYALTY &amp; COMMISSIONS</v>
      </c>
      <c r="C62" s="11"/>
      <c r="D62" s="6">
        <v>1121.23</v>
      </c>
      <c r="E62" s="2"/>
      <c r="F62" s="7">
        <f t="shared" si="48"/>
        <v>0.14468025255138581</v>
      </c>
      <c r="G62" s="2"/>
      <c r="H62" s="6">
        <v>5.97</v>
      </c>
      <c r="I62" s="2"/>
      <c r="J62" s="7">
        <f t="shared" si="49"/>
        <v>4.7501213389454242E-3</v>
      </c>
      <c r="K62" s="2"/>
      <c r="L62" s="6">
        <f t="shared" si="50"/>
        <v>1115.26</v>
      </c>
      <c r="M62" s="2"/>
      <c r="N62" s="7">
        <f t="shared" si="51"/>
        <v>186.81072026800672</v>
      </c>
      <c r="O62" s="11"/>
      <c r="P62" s="6">
        <v>5614.14</v>
      </c>
      <c r="Q62" s="2"/>
      <c r="R62" s="7">
        <f t="shared" si="52"/>
        <v>5.6732146164799449E-2</v>
      </c>
      <c r="S62" s="2"/>
      <c r="T62" s="6">
        <v>10164.26</v>
      </c>
      <c r="U62" s="2"/>
      <c r="V62" s="7">
        <f t="shared" si="53"/>
        <v>0.13583185932006697</v>
      </c>
      <c r="W62" s="2"/>
      <c r="X62" s="6">
        <f t="shared" si="54"/>
        <v>-4550.12</v>
      </c>
      <c r="Y62" s="2"/>
      <c r="Z62" s="7">
        <f t="shared" si="55"/>
        <v>-0.44765875725335635</v>
      </c>
    </row>
    <row r="63" spans="1:26" s="29" customFormat="1" outlineLevel="1" collapsed="1" x14ac:dyDescent="0.3">
      <c r="A63" s="27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SUM(OSRRefD22_10x_0)</f>
        <v>3328.09</v>
      </c>
      <c r="E63" s="1"/>
      <c r="F63" s="5">
        <f t="shared" si="48"/>
        <v>0.42944703737301143</v>
      </c>
      <c r="G63" s="1"/>
      <c r="H63" s="1">
        <f>SUM(OSRRefH22_10x_0)</f>
        <v>1943.62</v>
      </c>
      <c r="I63" s="1"/>
      <c r="J63" s="5">
        <f t="shared" si="49"/>
        <v>1.5464708269348586</v>
      </c>
      <c r="K63" s="1"/>
      <c r="L63" s="1">
        <f t="shared" si="50"/>
        <v>1384.4700000000003</v>
      </c>
      <c r="M63" s="1"/>
      <c r="N63" s="5">
        <f t="shared" si="51"/>
        <v>0.71231516448688548</v>
      </c>
      <c r="O63" s="14"/>
      <c r="P63" s="1">
        <f>SUM(OSRRefP22_10x_0)</f>
        <v>21822.239999999998</v>
      </c>
      <c r="Q63" s="1"/>
      <c r="R63" s="5">
        <f t="shared" si="52"/>
        <v>0.22051863853116113</v>
      </c>
      <c r="S63" s="1"/>
      <c r="T63" s="1">
        <f>SUM(OSRRefT22_10x_0)</f>
        <v>25817.23</v>
      </c>
      <c r="U63" s="1"/>
      <c r="V63" s="5">
        <f t="shared" si="53"/>
        <v>0.34501305096424262</v>
      </c>
      <c r="W63" s="1"/>
      <c r="X63" s="1">
        <f t="shared" si="54"/>
        <v>-3994.9900000000016</v>
      </c>
      <c r="Y63" s="1"/>
      <c r="Z63" s="5">
        <f t="shared" si="55"/>
        <v>-0.15474123288981823</v>
      </c>
    </row>
    <row r="64" spans="1:26" s="24" customFormat="1" hidden="1" outlineLevel="2" x14ac:dyDescent="0.3">
      <c r="A64" s="28"/>
      <c r="B64" s="11" t="str">
        <f>CONCATENATE("          ", "6235", " - ", "COVID-19 EXPENSES")</f>
        <v xml:space="preserve">          6235 - COVID-19 EXPENSES</v>
      </c>
      <c r="C64" s="11"/>
      <c r="D64" s="6"/>
      <c r="E64" s="2"/>
      <c r="F64" s="7">
        <f t="shared" si="48"/>
        <v>0</v>
      </c>
      <c r="G64" s="2"/>
      <c r="H64" s="6"/>
      <c r="I64" s="2"/>
      <c r="J64" s="7">
        <f t="shared" si="49"/>
        <v>0</v>
      </c>
      <c r="K64" s="2"/>
      <c r="L64" s="6">
        <f t="shared" si="50"/>
        <v>0</v>
      </c>
      <c r="M64" s="2"/>
      <c r="N64" s="7">
        <f t="shared" si="51"/>
        <v>0</v>
      </c>
      <c r="O64" s="11"/>
      <c r="P64" s="6"/>
      <c r="Q64" s="2"/>
      <c r="R64" s="7">
        <f t="shared" si="52"/>
        <v>0</v>
      </c>
      <c r="S64" s="2"/>
      <c r="T64" s="6">
        <v>310.91000000000003</v>
      </c>
      <c r="U64" s="2"/>
      <c r="V64" s="7">
        <f t="shared" si="53"/>
        <v>4.1548999515165913E-3</v>
      </c>
      <c r="W64" s="2"/>
      <c r="X64" s="6">
        <f t="shared" si="54"/>
        <v>-310.91000000000003</v>
      </c>
      <c r="Y64" s="2"/>
      <c r="Z64" s="7">
        <f t="shared" si="55"/>
        <v>-1</v>
      </c>
    </row>
    <row r="65" spans="1:26" s="24" customFormat="1" hidden="1" outlineLevel="2" x14ac:dyDescent="0.3">
      <c r="A65" s="28"/>
      <c r="B65" s="11" t="str">
        <f>CONCATENATE("          ", "6241", " - ", "OFFICE EXPENSE")</f>
        <v xml:space="preserve">          6241 - OFFICE EXPENSE</v>
      </c>
      <c r="C65" s="11"/>
      <c r="D65" s="6">
        <v>9.98</v>
      </c>
      <c r="E65" s="2"/>
      <c r="F65" s="7">
        <f t="shared" si="48"/>
        <v>1.2877901237594699E-3</v>
      </c>
      <c r="G65" s="2"/>
      <c r="H65" s="6"/>
      <c r="I65" s="2"/>
      <c r="J65" s="7">
        <f t="shared" si="49"/>
        <v>0</v>
      </c>
      <c r="K65" s="2"/>
      <c r="L65" s="6">
        <f t="shared" si="50"/>
        <v>9.98</v>
      </c>
      <c r="M65" s="2"/>
      <c r="N65" s="7">
        <f t="shared" si="51"/>
        <v>0</v>
      </c>
      <c r="O65" s="11"/>
      <c r="P65" s="6">
        <v>4852.8500000000004</v>
      </c>
      <c r="Q65" s="2"/>
      <c r="R65" s="7">
        <f t="shared" si="52"/>
        <v>4.9039139657337902E-2</v>
      </c>
      <c r="S65" s="2"/>
      <c r="T65" s="6">
        <v>4596.8599999999997</v>
      </c>
      <c r="U65" s="2"/>
      <c r="V65" s="7">
        <f t="shared" si="53"/>
        <v>6.143093947164309E-2</v>
      </c>
      <c r="W65" s="2"/>
      <c r="X65" s="6">
        <f t="shared" si="54"/>
        <v>255.99000000000069</v>
      </c>
      <c r="Y65" s="2"/>
      <c r="Z65" s="7">
        <f t="shared" si="55"/>
        <v>5.5688013122000828E-2</v>
      </c>
    </row>
    <row r="66" spans="1:26" s="24" customFormat="1" hidden="1" outlineLevel="2" x14ac:dyDescent="0.3">
      <c r="A66" s="28"/>
      <c r="B66" s="11" t="str">
        <f>CONCATENATE("          ", "6243", " - ", "PAPER SUPPLIES")</f>
        <v xml:space="preserve">          6243 - PAPER SUPPLIES</v>
      </c>
      <c r="C66" s="11"/>
      <c r="D66" s="6"/>
      <c r="E66" s="2"/>
      <c r="F66" s="7">
        <f t="shared" si="48"/>
        <v>0</v>
      </c>
      <c r="G66" s="2"/>
      <c r="H66" s="6">
        <v>411.1</v>
      </c>
      <c r="I66" s="2"/>
      <c r="J66" s="7">
        <f t="shared" si="49"/>
        <v>0.32709797025803422</v>
      </c>
      <c r="K66" s="2"/>
      <c r="L66" s="6">
        <f t="shared" si="50"/>
        <v>-411.1</v>
      </c>
      <c r="M66" s="2"/>
      <c r="N66" s="7">
        <f t="shared" si="51"/>
        <v>-1</v>
      </c>
      <c r="O66" s="11"/>
      <c r="P66" s="6">
        <v>4470.8999999999996</v>
      </c>
      <c r="Q66" s="2"/>
      <c r="R66" s="7">
        <f t="shared" si="52"/>
        <v>4.5179449085381164E-2</v>
      </c>
      <c r="S66" s="2"/>
      <c r="T66" s="6">
        <v>5093.3999999999996</v>
      </c>
      <c r="U66" s="2"/>
      <c r="V66" s="7">
        <f t="shared" si="53"/>
        <v>6.8066538268484772E-2</v>
      </c>
      <c r="W66" s="2"/>
      <c r="X66" s="6">
        <f t="shared" si="54"/>
        <v>-622.5</v>
      </c>
      <c r="Y66" s="2"/>
      <c r="Z66" s="7">
        <f t="shared" si="55"/>
        <v>-0.12221698668865591</v>
      </c>
    </row>
    <row r="67" spans="1:26" s="24" customFormat="1" hidden="1" outlineLevel="2" x14ac:dyDescent="0.3">
      <c r="A67" s="28"/>
      <c r="B67" s="11" t="str">
        <f>CONCATENATE("          ", "6245", " - ", "PRINTING")</f>
        <v xml:space="preserve">          6245 - PRINTING</v>
      </c>
      <c r="C67" s="11"/>
      <c r="D67" s="6">
        <v>812.04</v>
      </c>
      <c r="E67" s="2"/>
      <c r="F67" s="7">
        <f t="shared" si="48"/>
        <v>0.10478327576128656</v>
      </c>
      <c r="G67" s="2"/>
      <c r="H67" s="6"/>
      <c r="I67" s="2"/>
      <c r="J67" s="7">
        <f t="shared" si="49"/>
        <v>0</v>
      </c>
      <c r="K67" s="2"/>
      <c r="L67" s="6">
        <f t="shared" si="50"/>
        <v>812.04</v>
      </c>
      <c r="M67" s="2"/>
      <c r="N67" s="7">
        <f t="shared" si="51"/>
        <v>0</v>
      </c>
      <c r="O67" s="11"/>
      <c r="P67" s="6">
        <v>1081.93</v>
      </c>
      <c r="Q67" s="2"/>
      <c r="R67" s="7">
        <f t="shared" si="52"/>
        <v>1.0933145753415745E-2</v>
      </c>
      <c r="S67" s="2"/>
      <c r="T67" s="6">
        <v>439.61</v>
      </c>
      <c r="U67" s="2"/>
      <c r="V67" s="7">
        <f t="shared" si="53"/>
        <v>5.8748048235380285E-3</v>
      </c>
      <c r="W67" s="2"/>
      <c r="X67" s="6">
        <f t="shared" si="54"/>
        <v>642.32000000000005</v>
      </c>
      <c r="Y67" s="2"/>
      <c r="Z67" s="7">
        <f t="shared" si="55"/>
        <v>1.4611132594799936</v>
      </c>
    </row>
    <row r="68" spans="1:26" s="24" customFormat="1" hidden="1" outlineLevel="2" x14ac:dyDescent="0.3">
      <c r="A68" s="28"/>
      <c r="B68" s="11" t="str">
        <f>CONCATENATE("          ", "6247", " - ", "STORE SUPPLIES")</f>
        <v xml:space="preserve">          6247 - STORE SUPPLIES</v>
      </c>
      <c r="C68" s="11"/>
      <c r="D68" s="6">
        <v>2506.0700000000002</v>
      </c>
      <c r="E68" s="2"/>
      <c r="F68" s="7">
        <f t="shared" si="48"/>
        <v>0.32337597148796543</v>
      </c>
      <c r="G68" s="2"/>
      <c r="H68" s="6">
        <v>1532.52</v>
      </c>
      <c r="I68" s="2"/>
      <c r="J68" s="7">
        <f t="shared" si="49"/>
        <v>1.2193728566768245</v>
      </c>
      <c r="K68" s="2"/>
      <c r="L68" s="6">
        <f t="shared" si="50"/>
        <v>973.55000000000018</v>
      </c>
      <c r="M68" s="2"/>
      <c r="N68" s="7">
        <f t="shared" si="51"/>
        <v>0.63526087750893967</v>
      </c>
      <c r="O68" s="11"/>
      <c r="P68" s="6">
        <v>11416.56</v>
      </c>
      <c r="Q68" s="2"/>
      <c r="R68" s="7">
        <f t="shared" si="52"/>
        <v>0.11536690403502634</v>
      </c>
      <c r="S68" s="2"/>
      <c r="T68" s="6">
        <v>15376.45</v>
      </c>
      <c r="U68" s="2"/>
      <c r="V68" s="7">
        <f t="shared" si="53"/>
        <v>0.20548586844906014</v>
      </c>
      <c r="W68" s="2"/>
      <c r="X68" s="6">
        <f t="shared" si="54"/>
        <v>-3959.8900000000012</v>
      </c>
      <c r="Y68" s="2"/>
      <c r="Z68" s="7">
        <f t="shared" si="55"/>
        <v>-0.25752953380006444</v>
      </c>
    </row>
    <row r="69" spans="1:26" s="29" customFormat="1" outlineLevel="1" collapsed="1" x14ac:dyDescent="0.3">
      <c r="A69" s="27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SUM(OSRRefD22_11x_0)</f>
        <v>50.5</v>
      </c>
      <c r="E69" s="1"/>
      <c r="F69" s="5">
        <f t="shared" ref="F69:F72" si="56">IF(D$12=0,0,D69/D$12)</f>
        <v>6.5163728707267766E-3</v>
      </c>
      <c r="G69" s="1"/>
      <c r="H69" s="1">
        <f>SUM(OSRRefH22_11x_0)</f>
        <v>183.3</v>
      </c>
      <c r="I69" s="1"/>
      <c r="J69" s="5">
        <f t="shared" ref="J69:J72" si="57">IF(H$12=0,0,H69/H$12)</f>
        <v>0.14584543407515851</v>
      </c>
      <c r="K69" s="1"/>
      <c r="L69" s="1">
        <f t="shared" ref="L69:L72" si="58">+D69-H69</f>
        <v>-132.80000000000001</v>
      </c>
      <c r="M69" s="1"/>
      <c r="N69" s="5">
        <f t="shared" ref="N69:N72" si="59">IF(H69=0,0,L69/H69)</f>
        <v>-0.72449536279323512</v>
      </c>
      <c r="O69" s="14"/>
      <c r="P69" s="1">
        <f>SUM(OSRRefP22_11x_0)</f>
        <v>629.54999999999995</v>
      </c>
      <c r="Q69" s="1"/>
      <c r="R69" s="5">
        <f t="shared" ref="R69:R72" si="60">IF(P$12=0,0,P69/P$12)</f>
        <v>6.3617442062452109E-3</v>
      </c>
      <c r="S69" s="1"/>
      <c r="T69" s="1">
        <f>SUM(OSRRefT22_11x_0)</f>
        <v>1257</v>
      </c>
      <c r="U69" s="1"/>
      <c r="V69" s="5">
        <f t="shared" ref="V69:V72" si="61">IF(T$12=0,0,T69/T$12)</f>
        <v>1.6798138493635956E-2</v>
      </c>
      <c r="W69" s="1"/>
      <c r="X69" s="1">
        <f t="shared" ref="X69:X72" si="62">+P69-T69</f>
        <v>-627.45000000000005</v>
      </c>
      <c r="Y69" s="1"/>
      <c r="Z69" s="5">
        <f t="shared" ref="Z69:Z72" si="63">IF(T69=0,0,X69/T69)</f>
        <v>-0.49916467780429596</v>
      </c>
    </row>
    <row r="70" spans="1:26" s="24" customFormat="1" hidden="1" outlineLevel="2" x14ac:dyDescent="0.3">
      <c r="A70" s="28"/>
      <c r="B70" s="11" t="str">
        <f>CONCATENATE("          ", "6309", " - ", "TELEPHONE")</f>
        <v xml:space="preserve">          6309 - TELEPHONE</v>
      </c>
      <c r="C70" s="11"/>
      <c r="D70" s="6">
        <v>50.5</v>
      </c>
      <c r="E70" s="2"/>
      <c r="F70" s="7">
        <f t="shared" si="56"/>
        <v>6.5163728707267766E-3</v>
      </c>
      <c r="G70" s="2"/>
      <c r="H70" s="6">
        <v>183.3</v>
      </c>
      <c r="I70" s="2"/>
      <c r="J70" s="7">
        <f t="shared" si="57"/>
        <v>0.14584543407515851</v>
      </c>
      <c r="K70" s="2"/>
      <c r="L70" s="6">
        <f t="shared" si="58"/>
        <v>-132.80000000000001</v>
      </c>
      <c r="M70" s="2"/>
      <c r="N70" s="7">
        <f t="shared" si="59"/>
        <v>-0.72449536279323512</v>
      </c>
      <c r="O70" s="11"/>
      <c r="P70" s="6">
        <v>629.54999999999995</v>
      </c>
      <c r="Q70" s="2"/>
      <c r="R70" s="7">
        <f t="shared" si="60"/>
        <v>6.3617442062452109E-3</v>
      </c>
      <c r="S70" s="2"/>
      <c r="T70" s="6">
        <v>1257</v>
      </c>
      <c r="U70" s="2"/>
      <c r="V70" s="7">
        <f t="shared" si="61"/>
        <v>1.6798138493635956E-2</v>
      </c>
      <c r="W70" s="2"/>
      <c r="X70" s="6">
        <f t="shared" si="62"/>
        <v>-627.45000000000005</v>
      </c>
      <c r="Y70" s="2"/>
      <c r="Z70" s="7">
        <f t="shared" si="63"/>
        <v>-0.49916467780429596</v>
      </c>
    </row>
    <row r="71" spans="1:26" s="29" customFormat="1" outlineLevel="1" collapsed="1" x14ac:dyDescent="0.3">
      <c r="A71" s="27"/>
      <c r="B71" s="14" t="str">
        <f>CONCATENATE("     ","Utilities                                         ")</f>
        <v xml:space="preserve">     Utilities                                         </v>
      </c>
      <c r="C71" s="14"/>
      <c r="D71" s="1">
        <f>SUM(OSRRefD22_12x_0)</f>
        <v>0</v>
      </c>
      <c r="E71" s="1"/>
      <c r="F71" s="5">
        <f t="shared" si="56"/>
        <v>0</v>
      </c>
      <c r="G71" s="1"/>
      <c r="H71" s="1">
        <f>SUM(OSRRefH22_12x_0)</f>
        <v>0</v>
      </c>
      <c r="I71" s="1"/>
      <c r="J71" s="5">
        <f t="shared" si="57"/>
        <v>0</v>
      </c>
      <c r="K71" s="1"/>
      <c r="L71" s="1">
        <f t="shared" si="58"/>
        <v>0</v>
      </c>
      <c r="M71" s="1"/>
      <c r="N71" s="5">
        <f t="shared" si="59"/>
        <v>0</v>
      </c>
      <c r="O71" s="14"/>
      <c r="P71" s="1">
        <f>SUM(OSRRefP22_12x_0)</f>
        <v>0</v>
      </c>
      <c r="Q71" s="1"/>
      <c r="R71" s="5">
        <f t="shared" si="60"/>
        <v>0</v>
      </c>
      <c r="S71" s="1"/>
      <c r="T71" s="1">
        <f>SUM(OSRRefT22_12x_0)</f>
        <v>15.02</v>
      </c>
      <c r="U71" s="1"/>
      <c r="V71" s="5">
        <f t="shared" si="61"/>
        <v>2.0072238677359746E-4</v>
      </c>
      <c r="W71" s="1"/>
      <c r="X71" s="1">
        <f t="shared" si="62"/>
        <v>-15.02</v>
      </c>
      <c r="Y71" s="1"/>
      <c r="Z71" s="5">
        <f t="shared" si="63"/>
        <v>-1</v>
      </c>
    </row>
    <row r="72" spans="1:26" s="24" customFormat="1" hidden="1" outlineLevel="2" x14ac:dyDescent="0.3">
      <c r="A72" s="28"/>
      <c r="B72" s="11" t="str">
        <f>CONCATENATE("          ", "6274", " - ", "UTILITIES")</f>
        <v xml:space="preserve">          6274 - UTILITIES</v>
      </c>
      <c r="C72" s="11"/>
      <c r="D72" s="6"/>
      <c r="E72" s="2"/>
      <c r="F72" s="7">
        <f t="shared" si="56"/>
        <v>0</v>
      </c>
      <c r="G72" s="2"/>
      <c r="H72" s="6"/>
      <c r="I72" s="2"/>
      <c r="J72" s="7">
        <f t="shared" si="57"/>
        <v>0</v>
      </c>
      <c r="K72" s="2"/>
      <c r="L72" s="6">
        <f t="shared" si="58"/>
        <v>0</v>
      </c>
      <c r="M72" s="2"/>
      <c r="N72" s="7">
        <f t="shared" si="59"/>
        <v>0</v>
      </c>
      <c r="O72" s="11"/>
      <c r="P72" s="6"/>
      <c r="Q72" s="2"/>
      <c r="R72" s="7">
        <f t="shared" si="60"/>
        <v>0</v>
      </c>
      <c r="S72" s="2"/>
      <c r="T72" s="6">
        <v>15.02</v>
      </c>
      <c r="U72" s="2"/>
      <c r="V72" s="7">
        <f t="shared" si="61"/>
        <v>2.0072238677359746E-4</v>
      </c>
      <c r="W72" s="2"/>
      <c r="X72" s="6">
        <f t="shared" si="62"/>
        <v>-15.02</v>
      </c>
      <c r="Y72" s="2"/>
      <c r="Z72" s="7">
        <f t="shared" si="63"/>
        <v>-1</v>
      </c>
    </row>
    <row r="73" spans="1:26" s="53" customFormat="1" x14ac:dyDescent="0.3">
      <c r="A73" s="37"/>
      <c r="B73" s="37"/>
      <c r="C73" s="37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collapsed="1" x14ac:dyDescent="0.3">
      <c r="A74" s="10"/>
      <c r="B74" s="25" t="s">
        <v>292</v>
      </c>
      <c r="C74" s="10"/>
      <c r="D74" s="4">
        <f>SUM(OSRRefD25x_0)</f>
        <v>0</v>
      </c>
      <c r="E74" s="4"/>
      <c r="F74" s="12">
        <f t="shared" ref="F74:F75" si="64">IF(D$12=0,0,D74/D$12)</f>
        <v>0</v>
      </c>
      <c r="G74" s="4"/>
      <c r="H74" s="4">
        <f>SUM(OSRRefH25x_0)</f>
        <v>6782</v>
      </c>
      <c r="I74" s="4"/>
      <c r="J74" s="12">
        <f t="shared" ref="J74:J75" si="65">IF(H$12=0,0,H74/H$12)</f>
        <v>5.3962014942592749</v>
      </c>
      <c r="K74" s="4"/>
      <c r="L74" s="4">
        <f t="shared" ref="L74:L75" si="66">+D74-H74</f>
        <v>-6782</v>
      </c>
      <c r="M74" s="4"/>
      <c r="N74" s="12">
        <f t="shared" ref="N74:N75" si="67">IF(H74=0,0,L74/H74)</f>
        <v>-1</v>
      </c>
      <c r="O74" s="10"/>
      <c r="P74" s="4">
        <f>SUM(OSRRefP25x_0)</f>
        <v>14899</v>
      </c>
      <c r="Q74" s="4"/>
      <c r="R74" s="12">
        <f t="shared" ref="R74:R75" si="68">IF(P$12=0,0,P74/P$12)</f>
        <v>0.15055774271916036</v>
      </c>
      <c r="S74" s="4"/>
      <c r="T74" s="4">
        <f>SUM(OSRRefT25x_0)</f>
        <v>40692</v>
      </c>
      <c r="U74" s="4"/>
      <c r="V74" s="12">
        <f t="shared" ref="V74:V75" si="69">IF(T$12=0,0,T74/T$12)</f>
        <v>0.54379463133097394</v>
      </c>
      <c r="W74" s="4"/>
      <c r="X74" s="4">
        <f t="shared" ref="X74:X75" si="70">+P74-T74</f>
        <v>-25793</v>
      </c>
      <c r="Y74" s="4"/>
      <c r="Z74" s="12">
        <f t="shared" ref="Z74:Z75" si="71">IF(T74=0,0,X74/T74)</f>
        <v>-0.63385923523051213</v>
      </c>
    </row>
    <row r="75" spans="1:26" s="24" customFormat="1" hidden="1" outlineLevel="1" x14ac:dyDescent="0.3">
      <c r="A75" s="44"/>
      <c r="B75" s="11" t="str">
        <f>CONCATENATE("          ", "9150", " - ", "MISC. INCOME")</f>
        <v xml:space="preserve">          9150 - MISC. INCOME</v>
      </c>
      <c r="C75" s="11"/>
      <c r="D75" s="2">
        <f>0</f>
        <v>0</v>
      </c>
      <c r="E75" s="2"/>
      <c r="F75" s="19">
        <f t="shared" si="64"/>
        <v>0</v>
      </c>
      <c r="G75" s="2"/>
      <c r="H75" s="2">
        <f>--6782</f>
        <v>6782</v>
      </c>
      <c r="I75" s="2"/>
      <c r="J75" s="19">
        <f t="shared" si="65"/>
        <v>5.3962014942592749</v>
      </c>
      <c r="K75" s="2"/>
      <c r="L75" s="2">
        <f t="shared" si="66"/>
        <v>-6782</v>
      </c>
      <c r="M75" s="2"/>
      <c r="N75" s="19">
        <f t="shared" si="67"/>
        <v>-1</v>
      </c>
      <c r="O75" s="11"/>
      <c r="P75" s="2">
        <f>--14899</f>
        <v>14899</v>
      </c>
      <c r="Q75" s="2"/>
      <c r="R75" s="19">
        <f t="shared" si="68"/>
        <v>0.15055774271916036</v>
      </c>
      <c r="S75" s="2"/>
      <c r="T75" s="2">
        <f>--40692</f>
        <v>40692</v>
      </c>
      <c r="U75" s="2"/>
      <c r="V75" s="19">
        <f t="shared" si="69"/>
        <v>0.54379463133097394</v>
      </c>
      <c r="W75" s="2"/>
      <c r="X75" s="2">
        <f t="shared" si="70"/>
        <v>-25793</v>
      </c>
      <c r="Y75" s="2"/>
      <c r="Z75" s="19">
        <f t="shared" si="71"/>
        <v>-0.63385923523051213</v>
      </c>
    </row>
    <row r="76" spans="1:26" x14ac:dyDescent="0.3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3">
      <c r="A77" s="10"/>
      <c r="B77" s="26" t="s">
        <v>276</v>
      </c>
      <c r="C77" s="26"/>
      <c r="D77" s="20">
        <f>+D28-D30+D74</f>
        <v>-9875.0599999999977</v>
      </c>
      <c r="E77" s="13"/>
      <c r="F77" s="21">
        <f>IF(D$12=0,0,D77/D$12)</f>
        <v>-1.2742489718970127</v>
      </c>
      <c r="G77" s="13"/>
      <c r="H77" s="20">
        <f>+H28-H30+H74</f>
        <v>-23899.91</v>
      </c>
      <c r="I77" s="13"/>
      <c r="J77" s="21">
        <f>IF(H$12=0,0,H77/H$12)</f>
        <v>-19.016327050230341</v>
      </c>
      <c r="K77" s="15"/>
      <c r="L77" s="20">
        <f>+D77-H77</f>
        <v>14024.850000000002</v>
      </c>
      <c r="M77" s="15"/>
      <c r="N77" s="21">
        <f>IF(H77=0,0,L77/H77)</f>
        <v>-0.58681601729881006</v>
      </c>
      <c r="O77" s="25"/>
      <c r="P77" s="20">
        <f>+P28-P30+P74</f>
        <v>-29148.38999999997</v>
      </c>
      <c r="Q77" s="13"/>
      <c r="R77" s="21">
        <f>IF(P$12=0,0,P77/P$12)</f>
        <v>-0.2945510304247092</v>
      </c>
      <c r="S77" s="13"/>
      <c r="T77" s="20">
        <f>+T28-T30+T74</f>
        <v>-76602.740000000005</v>
      </c>
      <c r="U77" s="13"/>
      <c r="V77" s="21">
        <f>IF(T$12=0,0,T77/T$12)</f>
        <v>-1.0236940616642696</v>
      </c>
      <c r="W77" s="15"/>
      <c r="X77" s="20">
        <f>+P77-T77</f>
        <v>47454.350000000035</v>
      </c>
      <c r="Y77" s="15"/>
      <c r="Z77" s="21">
        <f>IF(T77=0,0,X77/T77)</f>
        <v>-0.61948632646821811</v>
      </c>
    </row>
    <row r="78" spans="1:26" x14ac:dyDescent="0.3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3">
      <c r="A79" s="51"/>
      <c r="B79" s="10" t="s">
        <v>127</v>
      </c>
      <c r="C79" s="10"/>
      <c r="D79" s="4">
        <v>1047.68</v>
      </c>
      <c r="E79" s="4"/>
      <c r="F79" s="12">
        <f>IF(D$12=0,0,D79/D$12)</f>
        <v>0.13518957483570354</v>
      </c>
      <c r="G79" s="4"/>
      <c r="H79" s="4">
        <v>2154.34</v>
      </c>
      <c r="I79" s="4"/>
      <c r="J79" s="12">
        <f>IF(H$12=0,0,H79/H$12)</f>
        <v>1.7141334012300984</v>
      </c>
      <c r="K79" s="4"/>
      <c r="L79" s="4">
        <f>+D79-H79</f>
        <v>-1106.6600000000001</v>
      </c>
      <c r="M79" s="4"/>
      <c r="N79" s="12">
        <f>IF(H79=0,0,L79/H79)</f>
        <v>-0.51368864710305706</v>
      </c>
      <c r="O79" s="10"/>
      <c r="P79" s="4">
        <v>11911.74</v>
      </c>
      <c r="Q79" s="4"/>
      <c r="R79" s="12">
        <f>IF(P$12=0,0,P79/P$12)</f>
        <v>0.12037080919910942</v>
      </c>
      <c r="S79" s="4"/>
      <c r="T79" s="4">
        <v>13845.08</v>
      </c>
      <c r="U79" s="4"/>
      <c r="V79" s="12">
        <f>IF(T$12=0,0,T79/T$12)</f>
        <v>0.1850211386598801</v>
      </c>
      <c r="W79" s="4"/>
      <c r="X79" s="4">
        <f>+P79-T79</f>
        <v>-1933.3400000000001</v>
      </c>
      <c r="Y79" s="4"/>
      <c r="Z79" s="12">
        <f>IF(T79=0,0,X79/T79)</f>
        <v>-0.13964094104187191</v>
      </c>
    </row>
    <row r="80" spans="1:26" x14ac:dyDescent="0.3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" thickBot="1" x14ac:dyDescent="0.35">
      <c r="A81" s="10"/>
      <c r="B81" s="26" t="s">
        <v>125</v>
      </c>
      <c r="C81" s="26"/>
      <c r="D81" s="32">
        <f>+D77-D79</f>
        <v>-10922.739999999998</v>
      </c>
      <c r="E81" s="13"/>
      <c r="F81" s="35">
        <f>IF(D$12=0,0,D81/D$12)</f>
        <v>-1.4094385467327164</v>
      </c>
      <c r="G81" s="13"/>
      <c r="H81" s="32">
        <f>+H77-H79</f>
        <v>-26054.25</v>
      </c>
      <c r="I81" s="13"/>
      <c r="J81" s="35">
        <f>IF(H$12=0,0,H81/H$12)</f>
        <v>-20.730460451460441</v>
      </c>
      <c r="K81" s="15"/>
      <c r="L81" s="32">
        <f>D81-H81</f>
        <v>15131.510000000002</v>
      </c>
      <c r="M81" s="15"/>
      <c r="N81" s="35">
        <f>IF(H81=0,0,L81/H81)</f>
        <v>-0.5807693562470615</v>
      </c>
      <c r="O81" s="25"/>
      <c r="P81" s="32">
        <f>+P77-P79</f>
        <v>-41060.129999999968</v>
      </c>
      <c r="Q81" s="13"/>
      <c r="R81" s="35">
        <f>IF(P$12=0,0,P81/P$12)</f>
        <v>-0.41492183962381857</v>
      </c>
      <c r="S81" s="13"/>
      <c r="T81" s="32">
        <f>+T77-T79</f>
        <v>-90447.82</v>
      </c>
      <c r="U81" s="13"/>
      <c r="V81" s="35">
        <f>IF(T$12=0,0,T81/T$12)</f>
        <v>-1.2087152003241497</v>
      </c>
      <c r="W81" s="15"/>
      <c r="X81" s="32">
        <f>P81-T81</f>
        <v>49387.690000000039</v>
      </c>
      <c r="Y81" s="15"/>
      <c r="Z81" s="35">
        <f>IF(T81=0,0,X81/T81)</f>
        <v>-0.5460351614886908</v>
      </c>
    </row>
    <row r="82" spans="1:26" ht="15" thickTop="1" x14ac:dyDescent="0.3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3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" thickBot="1" x14ac:dyDescent="0.35">
      <c r="A84" s="10"/>
      <c r="B84" s="26" t="s">
        <v>293</v>
      </c>
      <c r="C84" s="26"/>
      <c r="D84" s="31">
        <f>SUM(D81:D83)</f>
        <v>-10922.739999999998</v>
      </c>
      <c r="E84" s="13"/>
      <c r="F84" s="33">
        <f>IF(D$12=0,0,D84/D$12)</f>
        <v>-1.4094385467327164</v>
      </c>
      <c r="G84" s="13"/>
      <c r="H84" s="31">
        <f>SUM(H81:H83)</f>
        <v>-26054.25</v>
      </c>
      <c r="I84" s="13"/>
      <c r="J84" s="33">
        <f>IF(H$12=0,0,H84/H$12)</f>
        <v>-20.730460451460441</v>
      </c>
      <c r="K84" s="15"/>
      <c r="L84" s="31">
        <f>+D84-H84</f>
        <v>15131.510000000002</v>
      </c>
      <c r="M84" s="15"/>
      <c r="N84" s="33">
        <f>IF(H84=0,0,L84/H84)</f>
        <v>-0.5807693562470615</v>
      </c>
      <c r="O84" s="25"/>
      <c r="P84" s="31">
        <f>SUM(P81:P83)</f>
        <v>-41060.129999999968</v>
      </c>
      <c r="Q84" s="13"/>
      <c r="R84" s="33">
        <f>IF(P$12=0,0,P84/P$12)</f>
        <v>-0.41492183962381857</v>
      </c>
      <c r="S84" s="13"/>
      <c r="T84" s="31">
        <f>SUM(T81:T83)</f>
        <v>-90447.82</v>
      </c>
      <c r="U84" s="13"/>
      <c r="V84" s="33">
        <f>IF(T$12=0,0,T84/T$12)</f>
        <v>-1.2087152003241497</v>
      </c>
      <c r="W84" s="15"/>
      <c r="X84" s="31">
        <f>+P84-T84</f>
        <v>49387.690000000039</v>
      </c>
      <c r="Y84" s="15"/>
      <c r="Z84" s="33">
        <f>IF(T84=0,0,X84/T84)</f>
        <v>-0.5460351614886908</v>
      </c>
    </row>
    <row r="85" spans="1:26" ht="15" thickTop="1" x14ac:dyDescent="0.3">
      <c r="A85" s="9"/>
      <c r="C85" s="9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3">
      <c r="A86" s="9"/>
      <c r="B86" s="60">
        <v>44575.854680405093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3">
      <c r="A87" s="9"/>
      <c r="B87" s="57" t="s">
        <v>56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3">
      <c r="A88" s="9"/>
      <c r="B88" s="59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3"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218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133542.32999999999</v>
      </c>
      <c r="E12" s="4"/>
      <c r="F12" s="12"/>
      <c r="G12" s="4"/>
      <c r="H12" s="4">
        <f>SUM(OSRRefH13x_0)</f>
        <v>79441.619999999981</v>
      </c>
      <c r="I12" s="4"/>
      <c r="J12" s="12"/>
      <c r="K12" s="4"/>
      <c r="L12" s="4">
        <f t="shared" ref="L12:L33" si="0">+D12-H12</f>
        <v>54100.710000000006</v>
      </c>
      <c r="M12" s="4"/>
      <c r="N12" s="12">
        <f t="shared" ref="N12:N33" si="1">IF(H12=0,0,L12/H12)</f>
        <v>0.68101216969140377</v>
      </c>
      <c r="O12" s="10"/>
      <c r="P12" s="4">
        <f>SUM(OSRRefP13x_0)</f>
        <v>966649.8</v>
      </c>
      <c r="Q12" s="4"/>
      <c r="R12" s="12"/>
      <c r="S12" s="4"/>
      <c r="T12" s="4">
        <f>SUM(OSRRefT13x_0)</f>
        <v>1275344.5200000003</v>
      </c>
      <c r="U12" s="4"/>
      <c r="V12" s="12"/>
      <c r="W12" s="4"/>
      <c r="X12" s="4">
        <f t="shared" ref="X12:X33" si="2">+P12-T12</f>
        <v>-308694.7200000002</v>
      </c>
      <c r="Y12" s="4"/>
      <c r="Z12" s="12">
        <f t="shared" ref="Z12:Z33" si="3">IF(T12=0,0,X12/T12)</f>
        <v>-0.24204810163766582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--134314.8</f>
        <v>134314.79999999999</v>
      </c>
      <c r="E13" s="2"/>
      <c r="F13" s="19"/>
      <c r="G13" s="2"/>
      <c r="H13" s="2">
        <f>-264.66</f>
        <v>-264.66000000000003</v>
      </c>
      <c r="I13" s="2"/>
      <c r="J13" s="19"/>
      <c r="K13" s="2"/>
      <c r="L13" s="2">
        <f t="shared" si="0"/>
        <v>134579.46</v>
      </c>
      <c r="M13" s="2"/>
      <c r="N13" s="19">
        <f t="shared" si="1"/>
        <v>-508.49943323509399</v>
      </c>
      <c r="O13" s="11"/>
      <c r="P13" s="2">
        <f>--818426.75</f>
        <v>818426.75</v>
      </c>
      <c r="Q13" s="2"/>
      <c r="R13" s="19"/>
      <c r="S13" s="2"/>
      <c r="T13" s="2">
        <f>-2308.77</f>
        <v>-2308.77</v>
      </c>
      <c r="U13" s="2"/>
      <c r="V13" s="19"/>
      <c r="W13" s="2"/>
      <c r="X13" s="2">
        <f t="shared" si="2"/>
        <v>820735.52</v>
      </c>
      <c r="Y13" s="2"/>
      <c r="Z13" s="19">
        <f t="shared" si="3"/>
        <v>-355.48604668286578</v>
      </c>
    </row>
    <row r="14" spans="1:26" s="24" customFormat="1" hidden="1" outlineLevel="1" x14ac:dyDescent="0.3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 t="shared" ref="D14:D18" si="4">0</f>
        <v>0</v>
      </c>
      <c r="E14" s="2"/>
      <c r="F14" s="19"/>
      <c r="G14" s="2"/>
      <c r="H14" s="2">
        <f>--860.25</f>
        <v>860.25</v>
      </c>
      <c r="I14" s="2"/>
      <c r="J14" s="19"/>
      <c r="K14" s="2"/>
      <c r="L14" s="2">
        <f t="shared" si="0"/>
        <v>-860.25</v>
      </c>
      <c r="M14" s="2"/>
      <c r="N14" s="19">
        <f t="shared" si="1"/>
        <v>-1</v>
      </c>
      <c r="O14" s="11"/>
      <c r="P14" s="2">
        <f t="shared" ref="P14:P18" si="5">0</f>
        <v>0</v>
      </c>
      <c r="Q14" s="2"/>
      <c r="R14" s="19"/>
      <c r="S14" s="2"/>
      <c r="T14" s="2">
        <f>--56879.52</f>
        <v>56879.519999999997</v>
      </c>
      <c r="U14" s="2"/>
      <c r="V14" s="19"/>
      <c r="W14" s="2"/>
      <c r="X14" s="2">
        <f t="shared" si="2"/>
        <v>-56879.519999999997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 t="shared" si="4"/>
        <v>0</v>
      </c>
      <c r="E15" s="2"/>
      <c r="F15" s="19"/>
      <c r="G15" s="2"/>
      <c r="H15" s="2">
        <f>--43662</f>
        <v>43662</v>
      </c>
      <c r="I15" s="2"/>
      <c r="J15" s="19"/>
      <c r="K15" s="2"/>
      <c r="L15" s="2">
        <f t="shared" si="0"/>
        <v>-43662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--993256.89</f>
        <v>993256.89</v>
      </c>
      <c r="U15" s="2"/>
      <c r="V15" s="19"/>
      <c r="W15" s="2"/>
      <c r="X15" s="2">
        <f t="shared" si="2"/>
        <v>-993256.89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 t="shared" si="4"/>
        <v>0</v>
      </c>
      <c r="E16" s="2"/>
      <c r="F16" s="19"/>
      <c r="G16" s="2"/>
      <c r="H16" s="2">
        <f>--7787.03</f>
        <v>7787.03</v>
      </c>
      <c r="I16" s="2"/>
      <c r="J16" s="19"/>
      <c r="K16" s="2"/>
      <c r="L16" s="2">
        <f t="shared" si="0"/>
        <v>-7787.03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--84637.98</f>
        <v>84637.98</v>
      </c>
      <c r="U16" s="2"/>
      <c r="V16" s="19"/>
      <c r="W16" s="2"/>
      <c r="X16" s="2">
        <f t="shared" si="2"/>
        <v>-84637.98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--1228.99</f>
        <v>1228.99</v>
      </c>
      <c r="I17" s="2"/>
      <c r="J17" s="19"/>
      <c r="K17" s="2"/>
      <c r="L17" s="2">
        <f t="shared" si="0"/>
        <v>-1228.99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--2728.94</f>
        <v>2728.94</v>
      </c>
      <c r="U17" s="2"/>
      <c r="V17" s="19"/>
      <c r="W17" s="2"/>
      <c r="X17" s="2">
        <f t="shared" si="2"/>
        <v>-2728.94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 t="shared" si="4"/>
        <v>0</v>
      </c>
      <c r="E18" s="2"/>
      <c r="F18" s="19"/>
      <c r="G18" s="2"/>
      <c r="H18" s="2">
        <f>--27507.98</f>
        <v>27507.98</v>
      </c>
      <c r="I18" s="2"/>
      <c r="J18" s="19"/>
      <c r="K18" s="2"/>
      <c r="L18" s="2">
        <f t="shared" si="0"/>
        <v>-27507.98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--57135.58</f>
        <v>57135.58</v>
      </c>
      <c r="U18" s="2"/>
      <c r="V18" s="19"/>
      <c r="W18" s="2"/>
      <c r="X18" s="2">
        <f t="shared" si="2"/>
        <v>-57135.58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--38625.69</f>
        <v>38625.69</v>
      </c>
      <c r="E19" s="2"/>
      <c r="F19" s="19"/>
      <c r="G19" s="2"/>
      <c r="H19" s="2">
        <f t="shared" ref="H19:H20" si="6">0</f>
        <v>0</v>
      </c>
      <c r="I19" s="2"/>
      <c r="J19" s="19"/>
      <c r="K19" s="2"/>
      <c r="L19" s="2">
        <f t="shared" si="0"/>
        <v>38625.69</v>
      </c>
      <c r="M19" s="2"/>
      <c r="N19" s="19">
        <f t="shared" si="1"/>
        <v>0</v>
      </c>
      <c r="O19" s="11"/>
      <c r="P19" s="2">
        <f>--340387.58</f>
        <v>340387.58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340387.58</v>
      </c>
      <c r="Y19" s="2"/>
      <c r="Z19" s="19">
        <f t="shared" si="3"/>
        <v>0</v>
      </c>
    </row>
    <row r="20" spans="1:26" s="24" customFormat="1" hidden="1" outlineLevel="1" x14ac:dyDescent="0.3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 t="shared" ref="D20:D24" si="7">0</f>
        <v>0</v>
      </c>
      <c r="E20" s="2"/>
      <c r="F20" s="19"/>
      <c r="G20" s="2"/>
      <c r="H20" s="2">
        <f t="shared" si="6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ref="P20:P24" si="8">0</f>
        <v>0</v>
      </c>
      <c r="Q20" s="2"/>
      <c r="R20" s="19"/>
      <c r="S20" s="2"/>
      <c r="T20" s="2">
        <f>--3534.12</f>
        <v>3534.12</v>
      </c>
      <c r="U20" s="2"/>
      <c r="V20" s="19"/>
      <c r="W20" s="2"/>
      <c r="X20" s="2">
        <f t="shared" si="2"/>
        <v>-3534.12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 t="shared" si="7"/>
        <v>0</v>
      </c>
      <c r="E21" s="2"/>
      <c r="F21" s="19"/>
      <c r="G21" s="2"/>
      <c r="H21" s="2">
        <f>--9513.96</f>
        <v>9513.9599999999991</v>
      </c>
      <c r="I21" s="2"/>
      <c r="J21" s="19"/>
      <c r="K21" s="2"/>
      <c r="L21" s="2">
        <f t="shared" si="0"/>
        <v>-9513.9599999999991</v>
      </c>
      <c r="M21" s="2"/>
      <c r="N21" s="19">
        <f t="shared" si="1"/>
        <v>-1</v>
      </c>
      <c r="O21" s="11"/>
      <c r="P21" s="2">
        <f t="shared" si="8"/>
        <v>0</v>
      </c>
      <c r="Q21" s="2"/>
      <c r="R21" s="19"/>
      <c r="S21" s="2"/>
      <c r="T21" s="2">
        <f>--164308.31</f>
        <v>164308.31</v>
      </c>
      <c r="U21" s="2"/>
      <c r="V21" s="19"/>
      <c r="W21" s="2"/>
      <c r="X21" s="2">
        <f t="shared" si="2"/>
        <v>-164308.31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 t="shared" si="7"/>
        <v>0</v>
      </c>
      <c r="E22" s="2"/>
      <c r="F22" s="19"/>
      <c r="G22" s="2"/>
      <c r="H22" s="2">
        <f>--258.91</f>
        <v>258.91000000000003</v>
      </c>
      <c r="I22" s="2"/>
      <c r="J22" s="19"/>
      <c r="K22" s="2"/>
      <c r="L22" s="2">
        <f t="shared" si="0"/>
        <v>-258.91000000000003</v>
      </c>
      <c r="M22" s="2"/>
      <c r="N22" s="19">
        <f t="shared" si="1"/>
        <v>-1</v>
      </c>
      <c r="O22" s="11"/>
      <c r="P22" s="2">
        <f t="shared" si="8"/>
        <v>0</v>
      </c>
      <c r="Q22" s="2"/>
      <c r="R22" s="19"/>
      <c r="S22" s="2"/>
      <c r="T22" s="2">
        <f>--7629.19</f>
        <v>7629.19</v>
      </c>
      <c r="U22" s="2"/>
      <c r="V22" s="19"/>
      <c r="W22" s="2"/>
      <c r="X22" s="2">
        <f t="shared" si="2"/>
        <v>-7629.19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"4185", " - ", "NON-TAXABLE SALES-SOFTWARE")</f>
        <v xml:space="preserve">          4185 - NON-TAXABLE SALES-SOFTWARE</v>
      </c>
      <c r="C23" s="11"/>
      <c r="D23" s="2">
        <f t="shared" si="7"/>
        <v>0</v>
      </c>
      <c r="E23" s="2"/>
      <c r="F23" s="19"/>
      <c r="G23" s="2"/>
      <c r="H23" s="2">
        <f>--873.93</f>
        <v>873.93</v>
      </c>
      <c r="I23" s="2"/>
      <c r="J23" s="19"/>
      <c r="K23" s="2"/>
      <c r="L23" s="2">
        <f t="shared" si="0"/>
        <v>-873.93</v>
      </c>
      <c r="M23" s="2"/>
      <c r="N23" s="19">
        <f t="shared" si="1"/>
        <v>-1</v>
      </c>
      <c r="O23" s="11"/>
      <c r="P23" s="2">
        <f t="shared" si="8"/>
        <v>0</v>
      </c>
      <c r="Q23" s="2"/>
      <c r="R23" s="19"/>
      <c r="S23" s="2"/>
      <c r="T23" s="2">
        <f>--26680.67</f>
        <v>26680.67</v>
      </c>
      <c r="U23" s="2"/>
      <c r="V23" s="19"/>
      <c r="W23" s="2"/>
      <c r="X23" s="2">
        <f t="shared" si="2"/>
        <v>-26680.67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 t="shared" si="7"/>
        <v>0</v>
      </c>
      <c r="E24" s="2"/>
      <c r="F24" s="19"/>
      <c r="G24" s="2"/>
      <c r="H24" s="2">
        <f>--176.22</f>
        <v>176.22</v>
      </c>
      <c r="I24" s="2"/>
      <c r="J24" s="19"/>
      <c r="K24" s="2"/>
      <c r="L24" s="2">
        <f t="shared" si="0"/>
        <v>-176.22</v>
      </c>
      <c r="M24" s="2"/>
      <c r="N24" s="19">
        <f t="shared" si="1"/>
        <v>-1</v>
      </c>
      <c r="O24" s="11"/>
      <c r="P24" s="2">
        <f t="shared" si="8"/>
        <v>0</v>
      </c>
      <c r="Q24" s="2"/>
      <c r="R24" s="19"/>
      <c r="S24" s="2"/>
      <c r="T24" s="2">
        <f>--1949.99</f>
        <v>1949.99</v>
      </c>
      <c r="U24" s="2"/>
      <c r="V24" s="19"/>
      <c r="W24" s="2"/>
      <c r="X24" s="2">
        <f t="shared" si="2"/>
        <v>-1949.99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"4200", " - ", "TAXABLE RETURNS")</f>
        <v xml:space="preserve">          4200 - TAXABLE RETURNS</v>
      </c>
      <c r="C25" s="11"/>
      <c r="D25" s="2">
        <f>-39012.77</f>
        <v>-39012.769999999997</v>
      </c>
      <c r="E25" s="2"/>
      <c r="F25" s="19"/>
      <c r="G25" s="2"/>
      <c r="H25" s="2">
        <f t="shared" ref="H25:H26" si="9">0</f>
        <v>0</v>
      </c>
      <c r="I25" s="2"/>
      <c r="J25" s="19"/>
      <c r="K25" s="2"/>
      <c r="L25" s="2">
        <f t="shared" si="0"/>
        <v>-39012.769999999997</v>
      </c>
      <c r="M25" s="2"/>
      <c r="N25" s="19">
        <f t="shared" si="1"/>
        <v>0</v>
      </c>
      <c r="O25" s="11"/>
      <c r="P25" s="2">
        <f>-190982.41</f>
        <v>-190982.41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-190982.41</v>
      </c>
      <c r="Y25" s="2"/>
      <c r="Z25" s="19">
        <f t="shared" si="3"/>
        <v>0</v>
      </c>
    </row>
    <row r="26" spans="1:26" s="24" customFormat="1" hidden="1" outlineLevel="1" x14ac:dyDescent="0.3">
      <c r="A26" s="44"/>
      <c r="B26" s="11" t="str">
        <f>CONCATENATE("          ", "4281", " - ", "SALES RETURN TAXABLE-ELECTRONI")</f>
        <v xml:space="preserve">          4281 - SALES RETURN TAXABLE-ELECTRONI</v>
      </c>
      <c r="C26" s="11"/>
      <c r="D26" s="2">
        <f t="shared" ref="D26:D32" si="10">0</f>
        <v>0</v>
      </c>
      <c r="E26" s="2"/>
      <c r="F26" s="19"/>
      <c r="G26" s="2"/>
      <c r="H26" s="2">
        <f t="shared" si="9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30" si="11">0</f>
        <v>0</v>
      </c>
      <c r="Q26" s="2"/>
      <c r="R26" s="19"/>
      <c r="S26" s="2"/>
      <c r="T26" s="2">
        <f>-14632.15</f>
        <v>-14632.15</v>
      </c>
      <c r="U26" s="2"/>
      <c r="V26" s="19"/>
      <c r="W26" s="2"/>
      <c r="X26" s="2">
        <f t="shared" si="2"/>
        <v>14632.15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"4282", " - ", "SALES RETURN TAXABLE-COMPUTER")</f>
        <v xml:space="preserve">          4282 - SALES RETURN TAXABLE-COMPUTER</v>
      </c>
      <c r="C27" s="11"/>
      <c r="D27" s="2">
        <f t="shared" si="10"/>
        <v>0</v>
      </c>
      <c r="E27" s="2"/>
      <c r="F27" s="19"/>
      <c r="G27" s="2"/>
      <c r="H27" s="2">
        <f>-7936</f>
        <v>-7936</v>
      </c>
      <c r="I27" s="2"/>
      <c r="J27" s="19"/>
      <c r="K27" s="2"/>
      <c r="L27" s="2">
        <f t="shared" si="0"/>
        <v>7936</v>
      </c>
      <c r="M27" s="2"/>
      <c r="N27" s="19">
        <f t="shared" si="1"/>
        <v>-1</v>
      </c>
      <c r="O27" s="11"/>
      <c r="P27" s="2">
        <f t="shared" si="11"/>
        <v>0</v>
      </c>
      <c r="Q27" s="2"/>
      <c r="R27" s="19"/>
      <c r="S27" s="2"/>
      <c r="T27" s="2">
        <f>-92020.01</f>
        <v>-92020.01</v>
      </c>
      <c r="U27" s="2"/>
      <c r="V27" s="19"/>
      <c r="W27" s="2"/>
      <c r="X27" s="2">
        <f t="shared" si="2"/>
        <v>92020.01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"4283", " - ", "SALES RETURN TAXABLE-COMPUTER")</f>
        <v xml:space="preserve">          4283 - SALES RETURN TAXABLE-COMPUTER</v>
      </c>
      <c r="C28" s="11"/>
      <c r="D28" s="2">
        <f t="shared" si="10"/>
        <v>0</v>
      </c>
      <c r="E28" s="2"/>
      <c r="F28" s="19"/>
      <c r="G28" s="2"/>
      <c r="H28" s="2">
        <f>-99.99</f>
        <v>-99.99</v>
      </c>
      <c r="I28" s="2"/>
      <c r="J28" s="19"/>
      <c r="K28" s="2"/>
      <c r="L28" s="2">
        <f t="shared" si="0"/>
        <v>99.99</v>
      </c>
      <c r="M28" s="2"/>
      <c r="N28" s="19">
        <f t="shared" si="1"/>
        <v>-1</v>
      </c>
      <c r="O28" s="11"/>
      <c r="P28" s="2">
        <f t="shared" si="11"/>
        <v>0</v>
      </c>
      <c r="Q28" s="2"/>
      <c r="R28" s="19"/>
      <c r="S28" s="2"/>
      <c r="T28" s="2">
        <f>-3411.26</f>
        <v>-3411.26</v>
      </c>
      <c r="U28" s="2"/>
      <c r="V28" s="19"/>
      <c r="W28" s="2"/>
      <c r="X28" s="2">
        <f t="shared" si="2"/>
        <v>3411.26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"4285", " - ", "SALES RETURN TAXABLE-SOFTWARE")</f>
        <v xml:space="preserve">          4285 - SALES RETURN TAXABLE-SOFTWARE</v>
      </c>
      <c r="C29" s="11"/>
      <c r="D29" s="2">
        <f t="shared" si="10"/>
        <v>0</v>
      </c>
      <c r="E29" s="2"/>
      <c r="F29" s="19"/>
      <c r="G29" s="2"/>
      <c r="H29" s="2">
        <f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si="11"/>
        <v>0</v>
      </c>
      <c r="Q29" s="2"/>
      <c r="R29" s="19"/>
      <c r="S29" s="2"/>
      <c r="T29" s="2">
        <f>-691.98</f>
        <v>-691.98</v>
      </c>
      <c r="U29" s="2"/>
      <c r="V29" s="19"/>
      <c r="W29" s="2"/>
      <c r="X29" s="2">
        <f t="shared" si="2"/>
        <v>691.98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"4286", " - ", "SALES RETURN TAXABLE-COMPUTER")</f>
        <v xml:space="preserve">          4286 - SALES RETURN TAXABLE-COMPUTER</v>
      </c>
      <c r="C30" s="11"/>
      <c r="D30" s="2">
        <f t="shared" si="10"/>
        <v>0</v>
      </c>
      <c r="E30" s="2"/>
      <c r="F30" s="19"/>
      <c r="G30" s="2"/>
      <c r="H30" s="2">
        <f>-4127</f>
        <v>-4127</v>
      </c>
      <c r="I30" s="2"/>
      <c r="J30" s="19"/>
      <c r="K30" s="2"/>
      <c r="L30" s="2">
        <f t="shared" si="0"/>
        <v>4127</v>
      </c>
      <c r="M30" s="2"/>
      <c r="N30" s="19">
        <f t="shared" si="1"/>
        <v>-1</v>
      </c>
      <c r="O30" s="11"/>
      <c r="P30" s="2">
        <f t="shared" si="11"/>
        <v>0</v>
      </c>
      <c r="Q30" s="2"/>
      <c r="R30" s="19"/>
      <c r="S30" s="2"/>
      <c r="T30" s="2">
        <f>-4708.35</f>
        <v>-4708.3500000000004</v>
      </c>
      <c r="U30" s="2"/>
      <c r="V30" s="19"/>
      <c r="W30" s="2"/>
      <c r="X30" s="2">
        <f t="shared" si="2"/>
        <v>4708.3500000000004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"4300", " - ", "NON-TAX RETURNS")</f>
        <v xml:space="preserve">          4300 - NON-TAX RETURNS</v>
      </c>
      <c r="C31" s="11"/>
      <c r="D31" s="2">
        <f t="shared" si="10"/>
        <v>0</v>
      </c>
      <c r="E31" s="2"/>
      <c r="F31" s="19"/>
      <c r="G31" s="2"/>
      <c r="H31" s="2">
        <f t="shared" ref="H31:H33" si="12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-704.79</f>
        <v>-704.79</v>
      </c>
      <c r="Q31" s="2"/>
      <c r="R31" s="19"/>
      <c r="S31" s="2"/>
      <c r="T31" s="2">
        <f>0</f>
        <v>0</v>
      </c>
      <c r="U31" s="2"/>
      <c r="V31" s="19"/>
      <c r="W31" s="2"/>
      <c r="X31" s="2">
        <f t="shared" si="2"/>
        <v>-704.79</v>
      </c>
      <c r="Y31" s="2"/>
      <c r="Z31" s="19">
        <f t="shared" si="3"/>
        <v>0</v>
      </c>
    </row>
    <row r="32" spans="1:26" s="24" customFormat="1" hidden="1" outlineLevel="1" x14ac:dyDescent="0.3">
      <c r="A32" s="44"/>
      <c r="B32" s="11" t="str">
        <f>CONCATENATE("          ", "4381", " - ", "SALES RETURN NON TAXABLE-ELECT")</f>
        <v xml:space="preserve">          4381 - SALES RETURN NON TAXABLE-ELECT</v>
      </c>
      <c r="C32" s="11"/>
      <c r="D32" s="2">
        <f t="shared" si="10"/>
        <v>0</v>
      </c>
      <c r="E32" s="2"/>
      <c r="F32" s="19"/>
      <c r="G32" s="2"/>
      <c r="H32" s="2">
        <f t="shared" si="12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0</f>
        <v>0</v>
      </c>
      <c r="Q32" s="2"/>
      <c r="R32" s="19"/>
      <c r="S32" s="2"/>
      <c r="T32" s="2">
        <f>-5624.15</f>
        <v>-5624.15</v>
      </c>
      <c r="U32" s="2"/>
      <c r="V32" s="19"/>
      <c r="W32" s="2"/>
      <c r="X32" s="2">
        <f t="shared" si="2"/>
        <v>5624.15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"4500", " - ", "SALES DISCOUNT")</f>
        <v xml:space="preserve">          4500 - SALES DISCOUNT</v>
      </c>
      <c r="C33" s="11"/>
      <c r="D33" s="2">
        <f>-385.39</f>
        <v>-385.39</v>
      </c>
      <c r="E33" s="2"/>
      <c r="F33" s="19"/>
      <c r="G33" s="2"/>
      <c r="H33" s="2">
        <f t="shared" si="12"/>
        <v>0</v>
      </c>
      <c r="I33" s="2"/>
      <c r="J33" s="19"/>
      <c r="K33" s="2"/>
      <c r="L33" s="2">
        <f t="shared" si="0"/>
        <v>-385.39</v>
      </c>
      <c r="M33" s="2"/>
      <c r="N33" s="19">
        <f t="shared" si="1"/>
        <v>0</v>
      </c>
      <c r="O33" s="11"/>
      <c r="P33" s="2">
        <f>-477.33</f>
        <v>-477.33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-477.33</v>
      </c>
      <c r="Y33" s="2"/>
      <c r="Z33" s="19">
        <f t="shared" si="3"/>
        <v>0</v>
      </c>
    </row>
    <row r="34" spans="1:26" x14ac:dyDescent="0.3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3">
      <c r="A35" s="10"/>
      <c r="B35" s="25" t="s">
        <v>256</v>
      </c>
      <c r="C35" s="10"/>
      <c r="D35" s="4">
        <f>SUM(OSRRefD16x_0)</f>
        <v>119832.5</v>
      </c>
      <c r="E35" s="4"/>
      <c r="F35" s="12">
        <f t="shared" ref="F35:F48" si="13">IF(D$12=0,0,D35/D$12)</f>
        <v>0.89733719637810727</v>
      </c>
      <c r="G35" s="4"/>
      <c r="H35" s="4">
        <f>SUM(OSRRefH16x_0)</f>
        <v>74328</v>
      </c>
      <c r="I35" s="4"/>
      <c r="J35" s="12">
        <f t="shared" ref="J35:J48" si="14">IF(H$12=0,0,H35/H$12)</f>
        <v>0.93563046675030059</v>
      </c>
      <c r="K35" s="4"/>
      <c r="L35" s="4">
        <f t="shared" ref="L35:L48" si="15">+D35-H35</f>
        <v>45504.5</v>
      </c>
      <c r="M35" s="4"/>
      <c r="N35" s="12">
        <f t="shared" ref="N35:N48" si="16">IF(H35=0,0,L35/H35)</f>
        <v>0.61221208696588092</v>
      </c>
      <c r="O35" s="10"/>
      <c r="P35" s="4">
        <f>SUM(OSRRefP16x_0)</f>
        <v>822492.23</v>
      </c>
      <c r="Q35" s="4"/>
      <c r="R35" s="12">
        <f t="shared" ref="R35:R48" si="17">IF(P$12=0,0,P35/P$12)</f>
        <v>0.8508688772293751</v>
      </c>
      <c r="S35" s="4"/>
      <c r="T35" s="4">
        <f>SUM(OSRRefT16x_0)</f>
        <v>1215966.8400000001</v>
      </c>
      <c r="U35" s="4"/>
      <c r="V35" s="12">
        <f t="shared" ref="V35:V48" si="18">IF(T$12=0,0,T35/T$12)</f>
        <v>0.953441851147798</v>
      </c>
      <c r="W35" s="4"/>
      <c r="X35" s="4">
        <f t="shared" ref="X35:X48" si="19">+P35-T35</f>
        <v>-393474.6100000001</v>
      </c>
      <c r="Y35" s="4"/>
      <c r="Z35" s="12">
        <f t="shared" ref="Z35:Z48" si="20">IF(T35=0,0,X35/T35)</f>
        <v>-0.32358991796190767</v>
      </c>
    </row>
    <row r="36" spans="1:26" s="24" customFormat="1" hidden="1" outlineLevel="1" x14ac:dyDescent="0.3">
      <c r="A36" s="44"/>
      <c r="B36" s="11" t="str">
        <f>CONCATENATE("          ", "5000", " - ", "PURCHASES @ COST")</f>
        <v xml:space="preserve">          5000 - PURCHASES @ COST</v>
      </c>
      <c r="C36" s="11"/>
      <c r="D36" s="2">
        <v>183675.67</v>
      </c>
      <c r="E36" s="2"/>
      <c r="F36" s="19">
        <f t="shared" si="13"/>
        <v>1.3754116016996261</v>
      </c>
      <c r="G36" s="2"/>
      <c r="H36" s="2"/>
      <c r="I36" s="2"/>
      <c r="J36" s="19">
        <f t="shared" si="14"/>
        <v>0</v>
      </c>
      <c r="K36" s="2"/>
      <c r="L36" s="2">
        <f t="shared" si="15"/>
        <v>183675.67</v>
      </c>
      <c r="M36" s="2"/>
      <c r="N36" s="19">
        <f t="shared" si="16"/>
        <v>0</v>
      </c>
      <c r="O36" s="11"/>
      <c r="P36" s="2">
        <v>927238.18</v>
      </c>
      <c r="Q36" s="2"/>
      <c r="R36" s="19">
        <f t="shared" si="17"/>
        <v>0.95922864723087931</v>
      </c>
      <c r="S36" s="2"/>
      <c r="T36" s="2">
        <v>0</v>
      </c>
      <c r="U36" s="2"/>
      <c r="V36" s="19">
        <f t="shared" si="18"/>
        <v>0</v>
      </c>
      <c r="W36" s="2"/>
      <c r="X36" s="2">
        <f t="shared" si="19"/>
        <v>927238.18</v>
      </c>
      <c r="Y36" s="2"/>
      <c r="Z36" s="19">
        <f t="shared" si="20"/>
        <v>0</v>
      </c>
    </row>
    <row r="37" spans="1:26" s="24" customFormat="1" hidden="1" outlineLevel="1" x14ac:dyDescent="0.3">
      <c r="A37" s="44"/>
      <c r="B37" s="11" t="str">
        <f>CONCATENATE("          ", "5081", " - ", "PURCHASES @ COST-ELECTRONICS")</f>
        <v xml:space="preserve">          5081 - PURCHASES @ COST-ELECTRONICS</v>
      </c>
      <c r="C37" s="11"/>
      <c r="D37" s="2"/>
      <c r="E37" s="2"/>
      <c r="F37" s="19">
        <f t="shared" si="13"/>
        <v>0</v>
      </c>
      <c r="G37" s="2"/>
      <c r="H37" s="2">
        <v>945.44</v>
      </c>
      <c r="I37" s="2"/>
      <c r="J37" s="19">
        <f t="shared" si="14"/>
        <v>1.1901066468684806E-2</v>
      </c>
      <c r="K37" s="2"/>
      <c r="L37" s="2">
        <f t="shared" si="15"/>
        <v>-945.44</v>
      </c>
      <c r="M37" s="2"/>
      <c r="N37" s="19">
        <f t="shared" si="16"/>
        <v>-1</v>
      </c>
      <c r="O37" s="11"/>
      <c r="P37" s="2">
        <v>0</v>
      </c>
      <c r="Q37" s="2"/>
      <c r="R37" s="19">
        <f t="shared" si="17"/>
        <v>0</v>
      </c>
      <c r="S37" s="2"/>
      <c r="T37" s="2">
        <v>25260.51</v>
      </c>
      <c r="U37" s="2"/>
      <c r="V37" s="19">
        <f t="shared" si="18"/>
        <v>1.9806812672077026E-2</v>
      </c>
      <c r="W37" s="2"/>
      <c r="X37" s="2">
        <f t="shared" si="19"/>
        <v>-25260.51</v>
      </c>
      <c r="Y37" s="2"/>
      <c r="Z37" s="19">
        <f t="shared" si="20"/>
        <v>-1</v>
      </c>
    </row>
    <row r="38" spans="1:26" s="24" customFormat="1" hidden="1" outlineLevel="1" x14ac:dyDescent="0.3">
      <c r="A38" s="44"/>
      <c r="B38" s="11" t="str">
        <f>CONCATENATE("          ", "5082", " - ", "PURCHASES @ COST-COMPUTER HARD")</f>
        <v xml:space="preserve">          5082 - PURCHASES @ COST-COMPUTER HARD</v>
      </c>
      <c r="C38" s="11"/>
      <c r="D38" s="2">
        <v>-6160.03</v>
      </c>
      <c r="E38" s="2"/>
      <c r="F38" s="19">
        <f t="shared" si="13"/>
        <v>-4.6127920637598581E-2</v>
      </c>
      <c r="G38" s="2"/>
      <c r="H38" s="2">
        <v>20916.71</v>
      </c>
      <c r="I38" s="2"/>
      <c r="J38" s="19">
        <f t="shared" si="14"/>
        <v>0.26329661958051714</v>
      </c>
      <c r="K38" s="2"/>
      <c r="L38" s="2">
        <f t="shared" si="15"/>
        <v>-27076.739999999998</v>
      </c>
      <c r="M38" s="2"/>
      <c r="N38" s="19">
        <f t="shared" si="16"/>
        <v>-1.2945028161694645</v>
      </c>
      <c r="O38" s="11"/>
      <c r="P38" s="2">
        <v>-86869.48</v>
      </c>
      <c r="Q38" s="2"/>
      <c r="R38" s="19">
        <f t="shared" si="17"/>
        <v>-8.9866547326653348E-2</v>
      </c>
      <c r="S38" s="2"/>
      <c r="T38" s="2">
        <v>980936.82</v>
      </c>
      <c r="U38" s="2"/>
      <c r="V38" s="19">
        <f t="shared" si="18"/>
        <v>0.76915437720311042</v>
      </c>
      <c r="W38" s="2"/>
      <c r="X38" s="2">
        <f t="shared" si="19"/>
        <v>-1067806.3</v>
      </c>
      <c r="Y38" s="2"/>
      <c r="Z38" s="19">
        <f t="shared" si="20"/>
        <v>-1.0885576708192073</v>
      </c>
    </row>
    <row r="39" spans="1:26" s="24" customFormat="1" hidden="1" outlineLevel="1" x14ac:dyDescent="0.3">
      <c r="A39" s="44"/>
      <c r="B39" s="11" t="str">
        <f>CONCATENATE("          ", "5083", " - ", "PURCHASES @ COST-COMPUTER EQUI")</f>
        <v xml:space="preserve">          5083 - PURCHASES @ COST-COMPUTER EQUI</v>
      </c>
      <c r="C39" s="11"/>
      <c r="D39" s="2"/>
      <c r="E39" s="2"/>
      <c r="F39" s="19">
        <f t="shared" si="13"/>
        <v>0</v>
      </c>
      <c r="G39" s="2"/>
      <c r="H39" s="2">
        <v>5833.72</v>
      </c>
      <c r="I39" s="2"/>
      <c r="J39" s="19">
        <f t="shared" si="14"/>
        <v>7.3434051319698684E-2</v>
      </c>
      <c r="K39" s="2"/>
      <c r="L39" s="2">
        <f t="shared" si="15"/>
        <v>-5833.72</v>
      </c>
      <c r="M39" s="2"/>
      <c r="N39" s="19">
        <f t="shared" si="16"/>
        <v>-1</v>
      </c>
      <c r="O39" s="11"/>
      <c r="P39" s="2">
        <v>0</v>
      </c>
      <c r="Q39" s="2"/>
      <c r="R39" s="19">
        <f t="shared" si="17"/>
        <v>0</v>
      </c>
      <c r="S39" s="2"/>
      <c r="T39" s="2">
        <v>81726.84</v>
      </c>
      <c r="U39" s="2"/>
      <c r="V39" s="19">
        <f t="shared" si="18"/>
        <v>6.4082166597618645E-2</v>
      </c>
      <c r="W39" s="2"/>
      <c r="X39" s="2">
        <f t="shared" si="19"/>
        <v>-81726.84</v>
      </c>
      <c r="Y39" s="2"/>
      <c r="Z39" s="19">
        <f t="shared" si="20"/>
        <v>-1</v>
      </c>
    </row>
    <row r="40" spans="1:26" s="24" customFormat="1" hidden="1" outlineLevel="1" x14ac:dyDescent="0.3">
      <c r="A40" s="44"/>
      <c r="B40" s="11" t="str">
        <f>CONCATENATE("          ", "5085", " - ", "PURCHASES @ COST-SOFTWARE")</f>
        <v xml:space="preserve">          5085 - PURCHASES @ COST-SOFTWARE</v>
      </c>
      <c r="C40" s="11"/>
      <c r="D40" s="2"/>
      <c r="E40" s="2"/>
      <c r="F40" s="19">
        <f t="shared" si="13"/>
        <v>0</v>
      </c>
      <c r="G40" s="2"/>
      <c r="H40" s="2">
        <v>496.16</v>
      </c>
      <c r="I40" s="2"/>
      <c r="J40" s="19">
        <f t="shared" si="14"/>
        <v>6.2455926754766602E-3</v>
      </c>
      <c r="K40" s="2"/>
      <c r="L40" s="2">
        <f t="shared" si="15"/>
        <v>-496.16</v>
      </c>
      <c r="M40" s="2"/>
      <c r="N40" s="19">
        <f t="shared" si="16"/>
        <v>-1</v>
      </c>
      <c r="O40" s="11"/>
      <c r="P40" s="2">
        <v>0</v>
      </c>
      <c r="Q40" s="2"/>
      <c r="R40" s="19">
        <f t="shared" si="17"/>
        <v>0</v>
      </c>
      <c r="S40" s="2"/>
      <c r="T40" s="2">
        <v>24572.080000000002</v>
      </c>
      <c r="U40" s="2"/>
      <c r="V40" s="19">
        <f t="shared" si="18"/>
        <v>1.9267013434142482E-2</v>
      </c>
      <c r="W40" s="2"/>
      <c r="X40" s="2">
        <f t="shared" si="19"/>
        <v>-24572.080000000002</v>
      </c>
      <c r="Y40" s="2"/>
      <c r="Z40" s="19">
        <f t="shared" si="20"/>
        <v>-1</v>
      </c>
    </row>
    <row r="41" spans="1:26" s="24" customFormat="1" hidden="1" outlineLevel="1" x14ac:dyDescent="0.3">
      <c r="A41" s="44"/>
      <c r="B41" s="11" t="str">
        <f>CONCATENATE("          ", "5086", " - ", "PURCHASES @ COST-COMPUTER SUPP")</f>
        <v xml:space="preserve">          5086 - PURCHASES @ COST-COMPUTER SUPP</v>
      </c>
      <c r="C41" s="11"/>
      <c r="D41" s="2"/>
      <c r="E41" s="2"/>
      <c r="F41" s="19">
        <f t="shared" si="13"/>
        <v>0</v>
      </c>
      <c r="G41" s="2"/>
      <c r="H41" s="2"/>
      <c r="I41" s="2"/>
      <c r="J41" s="19">
        <f t="shared" si="14"/>
        <v>0</v>
      </c>
      <c r="K41" s="2"/>
      <c r="L41" s="2">
        <f t="shared" si="15"/>
        <v>0</v>
      </c>
      <c r="M41" s="2"/>
      <c r="N41" s="19">
        <f t="shared" si="16"/>
        <v>0</v>
      </c>
      <c r="O41" s="11"/>
      <c r="P41" s="2">
        <v>0</v>
      </c>
      <c r="Q41" s="2"/>
      <c r="R41" s="19">
        <f t="shared" si="17"/>
        <v>0</v>
      </c>
      <c r="S41" s="2"/>
      <c r="T41" s="2">
        <v>22718.61</v>
      </c>
      <c r="U41" s="2"/>
      <c r="V41" s="19">
        <f t="shared" si="18"/>
        <v>1.7813704174617848E-2</v>
      </c>
      <c r="W41" s="2"/>
      <c r="X41" s="2">
        <f t="shared" si="19"/>
        <v>-22718.61</v>
      </c>
      <c r="Y41" s="2"/>
      <c r="Z41" s="19">
        <f t="shared" si="20"/>
        <v>-1</v>
      </c>
    </row>
    <row r="42" spans="1:26" s="24" customFormat="1" hidden="1" outlineLevel="1" x14ac:dyDescent="0.3">
      <c r="A42" s="44"/>
      <c r="B42" s="11" t="str">
        <f>CONCATENATE("          ", "5200", " - ", "PURCHASES OFFSET")</f>
        <v xml:space="preserve">          5200 - PURCHASES OFFSET</v>
      </c>
      <c r="C42" s="11"/>
      <c r="D42" s="2">
        <v>-183675.67</v>
      </c>
      <c r="E42" s="2"/>
      <c r="F42" s="19">
        <f t="shared" si="13"/>
        <v>-1.3754116016996261</v>
      </c>
      <c r="G42" s="2"/>
      <c r="H42" s="2">
        <v>-28230.26</v>
      </c>
      <c r="I42" s="2"/>
      <c r="J42" s="19">
        <f t="shared" si="14"/>
        <v>-0.35535856393663678</v>
      </c>
      <c r="K42" s="2"/>
      <c r="L42" s="2">
        <f t="shared" si="15"/>
        <v>-155445.41</v>
      </c>
      <c r="M42" s="2"/>
      <c r="N42" s="19">
        <f t="shared" si="16"/>
        <v>5.5063400053701246</v>
      </c>
      <c r="O42" s="11"/>
      <c r="P42" s="2">
        <v>-927282.37</v>
      </c>
      <c r="Q42" s="2"/>
      <c r="R42" s="19">
        <f t="shared" si="17"/>
        <v>-0.95927436182162351</v>
      </c>
      <c r="S42" s="2"/>
      <c r="T42" s="2">
        <v>-1131650.54</v>
      </c>
      <c r="U42" s="2"/>
      <c r="V42" s="19">
        <f t="shared" si="18"/>
        <v>-0.88732928416864154</v>
      </c>
      <c r="W42" s="2"/>
      <c r="X42" s="2">
        <f t="shared" si="19"/>
        <v>204368.17000000004</v>
      </c>
      <c r="Y42" s="2"/>
      <c r="Z42" s="19">
        <f t="shared" si="20"/>
        <v>-0.18059300356097566</v>
      </c>
    </row>
    <row r="43" spans="1:26" s="24" customFormat="1" hidden="1" outlineLevel="1" x14ac:dyDescent="0.3">
      <c r="A43" s="44"/>
      <c r="B43" s="11" t="str">
        <f>CONCATENATE("          ", "5300", " - ", "COG$ OFFSET")</f>
        <v xml:space="preserve">          5300 - COG$ OFFSET</v>
      </c>
      <c r="C43" s="11"/>
      <c r="D43" s="2">
        <v>125992.53</v>
      </c>
      <c r="E43" s="2"/>
      <c r="F43" s="19">
        <f t="shared" si="13"/>
        <v>0.9434651170157059</v>
      </c>
      <c r="G43" s="2"/>
      <c r="H43" s="2">
        <v>74328</v>
      </c>
      <c r="I43" s="2"/>
      <c r="J43" s="19">
        <f t="shared" si="14"/>
        <v>0.93563046675030059</v>
      </c>
      <c r="K43" s="2"/>
      <c r="L43" s="2">
        <f t="shared" si="15"/>
        <v>51664.53</v>
      </c>
      <c r="M43" s="2"/>
      <c r="N43" s="19">
        <f t="shared" si="16"/>
        <v>0.69508839199225059</v>
      </c>
      <c r="O43" s="11"/>
      <c r="P43" s="2">
        <v>909361.71</v>
      </c>
      <c r="Q43" s="2"/>
      <c r="R43" s="19">
        <f t="shared" si="17"/>
        <v>0.94073542455602832</v>
      </c>
      <c r="S43" s="2"/>
      <c r="T43" s="2">
        <v>1212021</v>
      </c>
      <c r="U43" s="2"/>
      <c r="V43" s="19">
        <f t="shared" si="18"/>
        <v>0.95034791069631896</v>
      </c>
      <c r="W43" s="2"/>
      <c r="X43" s="2">
        <f t="shared" si="19"/>
        <v>-302659.29000000004</v>
      </c>
      <c r="Y43" s="2"/>
      <c r="Z43" s="19">
        <f t="shared" si="20"/>
        <v>-0.24971455940119852</v>
      </c>
    </row>
    <row r="44" spans="1:26" s="24" customFormat="1" hidden="1" outlineLevel="1" x14ac:dyDescent="0.3">
      <c r="A44" s="44"/>
      <c r="B44" s="11" t="str">
        <f>CONCATENATE("          ", "5500", " - ", "FREIGHT-IN")</f>
        <v xml:space="preserve">          5500 - FREIGHT-IN</v>
      </c>
      <c r="C44" s="11"/>
      <c r="D44" s="2"/>
      <c r="E44" s="2"/>
      <c r="F44" s="19">
        <f t="shared" si="13"/>
        <v>0</v>
      </c>
      <c r="G44" s="2"/>
      <c r="H44" s="2">
        <v>0</v>
      </c>
      <c r="I44" s="2"/>
      <c r="J44" s="19">
        <f t="shared" si="14"/>
        <v>0</v>
      </c>
      <c r="K44" s="2"/>
      <c r="L44" s="2">
        <f t="shared" si="15"/>
        <v>0</v>
      </c>
      <c r="M44" s="2"/>
      <c r="N44" s="19">
        <f t="shared" si="16"/>
        <v>0</v>
      </c>
      <c r="O44" s="11"/>
      <c r="P44" s="2">
        <v>44.19</v>
      </c>
      <c r="Q44" s="2"/>
      <c r="R44" s="19">
        <f t="shared" si="17"/>
        <v>4.5714590744238496E-5</v>
      </c>
      <c r="S44" s="2"/>
      <c r="T44" s="2">
        <v>0</v>
      </c>
      <c r="U44" s="2"/>
      <c r="V44" s="19">
        <f t="shared" si="18"/>
        <v>0</v>
      </c>
      <c r="W44" s="2"/>
      <c r="X44" s="2">
        <f t="shared" si="19"/>
        <v>44.19</v>
      </c>
      <c r="Y44" s="2"/>
      <c r="Z44" s="19">
        <f t="shared" si="20"/>
        <v>0</v>
      </c>
    </row>
    <row r="45" spans="1:26" s="24" customFormat="1" hidden="1" outlineLevel="1" x14ac:dyDescent="0.3">
      <c r="A45" s="44"/>
      <c r="B45" s="11" t="str">
        <f>CONCATENATE("          ", "5581", " - ", "FREIGHT-IN-ELECTRONICS")</f>
        <v xml:space="preserve">          5581 - FREIGHT-IN-ELECTRONICS</v>
      </c>
      <c r="C45" s="11"/>
      <c r="D45" s="2"/>
      <c r="E45" s="2"/>
      <c r="F45" s="19">
        <f t="shared" si="13"/>
        <v>0</v>
      </c>
      <c r="G45" s="2"/>
      <c r="H45" s="2">
        <v>31</v>
      </c>
      <c r="I45" s="2"/>
      <c r="J45" s="19">
        <f t="shared" si="14"/>
        <v>3.9022366361612476E-4</v>
      </c>
      <c r="K45" s="2"/>
      <c r="L45" s="2">
        <f t="shared" si="15"/>
        <v>-31</v>
      </c>
      <c r="M45" s="2"/>
      <c r="N45" s="19">
        <f t="shared" si="16"/>
        <v>-1</v>
      </c>
      <c r="O45" s="11"/>
      <c r="P45" s="2"/>
      <c r="Q45" s="2"/>
      <c r="R45" s="19">
        <f t="shared" si="17"/>
        <v>0</v>
      </c>
      <c r="S45" s="2"/>
      <c r="T45" s="2">
        <v>31</v>
      </c>
      <c r="U45" s="2"/>
      <c r="V45" s="19">
        <f t="shared" si="18"/>
        <v>2.4307157410297253E-5</v>
      </c>
      <c r="W45" s="2"/>
      <c r="X45" s="2">
        <f t="shared" si="19"/>
        <v>-31</v>
      </c>
      <c r="Y45" s="2"/>
      <c r="Z45" s="19">
        <f t="shared" si="20"/>
        <v>-1</v>
      </c>
    </row>
    <row r="46" spans="1:26" s="24" customFormat="1" hidden="1" outlineLevel="1" x14ac:dyDescent="0.3">
      <c r="A46" s="44"/>
      <c r="B46" s="11" t="str">
        <f>CONCATENATE("          ", "5582", " - ", "FREIGHT-IN-COMPUTER HARDWARE")</f>
        <v xml:space="preserve">          5582 - FREIGHT-IN-COMPUTER HARDWARE</v>
      </c>
      <c r="C46" s="11"/>
      <c r="D46" s="2"/>
      <c r="E46" s="2"/>
      <c r="F46" s="19">
        <f t="shared" si="13"/>
        <v>0</v>
      </c>
      <c r="G46" s="2"/>
      <c r="H46" s="2"/>
      <c r="I46" s="2"/>
      <c r="J46" s="19">
        <f t="shared" si="14"/>
        <v>0</v>
      </c>
      <c r="K46" s="2"/>
      <c r="L46" s="2">
        <f t="shared" si="15"/>
        <v>0</v>
      </c>
      <c r="M46" s="2"/>
      <c r="N46" s="19">
        <f t="shared" si="16"/>
        <v>0</v>
      </c>
      <c r="O46" s="11"/>
      <c r="P46" s="2"/>
      <c r="Q46" s="2"/>
      <c r="R46" s="19">
        <f t="shared" si="17"/>
        <v>0</v>
      </c>
      <c r="S46" s="2"/>
      <c r="T46" s="2">
        <v>94</v>
      </c>
      <c r="U46" s="2"/>
      <c r="V46" s="19">
        <f t="shared" si="18"/>
        <v>7.3705574082836837E-5</v>
      </c>
      <c r="W46" s="2"/>
      <c r="X46" s="2">
        <f t="shared" si="19"/>
        <v>-94</v>
      </c>
      <c r="Y46" s="2"/>
      <c r="Z46" s="19">
        <f t="shared" si="20"/>
        <v>-1</v>
      </c>
    </row>
    <row r="47" spans="1:26" s="24" customFormat="1" hidden="1" outlineLevel="1" x14ac:dyDescent="0.3">
      <c r="A47" s="44"/>
      <c r="B47" s="11" t="str">
        <f>CONCATENATE("          ", "5583", " - ", "FREIGHT-IN-COMPUTER EQUIPMENT")</f>
        <v xml:space="preserve">          5583 - FREIGHT-IN-COMPUTER EQUIPMENT</v>
      </c>
      <c r="C47" s="11"/>
      <c r="D47" s="2"/>
      <c r="E47" s="2"/>
      <c r="F47" s="19">
        <f t="shared" si="13"/>
        <v>0</v>
      </c>
      <c r="G47" s="2"/>
      <c r="H47" s="2">
        <v>7.23</v>
      </c>
      <c r="I47" s="2"/>
      <c r="J47" s="19">
        <f t="shared" si="14"/>
        <v>9.1010228643373614E-5</v>
      </c>
      <c r="K47" s="2"/>
      <c r="L47" s="2">
        <f t="shared" si="15"/>
        <v>-7.23</v>
      </c>
      <c r="M47" s="2"/>
      <c r="N47" s="19">
        <f t="shared" si="16"/>
        <v>-1</v>
      </c>
      <c r="O47" s="11"/>
      <c r="P47" s="2">
        <v>0</v>
      </c>
      <c r="Q47" s="2"/>
      <c r="R47" s="19">
        <f t="shared" si="17"/>
        <v>0</v>
      </c>
      <c r="S47" s="2"/>
      <c r="T47" s="2">
        <v>232.4</v>
      </c>
      <c r="U47" s="2"/>
      <c r="V47" s="19">
        <f t="shared" si="18"/>
        <v>1.822252703920349E-4</v>
      </c>
      <c r="W47" s="2"/>
      <c r="X47" s="2">
        <f t="shared" si="19"/>
        <v>-232.4</v>
      </c>
      <c r="Y47" s="2"/>
      <c r="Z47" s="19">
        <f t="shared" si="20"/>
        <v>-1</v>
      </c>
    </row>
    <row r="48" spans="1:26" s="24" customFormat="1" hidden="1" outlineLevel="1" x14ac:dyDescent="0.3">
      <c r="A48" s="44"/>
      <c r="B48" s="11" t="str">
        <f>CONCATENATE("          ", "5586", " - ", "FREIGHT-IN-COMPUTER SUPPLIES")</f>
        <v xml:space="preserve">          5586 - FREIGHT-IN-COMPUTER SUPPLIES</v>
      </c>
      <c r="C48" s="11"/>
      <c r="D48" s="2"/>
      <c r="E48" s="2"/>
      <c r="F48" s="19">
        <f t="shared" si="13"/>
        <v>0</v>
      </c>
      <c r="G48" s="2"/>
      <c r="H48" s="2"/>
      <c r="I48" s="2"/>
      <c r="J48" s="19">
        <f t="shared" si="14"/>
        <v>0</v>
      </c>
      <c r="K48" s="2"/>
      <c r="L48" s="2">
        <f t="shared" si="15"/>
        <v>0</v>
      </c>
      <c r="M48" s="2"/>
      <c r="N48" s="19">
        <f t="shared" si="16"/>
        <v>0</v>
      </c>
      <c r="O48" s="11"/>
      <c r="P48" s="2"/>
      <c r="Q48" s="2"/>
      <c r="R48" s="19">
        <f t="shared" si="17"/>
        <v>0</v>
      </c>
      <c r="S48" s="2"/>
      <c r="T48" s="2">
        <v>24.12</v>
      </c>
      <c r="U48" s="2"/>
      <c r="V48" s="19">
        <f t="shared" si="18"/>
        <v>1.8912536668915153E-5</v>
      </c>
      <c r="W48" s="2"/>
      <c r="X48" s="2">
        <f t="shared" si="19"/>
        <v>-24.12</v>
      </c>
      <c r="Y48" s="2"/>
      <c r="Z48" s="19">
        <f t="shared" si="20"/>
        <v>-1</v>
      </c>
    </row>
    <row r="49" spans="1:26" x14ac:dyDescent="0.3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3">
      <c r="A50" s="10"/>
      <c r="B50" s="26" t="s">
        <v>107</v>
      </c>
      <c r="C50" s="26"/>
      <c r="D50" s="20">
        <f>D12-D35</f>
        <v>13709.829999999987</v>
      </c>
      <c r="E50" s="13"/>
      <c r="F50" s="21">
        <f>IF(D$12=0,0,D50/D$12)</f>
        <v>0.10266280362189269</v>
      </c>
      <c r="G50" s="13"/>
      <c r="H50" s="20">
        <f>H12-H35</f>
        <v>5113.6199999999808</v>
      </c>
      <c r="I50" s="13"/>
      <c r="J50" s="21">
        <f>IF(H$12=0,0,H50/H$12)</f>
        <v>6.4369533249699365E-2</v>
      </c>
      <c r="K50" s="15"/>
      <c r="L50" s="20">
        <f>+D50-H50</f>
        <v>8596.2100000000064</v>
      </c>
      <c r="M50" s="15"/>
      <c r="N50" s="21">
        <f>IF(H50=0,0,L50/H50)</f>
        <v>1.6810420015566347</v>
      </c>
      <c r="O50" s="25"/>
      <c r="P50" s="20">
        <f>P12-P35</f>
        <v>144157.57000000007</v>
      </c>
      <c r="Q50" s="13"/>
      <c r="R50" s="21">
        <f>IF(P$12=0,0,P50/P$12)</f>
        <v>0.14913112277062496</v>
      </c>
      <c r="S50" s="13"/>
      <c r="T50" s="20">
        <f>T12-T35</f>
        <v>59377.680000000168</v>
      </c>
      <c r="U50" s="13"/>
      <c r="V50" s="21">
        <f>IF(T$12=0,0,T50/T$12)</f>
        <v>4.6558148852202039E-2</v>
      </c>
      <c r="W50" s="15"/>
      <c r="X50" s="20">
        <f>+P50-T50</f>
        <v>84779.889999999898</v>
      </c>
      <c r="Y50" s="15"/>
      <c r="Z50" s="21">
        <f>IF(T50=0,0,X50/T50)</f>
        <v>1.4278073848624544</v>
      </c>
    </row>
    <row r="51" spans="1:26" x14ac:dyDescent="0.3">
      <c r="A51" s="9"/>
      <c r="B51" s="10"/>
      <c r="C51" s="9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3">
      <c r="A52" s="10"/>
      <c r="B52" s="25" t="s">
        <v>294</v>
      </c>
      <c r="C52" s="10"/>
      <c r="D52" s="22">
        <f>SUM(OSRRefD22x_0)</f>
        <v>12627.03</v>
      </c>
      <c r="E52" s="22"/>
      <c r="F52" s="34">
        <f t="shared" ref="F52:F62" si="21">IF(D$12=0,0,D52/D$12)</f>
        <v>9.4554513164477522E-2</v>
      </c>
      <c r="G52" s="22"/>
      <c r="H52" s="22">
        <f>SUM(OSRRefH22x_0)</f>
        <v>13842.730000000001</v>
      </c>
      <c r="I52" s="22"/>
      <c r="J52" s="34">
        <f t="shared" ref="J52:J62" si="22">IF(H$12=0,0,H52/H$12)</f>
        <v>0.1742503488725432</v>
      </c>
      <c r="K52" s="4"/>
      <c r="L52" s="22">
        <f t="shared" ref="L52:L62" si="23">+D52-H52</f>
        <v>-1215.7000000000007</v>
      </c>
      <c r="M52" s="4"/>
      <c r="N52" s="34">
        <f t="shared" ref="N52:N62" si="24">IF(H52=0,0,L52/H52)</f>
        <v>-8.7822272051827965E-2</v>
      </c>
      <c r="O52" s="10"/>
      <c r="P52" s="22">
        <f>SUM(OSRRefP22x_0)</f>
        <v>84408.550000000032</v>
      </c>
      <c r="Q52" s="22"/>
      <c r="R52" s="34">
        <f t="shared" ref="R52:R62" si="25">IF(P$12=0,0,P52/P$12)</f>
        <v>8.7320713251065718E-2</v>
      </c>
      <c r="S52" s="22"/>
      <c r="T52" s="22">
        <f>SUM(OSRRefT22x_0)</f>
        <v>80226.430000000008</v>
      </c>
      <c r="U52" s="22"/>
      <c r="V52" s="34">
        <f t="shared" ref="V52:V62" si="26">IF(T$12=0,0,T52/T$12)</f>
        <v>6.2905692337941743E-2</v>
      </c>
      <c r="W52" s="4"/>
      <c r="X52" s="22">
        <f t="shared" ref="X52:X62" si="27">+P52-T52</f>
        <v>4182.1200000000244</v>
      </c>
      <c r="Y52" s="4"/>
      <c r="Z52" s="34">
        <f t="shared" ref="Z52:Z62" si="28">IF(T52=0,0,X52/T52)</f>
        <v>5.2128955507555606E-2</v>
      </c>
    </row>
    <row r="53" spans="1:26" s="29" customFormat="1" outlineLevel="1" collapsed="1" x14ac:dyDescent="0.3">
      <c r="A53" s="27"/>
      <c r="B53" s="14" t="str">
        <f>CONCATENATE("     ","*Benefits                                         ")</f>
        <v xml:space="preserve">     *Benefits                                         </v>
      </c>
      <c r="C53" s="14"/>
      <c r="D53" s="1">
        <f>SUM(OSRRefD22_0x_0)</f>
        <v>2379.6800000000003</v>
      </c>
      <c r="E53" s="1"/>
      <c r="F53" s="5">
        <f t="shared" si="21"/>
        <v>1.7819668115720316E-2</v>
      </c>
      <c r="G53" s="1"/>
      <c r="H53" s="1">
        <f>SUM(OSRRefH22_0x_0)</f>
        <v>2984.54</v>
      </c>
      <c r="I53" s="1"/>
      <c r="J53" s="5">
        <f t="shared" si="22"/>
        <v>3.7568972032544161E-2</v>
      </c>
      <c r="K53" s="1"/>
      <c r="L53" s="1">
        <f t="shared" si="23"/>
        <v>-604.85999999999967</v>
      </c>
      <c r="M53" s="1"/>
      <c r="N53" s="5">
        <f t="shared" si="24"/>
        <v>-0.20266439719353727</v>
      </c>
      <c r="O53" s="14"/>
      <c r="P53" s="1">
        <f>SUM(OSRRefP22_0x_0)</f>
        <v>11303.21</v>
      </c>
      <c r="Q53" s="1"/>
      <c r="R53" s="5">
        <f t="shared" si="25"/>
        <v>1.1693179887897353E-2</v>
      </c>
      <c r="S53" s="1"/>
      <c r="T53" s="1">
        <f>SUM(OSRRefT22_0x_0)</f>
        <v>17818.880000000005</v>
      </c>
      <c r="U53" s="1"/>
      <c r="V53" s="5">
        <f t="shared" si="26"/>
        <v>1.3971816807587021E-2</v>
      </c>
      <c r="W53" s="1"/>
      <c r="X53" s="1">
        <f t="shared" si="27"/>
        <v>-6515.6700000000055</v>
      </c>
      <c r="Y53" s="1"/>
      <c r="Z53" s="5">
        <f t="shared" si="28"/>
        <v>-0.36566102920048871</v>
      </c>
    </row>
    <row r="54" spans="1:26" s="24" customFormat="1" hidden="1" outlineLevel="2" x14ac:dyDescent="0.3">
      <c r="A54" s="28"/>
      <c r="B54" s="11" t="str">
        <f>CONCATENATE("          ", "6111", " - ", "F.I.C.A.")</f>
        <v xml:space="preserve">          6111 - F.I.C.A.</v>
      </c>
      <c r="C54" s="11"/>
      <c r="D54" s="6">
        <v>494.27</v>
      </c>
      <c r="E54" s="2"/>
      <c r="F54" s="7">
        <f t="shared" si="21"/>
        <v>3.7012234248121928E-3</v>
      </c>
      <c r="G54" s="2"/>
      <c r="H54" s="6">
        <v>443.32</v>
      </c>
      <c r="I54" s="2"/>
      <c r="J54" s="7">
        <f t="shared" si="22"/>
        <v>5.5804501469129165E-3</v>
      </c>
      <c r="K54" s="2"/>
      <c r="L54" s="6">
        <f t="shared" si="23"/>
        <v>50.949999999999989</v>
      </c>
      <c r="M54" s="2"/>
      <c r="N54" s="7">
        <f t="shared" si="24"/>
        <v>0.11492826851935393</v>
      </c>
      <c r="O54" s="11"/>
      <c r="P54" s="6">
        <v>3303.91</v>
      </c>
      <c r="Q54" s="2"/>
      <c r="R54" s="7">
        <f t="shared" si="25"/>
        <v>3.4178975674541076E-3</v>
      </c>
      <c r="S54" s="2"/>
      <c r="T54" s="6">
        <v>3390.36</v>
      </c>
      <c r="U54" s="2"/>
      <c r="V54" s="7">
        <f t="shared" si="26"/>
        <v>2.6583875547604966E-3</v>
      </c>
      <c r="W54" s="2"/>
      <c r="X54" s="6">
        <f t="shared" si="27"/>
        <v>-86.450000000000273</v>
      </c>
      <c r="Y54" s="2"/>
      <c r="Z54" s="7">
        <f t="shared" si="28"/>
        <v>-2.549876709258022E-2</v>
      </c>
    </row>
    <row r="55" spans="1:26" s="24" customFormat="1" hidden="1" outlineLevel="2" x14ac:dyDescent="0.3">
      <c r="A55" s="28"/>
      <c r="B55" s="11" t="str">
        <f>CONCATENATE("          ", "6112", " - ", "COMPENSATION INSURANCE")</f>
        <v xml:space="preserve">          6112 - COMPENSATION INSURANCE</v>
      </c>
      <c r="C55" s="11"/>
      <c r="D55" s="6">
        <v>142.52000000000001</v>
      </c>
      <c r="E55" s="2"/>
      <c r="F55" s="7">
        <f t="shared" si="21"/>
        <v>1.0672271481259913E-3</v>
      </c>
      <c r="G55" s="2"/>
      <c r="H55" s="6">
        <v>256.8</v>
      </c>
      <c r="I55" s="2"/>
      <c r="J55" s="7">
        <f t="shared" si="22"/>
        <v>3.2325624779555107E-3</v>
      </c>
      <c r="K55" s="2"/>
      <c r="L55" s="6">
        <f t="shared" si="23"/>
        <v>-114.28</v>
      </c>
      <c r="M55" s="2"/>
      <c r="N55" s="7">
        <f t="shared" si="24"/>
        <v>-0.44501557632398753</v>
      </c>
      <c r="O55" s="11"/>
      <c r="P55" s="6">
        <v>876.92</v>
      </c>
      <c r="Q55" s="2"/>
      <c r="R55" s="7">
        <f t="shared" si="25"/>
        <v>9.0717444931970185E-4</v>
      </c>
      <c r="S55" s="2"/>
      <c r="T55" s="6">
        <v>982.53</v>
      </c>
      <c r="U55" s="2"/>
      <c r="V55" s="7">
        <f t="shared" si="26"/>
        <v>7.7040359259159224E-4</v>
      </c>
      <c r="W55" s="2"/>
      <c r="X55" s="6">
        <f t="shared" si="27"/>
        <v>-105.61000000000001</v>
      </c>
      <c r="Y55" s="2"/>
      <c r="Z55" s="7">
        <f t="shared" si="28"/>
        <v>-0.10748781207698495</v>
      </c>
    </row>
    <row r="56" spans="1:26" s="24" customFormat="1" hidden="1" outlineLevel="2" x14ac:dyDescent="0.3">
      <c r="A56" s="28"/>
      <c r="B56" s="11" t="str">
        <f>CONCATENATE("          ", "6113", " - ", "GROUP INSURANCE")</f>
        <v xml:space="preserve">          6113 - GROUP INSURANCE</v>
      </c>
      <c r="C56" s="11"/>
      <c r="D56" s="6">
        <v>853.84</v>
      </c>
      <c r="E56" s="2"/>
      <c r="F56" s="7">
        <f t="shared" si="21"/>
        <v>6.3937779129658746E-3</v>
      </c>
      <c r="G56" s="2"/>
      <c r="H56" s="6">
        <v>1036.33</v>
      </c>
      <c r="I56" s="2"/>
      <c r="J56" s="7">
        <f t="shared" si="22"/>
        <v>1.304517707468705E-2</v>
      </c>
      <c r="K56" s="2"/>
      <c r="L56" s="6">
        <f t="shared" si="23"/>
        <v>-182.4899999999999</v>
      </c>
      <c r="M56" s="2"/>
      <c r="N56" s="7">
        <f t="shared" si="24"/>
        <v>-0.17609255739002047</v>
      </c>
      <c r="O56" s="11"/>
      <c r="P56" s="6">
        <v>3750.41</v>
      </c>
      <c r="Q56" s="2"/>
      <c r="R56" s="7">
        <f t="shared" si="25"/>
        <v>3.8798021786173231E-3</v>
      </c>
      <c r="S56" s="2"/>
      <c r="T56" s="6">
        <v>6214.78</v>
      </c>
      <c r="U56" s="2"/>
      <c r="V56" s="7">
        <f t="shared" si="26"/>
        <v>4.8730205074311991E-3</v>
      </c>
      <c r="W56" s="2"/>
      <c r="X56" s="6">
        <f t="shared" si="27"/>
        <v>-2464.37</v>
      </c>
      <c r="Y56" s="2"/>
      <c r="Z56" s="7">
        <f t="shared" si="28"/>
        <v>-0.39653374697093058</v>
      </c>
    </row>
    <row r="57" spans="1:26" s="24" customFormat="1" hidden="1" outlineLevel="2" x14ac:dyDescent="0.3">
      <c r="A57" s="28"/>
      <c r="B57" s="11" t="str">
        <f>CONCATENATE("          ", "6114", " - ", "STATE UNEMPLOYMENT INSURANCE")</f>
        <v xml:space="preserve">          6114 - STATE UNEMPLOYMENT INSURANCE</v>
      </c>
      <c r="C57" s="11"/>
      <c r="D57" s="6">
        <v>25.04</v>
      </c>
      <c r="E57" s="2"/>
      <c r="F57" s="7">
        <f t="shared" si="21"/>
        <v>1.8750608889331197E-4</v>
      </c>
      <c r="G57" s="2"/>
      <c r="H57" s="6"/>
      <c r="I57" s="2"/>
      <c r="J57" s="7">
        <f t="shared" si="22"/>
        <v>0</v>
      </c>
      <c r="K57" s="2"/>
      <c r="L57" s="6">
        <f t="shared" si="23"/>
        <v>25.04</v>
      </c>
      <c r="M57" s="2"/>
      <c r="N57" s="7">
        <f t="shared" si="24"/>
        <v>0</v>
      </c>
      <c r="O57" s="11"/>
      <c r="P57" s="6">
        <v>154.06</v>
      </c>
      <c r="Q57" s="2"/>
      <c r="R57" s="7">
        <f t="shared" si="25"/>
        <v>1.5937519461546465E-4</v>
      </c>
      <c r="S57" s="2"/>
      <c r="T57" s="6">
        <v>116.69</v>
      </c>
      <c r="U57" s="2"/>
      <c r="V57" s="7">
        <f t="shared" si="26"/>
        <v>9.1496845103470527E-5</v>
      </c>
      <c r="W57" s="2"/>
      <c r="X57" s="6">
        <f t="shared" si="27"/>
        <v>37.370000000000005</v>
      </c>
      <c r="Y57" s="2"/>
      <c r="Z57" s="7">
        <f t="shared" si="28"/>
        <v>0.32025023566715233</v>
      </c>
    </row>
    <row r="58" spans="1:26" s="24" customFormat="1" hidden="1" outlineLevel="2" x14ac:dyDescent="0.3">
      <c r="A58" s="28"/>
      <c r="B58" s="11" t="str">
        <f>CONCATENATE("          ", "6115", " - ", "P.E.R.S.")</f>
        <v xml:space="preserve">          6115 - P.E.R.S.</v>
      </c>
      <c r="C58" s="11"/>
      <c r="D58" s="6">
        <v>103.22</v>
      </c>
      <c r="E58" s="2"/>
      <c r="F58" s="7">
        <f t="shared" si="21"/>
        <v>7.7293843832139224E-4</v>
      </c>
      <c r="G58" s="2"/>
      <c r="H58" s="6">
        <v>176.42</v>
      </c>
      <c r="I58" s="2"/>
      <c r="J58" s="7">
        <f t="shared" si="22"/>
        <v>2.2207502817792493E-3</v>
      </c>
      <c r="K58" s="2"/>
      <c r="L58" s="6">
        <f t="shared" si="23"/>
        <v>-73.199999999999989</v>
      </c>
      <c r="M58" s="2"/>
      <c r="N58" s="7">
        <f t="shared" si="24"/>
        <v>-0.41491894343045005</v>
      </c>
      <c r="O58" s="11"/>
      <c r="P58" s="6">
        <v>687.72</v>
      </c>
      <c r="Q58" s="2"/>
      <c r="R58" s="7">
        <f t="shared" si="25"/>
        <v>7.1144689628032819E-4</v>
      </c>
      <c r="S58" s="2"/>
      <c r="T58" s="6">
        <v>1146.73</v>
      </c>
      <c r="U58" s="2"/>
      <c r="V58" s="7">
        <f t="shared" si="26"/>
        <v>8.9915311668097323E-4</v>
      </c>
      <c r="W58" s="2"/>
      <c r="X58" s="6">
        <f t="shared" si="27"/>
        <v>-459.01</v>
      </c>
      <c r="Y58" s="2"/>
      <c r="Z58" s="7">
        <f t="shared" si="28"/>
        <v>-0.40027731026484004</v>
      </c>
    </row>
    <row r="59" spans="1:26" s="24" customFormat="1" hidden="1" outlineLevel="2" x14ac:dyDescent="0.3">
      <c r="A59" s="28"/>
      <c r="B59" s="11" t="str">
        <f>CONCATENATE("          ", "6117", " - ", "RETIREMENT STAFF HOURLY")</f>
        <v xml:space="preserve">          6117 - RETIREMENT STAFF HOURLY</v>
      </c>
      <c r="C59" s="11"/>
      <c r="D59" s="6">
        <v>120</v>
      </c>
      <c r="E59" s="2"/>
      <c r="F59" s="7">
        <f t="shared" si="21"/>
        <v>8.9859148031938649E-4</v>
      </c>
      <c r="G59" s="2"/>
      <c r="H59" s="6">
        <v>170.96</v>
      </c>
      <c r="I59" s="2"/>
      <c r="J59" s="7">
        <f t="shared" si="22"/>
        <v>2.1520205655423449E-3</v>
      </c>
      <c r="K59" s="2"/>
      <c r="L59" s="6">
        <f t="shared" si="23"/>
        <v>-50.960000000000008</v>
      </c>
      <c r="M59" s="2"/>
      <c r="N59" s="7">
        <f t="shared" si="24"/>
        <v>-0.29808142255498365</v>
      </c>
      <c r="O59" s="11"/>
      <c r="P59" s="6">
        <v>-417.34</v>
      </c>
      <c r="Q59" s="2"/>
      <c r="R59" s="7">
        <f t="shared" si="25"/>
        <v>-4.3173856757638593E-4</v>
      </c>
      <c r="S59" s="2"/>
      <c r="T59" s="6">
        <v>1105.04</v>
      </c>
      <c r="U59" s="2"/>
      <c r="V59" s="7">
        <f t="shared" si="26"/>
        <v>8.6646391047338314E-4</v>
      </c>
      <c r="W59" s="2"/>
      <c r="X59" s="6">
        <f t="shared" si="27"/>
        <v>-1522.3799999999999</v>
      </c>
      <c r="Y59" s="2"/>
      <c r="Z59" s="7">
        <f t="shared" si="28"/>
        <v>-1.3776695866212987</v>
      </c>
    </row>
    <row r="60" spans="1:26" s="24" customFormat="1" hidden="1" outlineLevel="2" x14ac:dyDescent="0.3">
      <c r="A60" s="28"/>
      <c r="B60" s="11" t="str">
        <f>CONCATENATE("          ", "6118", " - ", "VACATION")</f>
        <v xml:space="preserve">          6118 - VACATION</v>
      </c>
      <c r="C60" s="11"/>
      <c r="D60" s="6">
        <v>227.57</v>
      </c>
      <c r="E60" s="2"/>
      <c r="F60" s="7">
        <f t="shared" si="21"/>
        <v>1.7041038598023565E-3</v>
      </c>
      <c r="G60" s="2"/>
      <c r="H60" s="6">
        <v>267.04000000000002</v>
      </c>
      <c r="I60" s="2"/>
      <c r="J60" s="7">
        <f t="shared" si="22"/>
        <v>3.3614621655499986E-3</v>
      </c>
      <c r="K60" s="2"/>
      <c r="L60" s="6">
        <f t="shared" si="23"/>
        <v>-39.470000000000027</v>
      </c>
      <c r="M60" s="2"/>
      <c r="N60" s="7">
        <f t="shared" si="24"/>
        <v>-0.1478055721989216</v>
      </c>
      <c r="O60" s="11"/>
      <c r="P60" s="6">
        <v>1015.47</v>
      </c>
      <c r="Q60" s="2"/>
      <c r="R60" s="7">
        <f t="shared" si="25"/>
        <v>1.0505045363894969E-3</v>
      </c>
      <c r="S60" s="2"/>
      <c r="T60" s="6">
        <v>1689.54</v>
      </c>
      <c r="U60" s="2"/>
      <c r="V60" s="7">
        <f t="shared" si="26"/>
        <v>1.3247714429352781E-3</v>
      </c>
      <c r="W60" s="2"/>
      <c r="X60" s="6">
        <f t="shared" si="27"/>
        <v>-674.06999999999994</v>
      </c>
      <c r="Y60" s="2"/>
      <c r="Z60" s="7">
        <f t="shared" si="28"/>
        <v>-0.39896658262012141</v>
      </c>
    </row>
    <row r="61" spans="1:26" s="24" customFormat="1" hidden="1" outlineLevel="2" x14ac:dyDescent="0.3">
      <c r="A61" s="28"/>
      <c r="B61" s="11" t="str">
        <f>CONCATENATE("          ", "6119", " - ", "SICK LEAVE")</f>
        <v xml:space="preserve">          6119 - SICK LEAVE</v>
      </c>
      <c r="C61" s="11"/>
      <c r="D61" s="6">
        <v>216.23</v>
      </c>
      <c r="E61" s="2"/>
      <c r="F61" s="7">
        <f t="shared" si="21"/>
        <v>1.6191869649121744E-3</v>
      </c>
      <c r="G61" s="2"/>
      <c r="H61" s="6">
        <v>267.63</v>
      </c>
      <c r="I61" s="2"/>
      <c r="J61" s="7">
        <f t="shared" si="22"/>
        <v>3.3688890030188212E-3</v>
      </c>
      <c r="K61" s="2"/>
      <c r="L61" s="6">
        <f t="shared" si="23"/>
        <v>-51.400000000000006</v>
      </c>
      <c r="M61" s="2"/>
      <c r="N61" s="7">
        <f t="shared" si="24"/>
        <v>-0.1920561969883795</v>
      </c>
      <c r="O61" s="11"/>
      <c r="P61" s="6">
        <v>1046.9100000000001</v>
      </c>
      <c r="Q61" s="2"/>
      <c r="R61" s="7">
        <f t="shared" si="25"/>
        <v>1.0830292418205641E-3</v>
      </c>
      <c r="S61" s="2"/>
      <c r="T61" s="6">
        <v>1684.29</v>
      </c>
      <c r="U61" s="2"/>
      <c r="V61" s="7">
        <f t="shared" si="26"/>
        <v>1.3206549082125664E-3</v>
      </c>
      <c r="W61" s="2"/>
      <c r="X61" s="6">
        <f t="shared" si="27"/>
        <v>-637.37999999999988</v>
      </c>
      <c r="Y61" s="2"/>
      <c r="Z61" s="7">
        <f t="shared" si="28"/>
        <v>-0.37842651799868188</v>
      </c>
    </row>
    <row r="62" spans="1:26" s="24" customFormat="1" hidden="1" outlineLevel="2" x14ac:dyDescent="0.3">
      <c r="A62" s="28"/>
      <c r="B62" s="11" t="str">
        <f>CONCATENATE("          ", "6156", " - ", "EMPLOYEE MEALS")</f>
        <v xml:space="preserve">          6156 - EMPLOYEE MEALS</v>
      </c>
      <c r="C62" s="11"/>
      <c r="D62" s="6">
        <v>196.99</v>
      </c>
      <c r="E62" s="2"/>
      <c r="F62" s="7">
        <f t="shared" si="21"/>
        <v>1.4751127975676328E-3</v>
      </c>
      <c r="G62" s="2"/>
      <c r="H62" s="6">
        <v>366.04</v>
      </c>
      <c r="I62" s="2"/>
      <c r="J62" s="7">
        <f t="shared" si="22"/>
        <v>4.6076603170982682E-3</v>
      </c>
      <c r="K62" s="2"/>
      <c r="L62" s="6">
        <f t="shared" si="23"/>
        <v>-169.05</v>
      </c>
      <c r="M62" s="2"/>
      <c r="N62" s="7">
        <f t="shared" si="24"/>
        <v>-0.46183477215604851</v>
      </c>
      <c r="O62" s="11"/>
      <c r="P62" s="6">
        <v>885.15</v>
      </c>
      <c r="Q62" s="2"/>
      <c r="R62" s="7">
        <f t="shared" si="25"/>
        <v>9.1568839097675282E-4</v>
      </c>
      <c r="S62" s="2"/>
      <c r="T62" s="6">
        <v>1488.92</v>
      </c>
      <c r="U62" s="2"/>
      <c r="V62" s="7">
        <f t="shared" si="26"/>
        <v>1.1674649293980576E-3</v>
      </c>
      <c r="W62" s="2"/>
      <c r="X62" s="6">
        <f t="shared" si="27"/>
        <v>-603.7700000000001</v>
      </c>
      <c r="Y62" s="2"/>
      <c r="Z62" s="7">
        <f t="shared" si="28"/>
        <v>-0.40550869086317604</v>
      </c>
    </row>
    <row r="63" spans="1:26" s="29" customFormat="1" outlineLevel="1" collapsed="1" x14ac:dyDescent="0.3">
      <c r="A63" s="27"/>
      <c r="B63" s="14" t="str">
        <f>CONCATENATE("     ","*Payroll                                          ")</f>
        <v xml:space="preserve">     *Payroll                                          </v>
      </c>
      <c r="C63" s="14"/>
      <c r="D63" s="1">
        <f>SUM(OSRRefD22_1x_0)</f>
        <v>9388.6099999999988</v>
      </c>
      <c r="E63" s="1"/>
      <c r="F63" s="5">
        <f t="shared" ref="F63:F68" si="29">IF(D$12=0,0,D63/D$12)</f>
        <v>7.0304374650344947E-2</v>
      </c>
      <c r="G63" s="1"/>
      <c r="H63" s="1">
        <f>SUM(OSRRefH22_1x_0)</f>
        <v>7948.3600000000006</v>
      </c>
      <c r="I63" s="1"/>
      <c r="J63" s="5">
        <f t="shared" ref="J63:J68" si="30">IF(H$12=0,0,H63/H$12)</f>
        <v>0.10005284383676973</v>
      </c>
      <c r="K63" s="1"/>
      <c r="L63" s="1">
        <f t="shared" ref="L63:L68" si="31">+D63-H63</f>
        <v>1440.2499999999982</v>
      </c>
      <c r="M63" s="1"/>
      <c r="N63" s="5">
        <f t="shared" ref="N63:N68" si="32">IF(H63=0,0,L63/H63)</f>
        <v>0.18120090182125598</v>
      </c>
      <c r="O63" s="14"/>
      <c r="P63" s="1">
        <f>SUM(OSRRefP22_1x_0)</f>
        <v>60972.63</v>
      </c>
      <c r="Q63" s="1"/>
      <c r="R63" s="5">
        <f t="shared" ref="R63:R68" si="33">IF(P$12=0,0,P63/P$12)</f>
        <v>6.3076235054308177E-2</v>
      </c>
      <c r="S63" s="1"/>
      <c r="T63" s="1">
        <f>SUM(OSRRefT22_1x_0)</f>
        <v>47428.14</v>
      </c>
      <c r="U63" s="1"/>
      <c r="V63" s="5">
        <f t="shared" ref="V63:V68" si="34">IF(T$12=0,0,T63/T$12)</f>
        <v>3.7188492408310181E-2</v>
      </c>
      <c r="W63" s="1"/>
      <c r="X63" s="1">
        <f t="shared" ref="X63:X68" si="35">+P63-T63</f>
        <v>13544.489999999998</v>
      </c>
      <c r="Y63" s="1"/>
      <c r="Z63" s="5">
        <f t="shared" ref="Z63:Z68" si="36">IF(T63=0,0,X63/T63)</f>
        <v>0.28557919412399468</v>
      </c>
    </row>
    <row r="64" spans="1:26" s="24" customFormat="1" hidden="1" outlineLevel="2" x14ac:dyDescent="0.3">
      <c r="A64" s="28"/>
      <c r="B64" s="11" t="str">
        <f>CONCATENATE("          ", "6002", " - ", "STAFF SALARIES")</f>
        <v xml:space="preserve">          6002 - STAFF SALARIES</v>
      </c>
      <c r="C64" s="11"/>
      <c r="D64" s="6">
        <v>1360</v>
      </c>
      <c r="E64" s="2"/>
      <c r="F64" s="7">
        <f t="shared" si="29"/>
        <v>1.0184036776953046E-2</v>
      </c>
      <c r="G64" s="2"/>
      <c r="H64" s="6">
        <v>1939.96</v>
      </c>
      <c r="I64" s="2"/>
      <c r="J64" s="7">
        <f t="shared" si="30"/>
        <v>2.4419945111894752E-2</v>
      </c>
      <c r="K64" s="2"/>
      <c r="L64" s="6">
        <f t="shared" si="31"/>
        <v>-579.96</v>
      </c>
      <c r="M64" s="2"/>
      <c r="N64" s="7">
        <f t="shared" si="32"/>
        <v>-0.29895461762098191</v>
      </c>
      <c r="O64" s="11"/>
      <c r="P64" s="6">
        <v>11552.94</v>
      </c>
      <c r="Q64" s="2"/>
      <c r="R64" s="7">
        <f t="shared" si="33"/>
        <v>1.1951525774898003E-2</v>
      </c>
      <c r="S64" s="2"/>
      <c r="T64" s="6">
        <v>13237.35</v>
      </c>
      <c r="U64" s="2"/>
      <c r="V64" s="7">
        <f t="shared" si="34"/>
        <v>1.0379430649845109E-2</v>
      </c>
      <c r="W64" s="2"/>
      <c r="X64" s="6">
        <f t="shared" si="35"/>
        <v>-1684.4099999999999</v>
      </c>
      <c r="Y64" s="2"/>
      <c r="Z64" s="7">
        <f t="shared" si="36"/>
        <v>-0.12724676766875545</v>
      </c>
    </row>
    <row r="65" spans="1:26" s="24" customFormat="1" hidden="1" outlineLevel="2" x14ac:dyDescent="0.3">
      <c r="A65" s="28"/>
      <c r="B65" s="11" t="str">
        <f>CONCATENATE("          ", "6004", " - ", "STAFF HOURLY")</f>
        <v xml:space="preserve">          6004 - STAFF HOURLY</v>
      </c>
      <c r="C65" s="11"/>
      <c r="D65" s="6">
        <v>2991.75</v>
      </c>
      <c r="E65" s="2"/>
      <c r="F65" s="7">
        <f t="shared" si="29"/>
        <v>2.2403008843712702E-2</v>
      </c>
      <c r="G65" s="2"/>
      <c r="H65" s="6">
        <v>3520</v>
      </c>
      <c r="I65" s="2"/>
      <c r="J65" s="7">
        <f t="shared" si="30"/>
        <v>4.4309267610605128E-2</v>
      </c>
      <c r="K65" s="2"/>
      <c r="L65" s="6">
        <f t="shared" si="31"/>
        <v>-528.25</v>
      </c>
      <c r="M65" s="2"/>
      <c r="N65" s="7">
        <f t="shared" si="32"/>
        <v>-0.15007102272727274</v>
      </c>
      <c r="O65" s="11"/>
      <c r="P65" s="6">
        <v>17742.23</v>
      </c>
      <c r="Q65" s="2"/>
      <c r="R65" s="7">
        <f t="shared" si="33"/>
        <v>1.8354351286267268E-2</v>
      </c>
      <c r="S65" s="2"/>
      <c r="T65" s="6">
        <v>21336.16</v>
      </c>
      <c r="U65" s="2"/>
      <c r="V65" s="7">
        <f t="shared" si="34"/>
        <v>1.6729722569396383E-2</v>
      </c>
      <c r="W65" s="2"/>
      <c r="X65" s="6">
        <f t="shared" si="35"/>
        <v>-3593.9300000000003</v>
      </c>
      <c r="Y65" s="2"/>
      <c r="Z65" s="7">
        <f t="shared" si="36"/>
        <v>-0.1684431500326207</v>
      </c>
    </row>
    <row r="66" spans="1:26" s="24" customFormat="1" hidden="1" outlineLevel="2" x14ac:dyDescent="0.3">
      <c r="A66" s="28"/>
      <c r="B66" s="11" t="str">
        <f>CONCATENATE("          ", "6005", " - ", "TEMPORARY WAGES-HOURLY")</f>
        <v xml:space="preserve">          6005 - TEMPORARY WAGES-HOURLY</v>
      </c>
      <c r="C66" s="11"/>
      <c r="D66" s="6">
        <v>1871.67</v>
      </c>
      <c r="E66" s="2"/>
      <c r="F66" s="7">
        <f t="shared" si="29"/>
        <v>1.401555596641155E-2</v>
      </c>
      <c r="G66" s="2"/>
      <c r="H66" s="6"/>
      <c r="I66" s="2"/>
      <c r="J66" s="7">
        <f t="shared" si="30"/>
        <v>0</v>
      </c>
      <c r="K66" s="2"/>
      <c r="L66" s="6">
        <f t="shared" si="31"/>
        <v>1871.67</v>
      </c>
      <c r="M66" s="2"/>
      <c r="N66" s="7">
        <f t="shared" si="32"/>
        <v>0</v>
      </c>
      <c r="O66" s="11"/>
      <c r="P66" s="6">
        <v>6879.14</v>
      </c>
      <c r="Q66" s="2"/>
      <c r="R66" s="7">
        <f t="shared" si="33"/>
        <v>7.116475894372502E-3</v>
      </c>
      <c r="S66" s="2"/>
      <c r="T66" s="6"/>
      <c r="U66" s="2"/>
      <c r="V66" s="7">
        <f t="shared" si="34"/>
        <v>0</v>
      </c>
      <c r="W66" s="2"/>
      <c r="X66" s="6">
        <f t="shared" si="35"/>
        <v>6879.14</v>
      </c>
      <c r="Y66" s="2"/>
      <c r="Z66" s="7">
        <f t="shared" si="36"/>
        <v>0</v>
      </c>
    </row>
    <row r="67" spans="1:26" s="24" customFormat="1" hidden="1" outlineLevel="2" x14ac:dyDescent="0.3">
      <c r="A67" s="28"/>
      <c r="B67" s="11" t="str">
        <f>CONCATENATE("          ", "6007", " - ", "STUDENT HOURLY")</f>
        <v xml:space="preserve">          6007 - STUDENT HOURLY</v>
      </c>
      <c r="C67" s="11"/>
      <c r="D67" s="6">
        <v>2051.54</v>
      </c>
      <c r="E67" s="2"/>
      <c r="F67" s="7">
        <f t="shared" si="29"/>
        <v>1.5362469712786951E-2</v>
      </c>
      <c r="G67" s="2"/>
      <c r="H67" s="6">
        <v>2488.4</v>
      </c>
      <c r="I67" s="2"/>
      <c r="J67" s="7">
        <f t="shared" si="30"/>
        <v>3.1323631114269834E-2</v>
      </c>
      <c r="K67" s="2"/>
      <c r="L67" s="6">
        <f t="shared" si="31"/>
        <v>-436.86000000000013</v>
      </c>
      <c r="M67" s="2"/>
      <c r="N67" s="7">
        <f t="shared" si="32"/>
        <v>-0.17555859186625949</v>
      </c>
      <c r="O67" s="11"/>
      <c r="P67" s="6">
        <v>18652.689999999999</v>
      </c>
      <c r="Q67" s="2"/>
      <c r="R67" s="7">
        <f t="shared" si="33"/>
        <v>1.9296222892716677E-2</v>
      </c>
      <c r="S67" s="2"/>
      <c r="T67" s="6">
        <v>12854.63</v>
      </c>
      <c r="U67" s="2"/>
      <c r="V67" s="7">
        <f t="shared" si="34"/>
        <v>1.0079339189068689E-2</v>
      </c>
      <c r="W67" s="2"/>
      <c r="X67" s="6">
        <f t="shared" si="35"/>
        <v>5798.0599999999995</v>
      </c>
      <c r="Y67" s="2"/>
      <c r="Z67" s="7">
        <f t="shared" si="36"/>
        <v>0.45104837712170631</v>
      </c>
    </row>
    <row r="68" spans="1:26" s="24" customFormat="1" hidden="1" outlineLevel="2" x14ac:dyDescent="0.3">
      <c r="A68" s="28"/>
      <c r="B68" s="11" t="str">
        <f>CONCATENATE("          ", "6008", " - ", "STUDENT HOURLY-FICA EXEMPT")</f>
        <v xml:space="preserve">          6008 - STUDENT HOURLY-FICA EXEMPT</v>
      </c>
      <c r="C68" s="11"/>
      <c r="D68" s="6">
        <v>1113.6500000000001</v>
      </c>
      <c r="E68" s="2"/>
      <c r="F68" s="7">
        <f t="shared" si="29"/>
        <v>8.3393033504807063E-3</v>
      </c>
      <c r="G68" s="2"/>
      <c r="H68" s="6"/>
      <c r="I68" s="2"/>
      <c r="J68" s="7">
        <f t="shared" si="30"/>
        <v>0</v>
      </c>
      <c r="K68" s="2"/>
      <c r="L68" s="6">
        <f t="shared" si="31"/>
        <v>1113.6500000000001</v>
      </c>
      <c r="M68" s="2"/>
      <c r="N68" s="7">
        <f t="shared" si="32"/>
        <v>0</v>
      </c>
      <c r="O68" s="11"/>
      <c r="P68" s="6">
        <v>6145.63</v>
      </c>
      <c r="Q68" s="2"/>
      <c r="R68" s="7">
        <f t="shared" si="33"/>
        <v>6.357659206053733E-3</v>
      </c>
      <c r="S68" s="2"/>
      <c r="T68" s="6"/>
      <c r="U68" s="2"/>
      <c r="V68" s="7">
        <f t="shared" si="34"/>
        <v>0</v>
      </c>
      <c r="W68" s="2"/>
      <c r="X68" s="6">
        <f t="shared" si="35"/>
        <v>6145.63</v>
      </c>
      <c r="Y68" s="2"/>
      <c r="Z68" s="7">
        <f t="shared" si="36"/>
        <v>0</v>
      </c>
    </row>
    <row r="69" spans="1:26" s="29" customFormat="1" outlineLevel="1" collapsed="1" x14ac:dyDescent="0.3">
      <c r="A69" s="27"/>
      <c r="B69" s="14" t="str">
        <f>CONCATENATE("     ","Advertising/Promo                                 ")</f>
        <v xml:space="preserve">     Advertising/Promo                                 </v>
      </c>
      <c r="C69" s="14"/>
      <c r="D69" s="1">
        <f>SUM(OSRRefD22_2x_0)</f>
        <v>0</v>
      </c>
      <c r="E69" s="1"/>
      <c r="F69" s="5">
        <f t="shared" ref="F69:F77" si="37">IF(D$12=0,0,D69/D$12)</f>
        <v>0</v>
      </c>
      <c r="G69" s="1"/>
      <c r="H69" s="1">
        <f>SUM(OSRRefH22_2x_0)</f>
        <v>0</v>
      </c>
      <c r="I69" s="1"/>
      <c r="J69" s="5">
        <f t="shared" ref="J69:J77" si="38">IF(H$12=0,0,H69/H$12)</f>
        <v>0</v>
      </c>
      <c r="K69" s="1"/>
      <c r="L69" s="1">
        <f t="shared" ref="L69:L77" si="39">+D69-H69</f>
        <v>0</v>
      </c>
      <c r="M69" s="1"/>
      <c r="N69" s="5">
        <f t="shared" ref="N69:N77" si="40">IF(H69=0,0,L69/H69)</f>
        <v>0</v>
      </c>
      <c r="O69" s="14"/>
      <c r="P69" s="1">
        <f>SUM(OSRRefP22_2x_0)</f>
        <v>118.13</v>
      </c>
      <c r="Q69" s="1"/>
      <c r="R69" s="5">
        <f t="shared" ref="R69:R77" si="41">IF(P$12=0,0,P69/P$12)</f>
        <v>1.2220558055254342E-4</v>
      </c>
      <c r="S69" s="1"/>
      <c r="T69" s="1">
        <f>SUM(OSRRefT22_2x_0)</f>
        <v>248.88</v>
      </c>
      <c r="U69" s="1"/>
      <c r="V69" s="5">
        <f t="shared" ref="V69:V77" si="42">IF(T$12=0,0,T69/T$12)</f>
        <v>1.9514726891208968E-4</v>
      </c>
      <c r="W69" s="1"/>
      <c r="X69" s="1">
        <f t="shared" ref="X69:X77" si="43">+P69-T69</f>
        <v>-130.75</v>
      </c>
      <c r="Y69" s="1"/>
      <c r="Z69" s="5">
        <f t="shared" ref="Z69:Z77" si="44">IF(T69=0,0,X69/T69)</f>
        <v>-0.52535358405657351</v>
      </c>
    </row>
    <row r="70" spans="1:26" s="24" customFormat="1" hidden="1" outlineLevel="2" x14ac:dyDescent="0.3">
      <c r="A70" s="28"/>
      <c r="B70" s="11" t="str">
        <f>CONCATENATE("          ", "6362", " - ", "ADVERTISING EXPENSE")</f>
        <v xml:space="preserve">          6362 - ADVERTISING EXPENSE</v>
      </c>
      <c r="C70" s="11"/>
      <c r="D70" s="6"/>
      <c r="E70" s="2"/>
      <c r="F70" s="7">
        <f t="shared" si="37"/>
        <v>0</v>
      </c>
      <c r="G70" s="2"/>
      <c r="H70" s="6"/>
      <c r="I70" s="2"/>
      <c r="J70" s="7">
        <f t="shared" si="38"/>
        <v>0</v>
      </c>
      <c r="K70" s="2"/>
      <c r="L70" s="6">
        <f t="shared" si="39"/>
        <v>0</v>
      </c>
      <c r="M70" s="2"/>
      <c r="N70" s="7">
        <f t="shared" si="40"/>
        <v>0</v>
      </c>
      <c r="O70" s="11"/>
      <c r="P70" s="6">
        <v>118.13</v>
      </c>
      <c r="Q70" s="2"/>
      <c r="R70" s="7">
        <f t="shared" si="41"/>
        <v>1.2220558055254342E-4</v>
      </c>
      <c r="S70" s="2"/>
      <c r="T70" s="6">
        <v>248.88</v>
      </c>
      <c r="U70" s="2"/>
      <c r="V70" s="7">
        <f t="shared" si="42"/>
        <v>1.9514726891208968E-4</v>
      </c>
      <c r="W70" s="2"/>
      <c r="X70" s="6">
        <f t="shared" si="43"/>
        <v>-130.75</v>
      </c>
      <c r="Y70" s="2"/>
      <c r="Z70" s="7">
        <f t="shared" si="44"/>
        <v>-0.52535358405657351</v>
      </c>
    </row>
    <row r="71" spans="1:26" s="29" customFormat="1" outlineLevel="1" collapsed="1" x14ac:dyDescent="0.3">
      <c r="A71" s="27"/>
      <c r="B71" s="14" t="str">
        <f>CONCATENATE("     ","Depreciation                                      ")</f>
        <v xml:space="preserve">     Depreciation                                      </v>
      </c>
      <c r="C71" s="14"/>
      <c r="D71" s="1">
        <f>SUM(OSRRefD22_3x_0)</f>
        <v>280.44</v>
      </c>
      <c r="E71" s="1"/>
      <c r="F71" s="5">
        <f t="shared" si="37"/>
        <v>2.1000082895064063E-3</v>
      </c>
      <c r="G71" s="1"/>
      <c r="H71" s="1">
        <f>SUM(OSRRefH22_3x_0)</f>
        <v>280.44</v>
      </c>
      <c r="I71" s="1"/>
      <c r="J71" s="5">
        <f t="shared" si="38"/>
        <v>3.5301394911130975E-3</v>
      </c>
      <c r="K71" s="1"/>
      <c r="L71" s="1">
        <f t="shared" si="39"/>
        <v>0</v>
      </c>
      <c r="M71" s="1"/>
      <c r="N71" s="5">
        <f t="shared" si="40"/>
        <v>0</v>
      </c>
      <c r="O71" s="14"/>
      <c r="P71" s="1">
        <f>SUM(OSRRefP22_3x_0)</f>
        <v>1682.64</v>
      </c>
      <c r="Q71" s="1"/>
      <c r="R71" s="5">
        <f t="shared" si="41"/>
        <v>1.7406924410474196E-3</v>
      </c>
      <c r="S71" s="1"/>
      <c r="T71" s="1">
        <f>SUM(OSRRefT22_3x_0)</f>
        <v>1682.64</v>
      </c>
      <c r="U71" s="1"/>
      <c r="V71" s="5">
        <f t="shared" si="42"/>
        <v>1.3193611401568573E-3</v>
      </c>
      <c r="W71" s="1"/>
      <c r="X71" s="1">
        <f t="shared" si="43"/>
        <v>0</v>
      </c>
      <c r="Y71" s="1"/>
      <c r="Z71" s="5">
        <f t="shared" si="44"/>
        <v>0</v>
      </c>
    </row>
    <row r="72" spans="1:26" s="24" customFormat="1" hidden="1" outlineLevel="2" x14ac:dyDescent="0.3">
      <c r="A72" s="28"/>
      <c r="B72" s="11" t="str">
        <f>CONCATENATE("          ", "6322", " - ", "EQUIPMENT DEPRECIATION EXPENSE")</f>
        <v xml:space="preserve">          6322 - EQUIPMENT DEPRECIATION EXPENSE</v>
      </c>
      <c r="C72" s="11"/>
      <c r="D72" s="6">
        <v>280.44</v>
      </c>
      <c r="E72" s="2"/>
      <c r="F72" s="7">
        <f t="shared" si="37"/>
        <v>2.1000082895064063E-3</v>
      </c>
      <c r="G72" s="2"/>
      <c r="H72" s="6">
        <v>280.44</v>
      </c>
      <c r="I72" s="2"/>
      <c r="J72" s="7">
        <f t="shared" si="38"/>
        <v>3.5301394911130975E-3</v>
      </c>
      <c r="K72" s="2"/>
      <c r="L72" s="6">
        <f t="shared" si="39"/>
        <v>0</v>
      </c>
      <c r="M72" s="2"/>
      <c r="N72" s="7">
        <f t="shared" si="40"/>
        <v>0</v>
      </c>
      <c r="O72" s="11"/>
      <c r="P72" s="6">
        <v>1682.64</v>
      </c>
      <c r="Q72" s="2"/>
      <c r="R72" s="7">
        <f t="shared" si="41"/>
        <v>1.7406924410474196E-3</v>
      </c>
      <c r="S72" s="2"/>
      <c r="T72" s="6">
        <v>1682.64</v>
      </c>
      <c r="U72" s="2"/>
      <c r="V72" s="7">
        <f t="shared" si="42"/>
        <v>1.3193611401568573E-3</v>
      </c>
      <c r="W72" s="2"/>
      <c r="X72" s="6">
        <f t="shared" si="43"/>
        <v>0</v>
      </c>
      <c r="Y72" s="2"/>
      <c r="Z72" s="7">
        <f t="shared" si="44"/>
        <v>0</v>
      </c>
    </row>
    <row r="73" spans="1:26" s="29" customFormat="1" outlineLevel="1" collapsed="1" x14ac:dyDescent="0.3">
      <c r="A73" s="27"/>
      <c r="B73" s="14" t="str">
        <f>CONCATENATE("     ","Discounts and Markdowns                           ")</f>
        <v xml:space="preserve">     Discounts and Markdowns                           </v>
      </c>
      <c r="C73" s="14"/>
      <c r="D73" s="1">
        <f>SUM(OSRRefD22_4x_0)</f>
        <v>0</v>
      </c>
      <c r="E73" s="1"/>
      <c r="F73" s="5">
        <f t="shared" si="37"/>
        <v>0</v>
      </c>
      <c r="G73" s="1"/>
      <c r="H73" s="1">
        <f>SUM(OSRRefH22_4x_0)</f>
        <v>0</v>
      </c>
      <c r="I73" s="1"/>
      <c r="J73" s="5">
        <f t="shared" si="38"/>
        <v>0</v>
      </c>
      <c r="K73" s="1"/>
      <c r="L73" s="1">
        <f t="shared" si="39"/>
        <v>0</v>
      </c>
      <c r="M73" s="1"/>
      <c r="N73" s="5">
        <f t="shared" si="40"/>
        <v>0</v>
      </c>
      <c r="O73" s="14"/>
      <c r="P73" s="1">
        <f>SUM(OSRRefP22_4x_0)</f>
        <v>0</v>
      </c>
      <c r="Q73" s="1"/>
      <c r="R73" s="5">
        <f t="shared" si="41"/>
        <v>0</v>
      </c>
      <c r="S73" s="1"/>
      <c r="T73" s="1">
        <f>SUM(OSRRefT22_4x_0)</f>
        <v>0</v>
      </c>
      <c r="U73" s="1"/>
      <c r="V73" s="5">
        <f t="shared" si="42"/>
        <v>0</v>
      </c>
      <c r="W73" s="1"/>
      <c r="X73" s="1">
        <f t="shared" si="43"/>
        <v>0</v>
      </c>
      <c r="Y73" s="1"/>
      <c r="Z73" s="5">
        <f t="shared" si="44"/>
        <v>0</v>
      </c>
    </row>
    <row r="74" spans="1:26" s="24" customFormat="1" hidden="1" outlineLevel="2" x14ac:dyDescent="0.3">
      <c r="A74" s="28"/>
      <c r="B74" s="11" t="str">
        <f>CONCATENATE("          ", "6382", " - ", "DISCOUNTS/MARK DOWNS")</f>
        <v xml:space="preserve">          6382 - DISCOUNTS/MARK DOWNS</v>
      </c>
      <c r="C74" s="11"/>
      <c r="D74" s="6"/>
      <c r="E74" s="2"/>
      <c r="F74" s="7">
        <f t="shared" si="37"/>
        <v>0</v>
      </c>
      <c r="G74" s="2"/>
      <c r="H74" s="6">
        <v>0</v>
      </c>
      <c r="I74" s="2"/>
      <c r="J74" s="7">
        <f t="shared" si="38"/>
        <v>0</v>
      </c>
      <c r="K74" s="2"/>
      <c r="L74" s="6">
        <f t="shared" si="39"/>
        <v>0</v>
      </c>
      <c r="M74" s="2"/>
      <c r="N74" s="7">
        <f t="shared" si="40"/>
        <v>0</v>
      </c>
      <c r="O74" s="11"/>
      <c r="P74" s="6"/>
      <c r="Q74" s="2"/>
      <c r="R74" s="7">
        <f t="shared" si="41"/>
        <v>0</v>
      </c>
      <c r="S74" s="2"/>
      <c r="T74" s="6">
        <v>0</v>
      </c>
      <c r="U74" s="2"/>
      <c r="V74" s="7">
        <f t="shared" si="42"/>
        <v>0</v>
      </c>
      <c r="W74" s="2"/>
      <c r="X74" s="6">
        <f t="shared" si="43"/>
        <v>0</v>
      </c>
      <c r="Y74" s="2"/>
      <c r="Z74" s="7">
        <f t="shared" si="44"/>
        <v>0</v>
      </c>
    </row>
    <row r="75" spans="1:26" s="29" customFormat="1" outlineLevel="1" collapsed="1" x14ac:dyDescent="0.3">
      <c r="A75" s="27"/>
      <c r="B75" s="14" t="str">
        <f>CONCATENATE("     ","Freight out/Postage                               ")</f>
        <v xml:space="preserve">     Freight out/Postage                               </v>
      </c>
      <c r="C75" s="14"/>
      <c r="D75" s="1">
        <f>SUM(OSRRefD22_5x_0)</f>
        <v>0</v>
      </c>
      <c r="E75" s="1"/>
      <c r="F75" s="5">
        <f t="shared" si="37"/>
        <v>0</v>
      </c>
      <c r="G75" s="1"/>
      <c r="H75" s="1">
        <f>SUM(OSRRefH22_5x_0)</f>
        <v>43.58</v>
      </c>
      <c r="I75" s="1"/>
      <c r="J75" s="5">
        <f t="shared" si="38"/>
        <v>5.4857894388357143E-4</v>
      </c>
      <c r="K75" s="1"/>
      <c r="L75" s="1">
        <f t="shared" si="39"/>
        <v>-43.58</v>
      </c>
      <c r="M75" s="1"/>
      <c r="N75" s="5">
        <f t="shared" si="40"/>
        <v>-1</v>
      </c>
      <c r="O75" s="14"/>
      <c r="P75" s="1">
        <f>SUM(OSRRefP22_5x_0)</f>
        <v>122.13</v>
      </c>
      <c r="Q75" s="1"/>
      <c r="R75" s="5">
        <f t="shared" si="41"/>
        <v>1.2634358378804816E-4</v>
      </c>
      <c r="S75" s="1"/>
      <c r="T75" s="1">
        <f>SUM(OSRRefT22_5x_0)</f>
        <v>871.17000000000007</v>
      </c>
      <c r="U75" s="1"/>
      <c r="V75" s="5">
        <f t="shared" si="42"/>
        <v>6.8308601035898902E-4</v>
      </c>
      <c r="W75" s="1"/>
      <c r="X75" s="1">
        <f t="shared" si="43"/>
        <v>-749.04000000000008</v>
      </c>
      <c r="Y75" s="1"/>
      <c r="Z75" s="5">
        <f t="shared" si="44"/>
        <v>-0.85980922208065014</v>
      </c>
    </row>
    <row r="76" spans="1:26" s="24" customFormat="1" hidden="1" outlineLevel="2" x14ac:dyDescent="0.3">
      <c r="A76" s="28"/>
      <c r="B76" s="11" t="str">
        <f>CONCATENATE("          ", "6305", " - ", "FREIGHT OUT")</f>
        <v xml:space="preserve">          6305 - FREIGHT OUT</v>
      </c>
      <c r="C76" s="11"/>
      <c r="D76" s="6"/>
      <c r="E76" s="2"/>
      <c r="F76" s="7">
        <f t="shared" si="37"/>
        <v>0</v>
      </c>
      <c r="G76" s="2"/>
      <c r="H76" s="6">
        <v>43.58</v>
      </c>
      <c r="I76" s="2"/>
      <c r="J76" s="7">
        <f t="shared" si="38"/>
        <v>5.4857894388357143E-4</v>
      </c>
      <c r="K76" s="2"/>
      <c r="L76" s="6">
        <f t="shared" si="39"/>
        <v>-43.58</v>
      </c>
      <c r="M76" s="2"/>
      <c r="N76" s="7">
        <f t="shared" si="40"/>
        <v>-1</v>
      </c>
      <c r="O76" s="11"/>
      <c r="P76" s="6">
        <v>122.13</v>
      </c>
      <c r="Q76" s="2"/>
      <c r="R76" s="7">
        <f t="shared" si="41"/>
        <v>1.2634358378804816E-4</v>
      </c>
      <c r="S76" s="2"/>
      <c r="T76" s="6">
        <v>858.57</v>
      </c>
      <c r="U76" s="2"/>
      <c r="V76" s="7">
        <f t="shared" si="42"/>
        <v>6.7320632702448115E-4</v>
      </c>
      <c r="W76" s="2"/>
      <c r="X76" s="6">
        <f t="shared" si="43"/>
        <v>-736.44</v>
      </c>
      <c r="Y76" s="2"/>
      <c r="Z76" s="7">
        <f t="shared" si="44"/>
        <v>-0.85775184318110342</v>
      </c>
    </row>
    <row r="77" spans="1:26" s="24" customFormat="1" hidden="1" outlineLevel="2" x14ac:dyDescent="0.3">
      <c r="A77" s="28"/>
      <c r="B77" s="11" t="str">
        <f>CONCATENATE("          ", "6307", " - ", "POSTAGE")</f>
        <v xml:space="preserve">          6307 - POSTAGE</v>
      </c>
      <c r="C77" s="11"/>
      <c r="D77" s="6"/>
      <c r="E77" s="2"/>
      <c r="F77" s="7">
        <f t="shared" si="37"/>
        <v>0</v>
      </c>
      <c r="G77" s="2"/>
      <c r="H77" s="6"/>
      <c r="I77" s="2"/>
      <c r="J77" s="7">
        <f t="shared" si="38"/>
        <v>0</v>
      </c>
      <c r="K77" s="2"/>
      <c r="L77" s="6">
        <f t="shared" si="39"/>
        <v>0</v>
      </c>
      <c r="M77" s="2"/>
      <c r="N77" s="7">
        <f t="shared" si="40"/>
        <v>0</v>
      </c>
      <c r="O77" s="11"/>
      <c r="P77" s="6"/>
      <c r="Q77" s="2"/>
      <c r="R77" s="7">
        <f t="shared" si="41"/>
        <v>0</v>
      </c>
      <c r="S77" s="2"/>
      <c r="T77" s="6">
        <v>12.6</v>
      </c>
      <c r="U77" s="2"/>
      <c r="V77" s="7">
        <f t="shared" si="42"/>
        <v>9.8796833345079152E-6</v>
      </c>
      <c r="W77" s="2"/>
      <c r="X77" s="6">
        <f t="shared" si="43"/>
        <v>-12.6</v>
      </c>
      <c r="Y77" s="2"/>
      <c r="Z77" s="7">
        <f t="shared" si="44"/>
        <v>-1</v>
      </c>
    </row>
    <row r="78" spans="1:26" s="29" customFormat="1" outlineLevel="1" collapsed="1" x14ac:dyDescent="0.3">
      <c r="A78" s="27"/>
      <c r="B78" s="14" t="str">
        <f>CONCATENATE("     ","General                                           ")</f>
        <v xml:space="preserve">     General                                           </v>
      </c>
      <c r="C78" s="14"/>
      <c r="D78" s="1">
        <f>SUM(OSRRefD22_6x_0)</f>
        <v>0</v>
      </c>
      <c r="E78" s="1"/>
      <c r="F78" s="5">
        <f t="shared" ref="F78:F85" si="45">IF(D$12=0,0,D78/D$12)</f>
        <v>0</v>
      </c>
      <c r="G78" s="1"/>
      <c r="H78" s="1">
        <f>SUM(OSRRefH22_6x_0)</f>
        <v>0</v>
      </c>
      <c r="I78" s="1"/>
      <c r="J78" s="5">
        <f t="shared" ref="J78:J85" si="46">IF(H$12=0,0,H78/H$12)</f>
        <v>0</v>
      </c>
      <c r="K78" s="1"/>
      <c r="L78" s="1">
        <f t="shared" ref="L78:L85" si="47">+D78-H78</f>
        <v>0</v>
      </c>
      <c r="M78" s="1"/>
      <c r="N78" s="5">
        <f t="shared" ref="N78:N85" si="48">IF(H78=0,0,L78/H78)</f>
        <v>0</v>
      </c>
      <c r="O78" s="14"/>
      <c r="P78" s="1">
        <f>SUM(OSRRefP22_6x_0)</f>
        <v>0</v>
      </c>
      <c r="Q78" s="1"/>
      <c r="R78" s="5">
        <f t="shared" ref="R78:R85" si="49">IF(P$12=0,0,P78/P$12)</f>
        <v>0</v>
      </c>
      <c r="S78" s="1"/>
      <c r="T78" s="1">
        <f>SUM(OSRRefT22_6x_0)</f>
        <v>-30.15</v>
      </c>
      <c r="U78" s="1"/>
      <c r="V78" s="5">
        <f t="shared" ref="V78:V85" si="50">IF(T$12=0,0,T78/T$12)</f>
        <v>-2.3640670836143939E-5</v>
      </c>
      <c r="W78" s="1"/>
      <c r="X78" s="1">
        <f t="shared" ref="X78:X85" si="51">+P78-T78</f>
        <v>30.15</v>
      </c>
      <c r="Y78" s="1"/>
      <c r="Z78" s="5">
        <f t="shared" ref="Z78:Z85" si="52">IF(T78=0,0,X78/T78)</f>
        <v>-1</v>
      </c>
    </row>
    <row r="79" spans="1:26" s="24" customFormat="1" hidden="1" outlineLevel="2" x14ac:dyDescent="0.3">
      <c r="A79" s="28"/>
      <c r="B79" s="11" t="str">
        <f>CONCATENATE("          ", "6279", " - ", "GENERAL EXPENSE")</f>
        <v xml:space="preserve">          6279 - GENERAL EXPENSE</v>
      </c>
      <c r="C79" s="11"/>
      <c r="D79" s="6"/>
      <c r="E79" s="2"/>
      <c r="F79" s="7">
        <f t="shared" si="45"/>
        <v>0</v>
      </c>
      <c r="G79" s="2"/>
      <c r="H79" s="6"/>
      <c r="I79" s="2"/>
      <c r="J79" s="7">
        <f t="shared" si="46"/>
        <v>0</v>
      </c>
      <c r="K79" s="2"/>
      <c r="L79" s="6">
        <f t="shared" si="47"/>
        <v>0</v>
      </c>
      <c r="M79" s="2"/>
      <c r="N79" s="7">
        <f t="shared" si="48"/>
        <v>0</v>
      </c>
      <c r="O79" s="11"/>
      <c r="P79" s="6"/>
      <c r="Q79" s="2"/>
      <c r="R79" s="7">
        <f t="shared" si="49"/>
        <v>0</v>
      </c>
      <c r="S79" s="2"/>
      <c r="T79" s="6">
        <v>-30.15</v>
      </c>
      <c r="U79" s="2"/>
      <c r="V79" s="7">
        <f t="shared" si="50"/>
        <v>-2.3640670836143939E-5</v>
      </c>
      <c r="W79" s="2"/>
      <c r="X79" s="6">
        <f t="shared" si="51"/>
        <v>30.15</v>
      </c>
      <c r="Y79" s="2"/>
      <c r="Z79" s="7">
        <f t="shared" si="52"/>
        <v>-1</v>
      </c>
    </row>
    <row r="80" spans="1:26" s="29" customFormat="1" outlineLevel="1" collapsed="1" x14ac:dyDescent="0.3">
      <c r="A80" s="27"/>
      <c r="B80" s="14" t="str">
        <f>CONCATENATE("     ","Inventory Adjustment                              ")</f>
        <v xml:space="preserve">     Inventory Adjustment                              </v>
      </c>
      <c r="C80" s="14"/>
      <c r="D80" s="1">
        <f>SUM(OSRRefD22_7x_0)</f>
        <v>340</v>
      </c>
      <c r="E80" s="1"/>
      <c r="F80" s="5">
        <f t="shared" si="45"/>
        <v>2.5460091942382614E-3</v>
      </c>
      <c r="G80" s="1"/>
      <c r="H80" s="1">
        <f>SUM(OSRRefH22_7x_0)</f>
        <v>1250</v>
      </c>
      <c r="I80" s="1"/>
      <c r="J80" s="5">
        <f t="shared" si="46"/>
        <v>1.5734825145811482E-2</v>
      </c>
      <c r="K80" s="1"/>
      <c r="L80" s="1">
        <f t="shared" si="47"/>
        <v>-910</v>
      </c>
      <c r="M80" s="1"/>
      <c r="N80" s="5">
        <f t="shared" si="48"/>
        <v>-0.72799999999999998</v>
      </c>
      <c r="O80" s="14"/>
      <c r="P80" s="1">
        <f>SUM(OSRRefP22_7x_0)</f>
        <v>5640</v>
      </c>
      <c r="Q80" s="1"/>
      <c r="R80" s="5">
        <f t="shared" si="49"/>
        <v>5.8345845620616692E-3</v>
      </c>
      <c r="S80" s="1"/>
      <c r="T80" s="1">
        <f>SUM(OSRRefT22_7x_0)</f>
        <v>7500</v>
      </c>
      <c r="U80" s="1"/>
      <c r="V80" s="5">
        <f t="shared" si="50"/>
        <v>5.8807638895880454E-3</v>
      </c>
      <c r="W80" s="1"/>
      <c r="X80" s="1">
        <f t="shared" si="51"/>
        <v>-1860</v>
      </c>
      <c r="Y80" s="1"/>
      <c r="Z80" s="5">
        <f t="shared" si="52"/>
        <v>-0.248</v>
      </c>
    </row>
    <row r="81" spans="1:26" s="24" customFormat="1" hidden="1" outlineLevel="2" x14ac:dyDescent="0.3">
      <c r="A81" s="28"/>
      <c r="B81" s="11" t="str">
        <f>CONCATENATE("          ", "6408", " - ", "INVENTORY ADJUSTMENT")</f>
        <v xml:space="preserve">          6408 - INVENTORY ADJUSTMENT</v>
      </c>
      <c r="C81" s="11"/>
      <c r="D81" s="6">
        <v>340</v>
      </c>
      <c r="E81" s="2"/>
      <c r="F81" s="7">
        <f t="shared" si="45"/>
        <v>2.5460091942382614E-3</v>
      </c>
      <c r="G81" s="2"/>
      <c r="H81" s="6">
        <v>1250</v>
      </c>
      <c r="I81" s="2"/>
      <c r="J81" s="7">
        <f t="shared" si="46"/>
        <v>1.5734825145811482E-2</v>
      </c>
      <c r="K81" s="2"/>
      <c r="L81" s="6">
        <f t="shared" si="47"/>
        <v>-910</v>
      </c>
      <c r="M81" s="2"/>
      <c r="N81" s="7">
        <f t="shared" si="48"/>
        <v>-0.72799999999999998</v>
      </c>
      <c r="O81" s="11"/>
      <c r="P81" s="6">
        <v>5640</v>
      </c>
      <c r="Q81" s="2"/>
      <c r="R81" s="7">
        <f t="shared" si="49"/>
        <v>5.8345845620616692E-3</v>
      </c>
      <c r="S81" s="2"/>
      <c r="T81" s="6">
        <v>7500</v>
      </c>
      <c r="U81" s="2"/>
      <c r="V81" s="7">
        <f t="shared" si="50"/>
        <v>5.8807638895880454E-3</v>
      </c>
      <c r="W81" s="2"/>
      <c r="X81" s="6">
        <f t="shared" si="51"/>
        <v>-1860</v>
      </c>
      <c r="Y81" s="2"/>
      <c r="Z81" s="7">
        <f t="shared" si="52"/>
        <v>-0.248</v>
      </c>
    </row>
    <row r="82" spans="1:26" s="29" customFormat="1" outlineLevel="1" collapsed="1" x14ac:dyDescent="0.3">
      <c r="A82" s="27"/>
      <c r="B82" s="14" t="str">
        <f>CONCATENATE("     ","Supplies                                          ")</f>
        <v xml:space="preserve">     Supplies                                          </v>
      </c>
      <c r="C82" s="14"/>
      <c r="D82" s="1">
        <f>SUM(OSRRefD22_8x_0)</f>
        <v>31.35</v>
      </c>
      <c r="E82" s="1"/>
      <c r="F82" s="5">
        <f t="shared" si="45"/>
        <v>2.3475702423343973E-4</v>
      </c>
      <c r="G82" s="1"/>
      <c r="H82" s="1">
        <f>SUM(OSRRefH22_8x_0)</f>
        <v>1052.8599999999999</v>
      </c>
      <c r="I82" s="1"/>
      <c r="J82" s="5">
        <f t="shared" si="46"/>
        <v>1.325325440241526E-2</v>
      </c>
      <c r="K82" s="1"/>
      <c r="L82" s="1">
        <f t="shared" si="47"/>
        <v>-1021.5099999999999</v>
      </c>
      <c r="M82" s="1"/>
      <c r="N82" s="5">
        <f t="shared" si="48"/>
        <v>-0.97022396140037614</v>
      </c>
      <c r="O82" s="14"/>
      <c r="P82" s="1">
        <f>SUM(OSRRefP22_8x_0)</f>
        <v>3307.46</v>
      </c>
      <c r="Q82" s="1"/>
      <c r="R82" s="5">
        <f t="shared" si="49"/>
        <v>3.4215700453256183E-3</v>
      </c>
      <c r="S82" s="1"/>
      <c r="T82" s="1">
        <f>SUM(OSRRefT22_8x_0)</f>
        <v>2753.5699999999997</v>
      </c>
      <c r="U82" s="1"/>
      <c r="V82" s="5">
        <f t="shared" si="50"/>
        <v>2.1590793364603938E-3</v>
      </c>
      <c r="W82" s="1"/>
      <c r="X82" s="1">
        <f t="shared" si="51"/>
        <v>553.89000000000033</v>
      </c>
      <c r="Y82" s="1"/>
      <c r="Z82" s="5">
        <f t="shared" si="52"/>
        <v>0.20115341175274296</v>
      </c>
    </row>
    <row r="83" spans="1:26" s="24" customFormat="1" hidden="1" outlineLevel="2" x14ac:dyDescent="0.3">
      <c r="A83" s="28"/>
      <c r="B83" s="11" t="str">
        <f>CONCATENATE("          ", "6235", " - ", "COVID-19 EXPENSES")</f>
        <v xml:space="preserve">          6235 - COVID-19 EXPENSES</v>
      </c>
      <c r="C83" s="11"/>
      <c r="D83" s="6"/>
      <c r="E83" s="2"/>
      <c r="F83" s="7">
        <f t="shared" si="45"/>
        <v>0</v>
      </c>
      <c r="G83" s="2"/>
      <c r="H83" s="6"/>
      <c r="I83" s="2"/>
      <c r="J83" s="7">
        <f t="shared" si="46"/>
        <v>0</v>
      </c>
      <c r="K83" s="2"/>
      <c r="L83" s="6">
        <f t="shared" si="47"/>
        <v>0</v>
      </c>
      <c r="M83" s="2"/>
      <c r="N83" s="7">
        <f t="shared" si="48"/>
        <v>0</v>
      </c>
      <c r="O83" s="11"/>
      <c r="P83" s="6"/>
      <c r="Q83" s="2"/>
      <c r="R83" s="7">
        <f t="shared" si="49"/>
        <v>0</v>
      </c>
      <c r="S83" s="2"/>
      <c r="T83" s="6">
        <v>668.12</v>
      </c>
      <c r="U83" s="2"/>
      <c r="V83" s="7">
        <f t="shared" si="50"/>
        <v>5.2387412932154199E-4</v>
      </c>
      <c r="W83" s="2"/>
      <c r="X83" s="6">
        <f t="shared" si="51"/>
        <v>-668.12</v>
      </c>
      <c r="Y83" s="2"/>
      <c r="Z83" s="7">
        <f t="shared" si="52"/>
        <v>-1</v>
      </c>
    </row>
    <row r="84" spans="1:26" s="24" customFormat="1" hidden="1" outlineLevel="2" x14ac:dyDescent="0.3">
      <c r="A84" s="28"/>
      <c r="B84" s="11" t="str">
        <f>CONCATENATE("          ", "6241", " - ", "OFFICE EXPENSE")</f>
        <v xml:space="preserve">          6241 - OFFICE EXPENSE</v>
      </c>
      <c r="C84" s="11"/>
      <c r="D84" s="6">
        <v>31.35</v>
      </c>
      <c r="E84" s="2"/>
      <c r="F84" s="7">
        <f t="shared" si="45"/>
        <v>2.3475702423343973E-4</v>
      </c>
      <c r="G84" s="2"/>
      <c r="H84" s="6">
        <v>1052.8599999999999</v>
      </c>
      <c r="I84" s="2"/>
      <c r="J84" s="7">
        <f t="shared" si="46"/>
        <v>1.325325440241526E-2</v>
      </c>
      <c r="K84" s="2"/>
      <c r="L84" s="6">
        <f t="shared" si="47"/>
        <v>-1021.5099999999999</v>
      </c>
      <c r="M84" s="2"/>
      <c r="N84" s="7">
        <f t="shared" si="48"/>
        <v>-0.97022396140037614</v>
      </c>
      <c r="O84" s="11"/>
      <c r="P84" s="6">
        <v>395.46</v>
      </c>
      <c r="Q84" s="2"/>
      <c r="R84" s="7">
        <f t="shared" si="49"/>
        <v>4.0910368987817506E-4</v>
      </c>
      <c r="S84" s="2"/>
      <c r="T84" s="6">
        <v>2085.4499999999998</v>
      </c>
      <c r="U84" s="2"/>
      <c r="V84" s="7">
        <f t="shared" si="50"/>
        <v>1.6352052071388517E-3</v>
      </c>
      <c r="W84" s="2"/>
      <c r="X84" s="6">
        <f t="shared" si="51"/>
        <v>-1689.9899999999998</v>
      </c>
      <c r="Y84" s="2"/>
      <c r="Z84" s="7">
        <f t="shared" si="52"/>
        <v>-0.81037186218801693</v>
      </c>
    </row>
    <row r="85" spans="1:26" s="24" customFormat="1" hidden="1" outlineLevel="2" x14ac:dyDescent="0.3">
      <c r="A85" s="28"/>
      <c r="B85" s="11" t="str">
        <f>CONCATENATE("          ", "6247", " - ", "STORE SUPPLIES")</f>
        <v xml:space="preserve">          6247 - STORE SUPPLIES</v>
      </c>
      <c r="C85" s="11"/>
      <c r="D85" s="6"/>
      <c r="E85" s="2"/>
      <c r="F85" s="7">
        <f t="shared" si="45"/>
        <v>0</v>
      </c>
      <c r="G85" s="2"/>
      <c r="H85" s="6"/>
      <c r="I85" s="2"/>
      <c r="J85" s="7">
        <f t="shared" si="46"/>
        <v>0</v>
      </c>
      <c r="K85" s="2"/>
      <c r="L85" s="6">
        <f t="shared" si="47"/>
        <v>0</v>
      </c>
      <c r="M85" s="2"/>
      <c r="N85" s="7">
        <f t="shared" si="48"/>
        <v>0</v>
      </c>
      <c r="O85" s="11"/>
      <c r="P85" s="6">
        <v>2912</v>
      </c>
      <c r="Q85" s="2"/>
      <c r="R85" s="7">
        <f t="shared" si="49"/>
        <v>3.0124663554474433E-3</v>
      </c>
      <c r="S85" s="2"/>
      <c r="T85" s="6"/>
      <c r="U85" s="2"/>
      <c r="V85" s="7">
        <f t="shared" si="50"/>
        <v>0</v>
      </c>
      <c r="W85" s="2"/>
      <c r="X85" s="6">
        <f t="shared" si="51"/>
        <v>2912</v>
      </c>
      <c r="Y85" s="2"/>
      <c r="Z85" s="7">
        <f t="shared" si="52"/>
        <v>0</v>
      </c>
    </row>
    <row r="86" spans="1:26" s="29" customFormat="1" outlineLevel="1" collapsed="1" x14ac:dyDescent="0.3">
      <c r="A86" s="27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SUM(OSRRefD22_9x_0)</f>
        <v>206.95</v>
      </c>
      <c r="E86" s="1"/>
      <c r="F86" s="5">
        <f t="shared" ref="F86:F89" si="53">IF(D$12=0,0,D86/D$12)</f>
        <v>1.5496958904341418E-3</v>
      </c>
      <c r="G86" s="1"/>
      <c r="H86" s="1">
        <f>SUM(OSRRefH22_9x_0)</f>
        <v>282.95</v>
      </c>
      <c r="I86" s="1"/>
      <c r="J86" s="5">
        <f t="shared" ref="J86:J89" si="54">IF(H$12=0,0,H86/H$12)</f>
        <v>3.5617350200058866E-3</v>
      </c>
      <c r="K86" s="1"/>
      <c r="L86" s="1">
        <f t="shared" ref="L86:L89" si="55">+D86-H86</f>
        <v>-76</v>
      </c>
      <c r="M86" s="1"/>
      <c r="N86" s="5">
        <f t="shared" ref="N86:N89" si="56">IF(H86=0,0,L86/H86)</f>
        <v>-0.26859869234847145</v>
      </c>
      <c r="O86" s="14"/>
      <c r="P86" s="1">
        <f>SUM(OSRRefP22_9x_0)</f>
        <v>1262.3499999999999</v>
      </c>
      <c r="Q86" s="1"/>
      <c r="R86" s="5">
        <f t="shared" ref="R86:R89" si="57">IF(P$12=0,0,P86/P$12)</f>
        <v>1.3059020960848487E-3</v>
      </c>
      <c r="S86" s="1"/>
      <c r="T86" s="1">
        <f>SUM(OSRRefT22_9x_0)</f>
        <v>1853.3</v>
      </c>
      <c r="U86" s="1"/>
      <c r="V86" s="5">
        <f t="shared" ref="V86:V89" si="58">IF(T$12=0,0,T86/T$12)</f>
        <v>1.4531759622098033E-3</v>
      </c>
      <c r="W86" s="1"/>
      <c r="X86" s="1">
        <f t="shared" ref="X86:X89" si="59">+P86-T86</f>
        <v>-590.95000000000005</v>
      </c>
      <c r="Y86" s="1"/>
      <c r="Z86" s="5">
        <f t="shared" ref="Z86:Z89" si="60">IF(T86=0,0,X86/T86)</f>
        <v>-0.31886364862677391</v>
      </c>
    </row>
    <row r="87" spans="1:26" s="24" customFormat="1" hidden="1" outlineLevel="2" x14ac:dyDescent="0.3">
      <c r="A87" s="28"/>
      <c r="B87" s="11" t="str">
        <f>CONCATENATE("          ", "6309", " - ", "TELEPHONE")</f>
        <v xml:space="preserve">          6309 - TELEPHONE</v>
      </c>
      <c r="C87" s="11"/>
      <c r="D87" s="6">
        <v>206.95</v>
      </c>
      <c r="E87" s="2"/>
      <c r="F87" s="7">
        <f t="shared" si="53"/>
        <v>1.5496958904341418E-3</v>
      </c>
      <c r="G87" s="2"/>
      <c r="H87" s="6">
        <v>282.95</v>
      </c>
      <c r="I87" s="2"/>
      <c r="J87" s="7">
        <f t="shared" si="54"/>
        <v>3.5617350200058866E-3</v>
      </c>
      <c r="K87" s="2"/>
      <c r="L87" s="6">
        <f t="shared" si="55"/>
        <v>-76</v>
      </c>
      <c r="M87" s="2"/>
      <c r="N87" s="7">
        <f t="shared" si="56"/>
        <v>-0.26859869234847145</v>
      </c>
      <c r="O87" s="11"/>
      <c r="P87" s="6">
        <v>1262.3499999999999</v>
      </c>
      <c r="Q87" s="2"/>
      <c r="R87" s="7">
        <f t="shared" si="57"/>
        <v>1.3059020960848487E-3</v>
      </c>
      <c r="S87" s="2"/>
      <c r="T87" s="6">
        <v>1853.3</v>
      </c>
      <c r="U87" s="2"/>
      <c r="V87" s="7">
        <f t="shared" si="58"/>
        <v>1.4531759622098033E-3</v>
      </c>
      <c r="W87" s="2"/>
      <c r="X87" s="6">
        <f t="shared" si="59"/>
        <v>-590.95000000000005</v>
      </c>
      <c r="Y87" s="2"/>
      <c r="Z87" s="7">
        <f t="shared" si="60"/>
        <v>-0.31886364862677391</v>
      </c>
    </row>
    <row r="88" spans="1:26" s="29" customFormat="1" outlineLevel="1" collapsed="1" x14ac:dyDescent="0.3">
      <c r="A88" s="27"/>
      <c r="B88" s="14" t="str">
        <f>CONCATENATE("     ","Training                                          ")</f>
        <v xml:space="preserve">     Training                                          </v>
      </c>
      <c r="C88" s="14"/>
      <c r="D88" s="1">
        <f>SUM(OSRRefD22_10x_0)</f>
        <v>0</v>
      </c>
      <c r="E88" s="1"/>
      <c r="F88" s="5">
        <f t="shared" si="53"/>
        <v>0</v>
      </c>
      <c r="G88" s="1"/>
      <c r="H88" s="1">
        <f>SUM(OSRRefH22_10x_0)</f>
        <v>0</v>
      </c>
      <c r="I88" s="1"/>
      <c r="J88" s="5">
        <f t="shared" si="54"/>
        <v>0</v>
      </c>
      <c r="K88" s="1"/>
      <c r="L88" s="1">
        <f t="shared" si="55"/>
        <v>0</v>
      </c>
      <c r="M88" s="1"/>
      <c r="N88" s="5">
        <f t="shared" si="56"/>
        <v>0</v>
      </c>
      <c r="O88" s="14"/>
      <c r="P88" s="1">
        <f>SUM(OSRRefP22_10x_0)</f>
        <v>0</v>
      </c>
      <c r="Q88" s="1"/>
      <c r="R88" s="5">
        <f t="shared" si="57"/>
        <v>0</v>
      </c>
      <c r="S88" s="1"/>
      <c r="T88" s="1">
        <f>SUM(OSRRefT22_10x_0)</f>
        <v>100</v>
      </c>
      <c r="U88" s="1"/>
      <c r="V88" s="5">
        <f t="shared" si="58"/>
        <v>7.8410185194507275E-5</v>
      </c>
      <c r="W88" s="1"/>
      <c r="X88" s="1">
        <f t="shared" si="59"/>
        <v>-100</v>
      </c>
      <c r="Y88" s="1"/>
      <c r="Z88" s="5">
        <f t="shared" si="60"/>
        <v>-1</v>
      </c>
    </row>
    <row r="89" spans="1:26" s="24" customFormat="1" hidden="1" outlineLevel="2" x14ac:dyDescent="0.3">
      <c r="A89" s="28"/>
      <c r="B89" s="11" t="str">
        <f>CONCATENATE("          ", "6376", " - ", "TRAINING")</f>
        <v xml:space="preserve">          6376 - TRAINING</v>
      </c>
      <c r="C89" s="11"/>
      <c r="D89" s="6"/>
      <c r="E89" s="2"/>
      <c r="F89" s="7">
        <f t="shared" si="53"/>
        <v>0</v>
      </c>
      <c r="G89" s="2"/>
      <c r="H89" s="6"/>
      <c r="I89" s="2"/>
      <c r="J89" s="7">
        <f t="shared" si="54"/>
        <v>0</v>
      </c>
      <c r="K89" s="2"/>
      <c r="L89" s="6">
        <f t="shared" si="55"/>
        <v>0</v>
      </c>
      <c r="M89" s="2"/>
      <c r="N89" s="7">
        <f t="shared" si="56"/>
        <v>0</v>
      </c>
      <c r="O89" s="11"/>
      <c r="P89" s="6"/>
      <c r="Q89" s="2"/>
      <c r="R89" s="7">
        <f t="shared" si="57"/>
        <v>0</v>
      </c>
      <c r="S89" s="2"/>
      <c r="T89" s="6">
        <v>100</v>
      </c>
      <c r="U89" s="2"/>
      <c r="V89" s="7">
        <f t="shared" si="58"/>
        <v>7.8410185194507275E-5</v>
      </c>
      <c r="W89" s="2"/>
      <c r="X89" s="6">
        <f t="shared" si="59"/>
        <v>-100</v>
      </c>
      <c r="Y89" s="2"/>
      <c r="Z89" s="7">
        <f t="shared" si="60"/>
        <v>-1</v>
      </c>
    </row>
    <row r="90" spans="1:26" s="53" customFormat="1" x14ac:dyDescent="0.3">
      <c r="A90" s="37"/>
      <c r="B90" s="37"/>
      <c r="C90" s="37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7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collapsed="1" x14ac:dyDescent="0.3">
      <c r="A91" s="10"/>
      <c r="B91" s="25" t="s">
        <v>292</v>
      </c>
      <c r="C91" s="10"/>
      <c r="D91" s="4">
        <f>SUM(OSRRefD25x_0)</f>
        <v>879.62</v>
      </c>
      <c r="E91" s="4"/>
      <c r="F91" s="12">
        <f t="shared" ref="F91:F94" si="61">IF(D$12=0,0,D91/D$12)</f>
        <v>6.5868253159878229E-3</v>
      </c>
      <c r="G91" s="4"/>
      <c r="H91" s="4">
        <f>SUM(OSRRefH25x_0)</f>
        <v>-412.00999999999993</v>
      </c>
      <c r="I91" s="4"/>
      <c r="J91" s="12">
        <f t="shared" ref="J91:J94" si="62">IF(H$12=0,0,H91/H$12)</f>
        <v>-5.1863242466606303E-3</v>
      </c>
      <c r="K91" s="4"/>
      <c r="L91" s="4">
        <f t="shared" ref="L91:L94" si="63">+D91-H91</f>
        <v>1291.6299999999999</v>
      </c>
      <c r="M91" s="4"/>
      <c r="N91" s="12">
        <f t="shared" ref="N91:N94" si="64">IF(H91=0,0,L91/H91)</f>
        <v>-3.1349481808693964</v>
      </c>
      <c r="O91" s="10"/>
      <c r="P91" s="4">
        <f>SUM(OSRRefP25x_0)</f>
        <v>2598.0299999999997</v>
      </c>
      <c r="Q91" s="4"/>
      <c r="R91" s="12">
        <f t="shared" ref="R91:R94" si="65">IF(P$12=0,0,P91/P$12)</f>
        <v>2.6876641364845877E-3</v>
      </c>
      <c r="S91" s="4"/>
      <c r="T91" s="4">
        <f>SUM(OSRRefT25x_0)</f>
        <v>343.1</v>
      </c>
      <c r="U91" s="4"/>
      <c r="V91" s="12">
        <f t="shared" ref="V91:V94" si="66">IF(T$12=0,0,T91/T$12)</f>
        <v>2.6902534540235444E-4</v>
      </c>
      <c r="W91" s="4"/>
      <c r="X91" s="4">
        <f t="shared" ref="X91:X94" si="67">+P91-T91</f>
        <v>2254.9299999999998</v>
      </c>
      <c r="Y91" s="4"/>
      <c r="Z91" s="12">
        <f t="shared" ref="Z91:Z94" si="68">IF(T91=0,0,X91/T91)</f>
        <v>6.5722238414456422</v>
      </c>
    </row>
    <row r="92" spans="1:26" s="24" customFormat="1" hidden="1" outlineLevel="1" x14ac:dyDescent="0.3">
      <c r="A92" s="44"/>
      <c r="B92" s="11" t="str">
        <f>CONCATENATE("          ", "4187", " - ", "NON-TAXABLE SALES-COMPUTER REP")</f>
        <v xml:space="preserve">          4187 - NON-TAXABLE SALES-COMPUTER REP</v>
      </c>
      <c r="C92" s="11"/>
      <c r="D92" s="2">
        <f>0</f>
        <v>0</v>
      </c>
      <c r="E92" s="2"/>
      <c r="F92" s="19">
        <f t="shared" si="61"/>
        <v>0</v>
      </c>
      <c r="G92" s="2"/>
      <c r="H92" s="2">
        <f>--471.29</f>
        <v>471.29</v>
      </c>
      <c r="I92" s="2"/>
      <c r="J92" s="19">
        <f t="shared" si="62"/>
        <v>5.9325325943755947E-3</v>
      </c>
      <c r="K92" s="2"/>
      <c r="L92" s="2">
        <f t="shared" si="63"/>
        <v>-471.29</v>
      </c>
      <c r="M92" s="2"/>
      <c r="N92" s="19">
        <f t="shared" si="64"/>
        <v>-1</v>
      </c>
      <c r="O92" s="11"/>
      <c r="P92" s="2">
        <f>0</f>
        <v>0</v>
      </c>
      <c r="Q92" s="2"/>
      <c r="R92" s="19">
        <f t="shared" si="65"/>
        <v>0</v>
      </c>
      <c r="S92" s="2"/>
      <c r="T92" s="2">
        <f>--1034.5</f>
        <v>1034.5</v>
      </c>
      <c r="U92" s="2"/>
      <c r="V92" s="19">
        <f t="shared" si="66"/>
        <v>8.1115336583717772E-4</v>
      </c>
      <c r="W92" s="2"/>
      <c r="X92" s="2">
        <f t="shared" si="67"/>
        <v>-1034.5</v>
      </c>
      <c r="Y92" s="2"/>
      <c r="Z92" s="19">
        <f t="shared" si="68"/>
        <v>-1</v>
      </c>
    </row>
    <row r="93" spans="1:26" s="24" customFormat="1" hidden="1" outlineLevel="1" x14ac:dyDescent="0.3">
      <c r="A93" s="44"/>
      <c r="B93" s="11" t="str">
        <f>CONCATENATE("          ", "9087", " - ", "")</f>
        <v xml:space="preserve">          9087 - </v>
      </c>
      <c r="C93" s="11"/>
      <c r="D93" s="2">
        <f>--730.08</f>
        <v>730.08</v>
      </c>
      <c r="E93" s="2"/>
      <c r="F93" s="19">
        <f t="shared" si="61"/>
        <v>5.4670305662631478E-3</v>
      </c>
      <c r="G93" s="2"/>
      <c r="H93" s="2">
        <f>0</f>
        <v>0</v>
      </c>
      <c r="I93" s="2"/>
      <c r="J93" s="19">
        <f t="shared" si="62"/>
        <v>0</v>
      </c>
      <c r="K93" s="2"/>
      <c r="L93" s="2">
        <f t="shared" si="63"/>
        <v>730.08</v>
      </c>
      <c r="M93" s="2"/>
      <c r="N93" s="19">
        <f t="shared" si="64"/>
        <v>0</v>
      </c>
      <c r="O93" s="11"/>
      <c r="P93" s="2">
        <f>--337.7</f>
        <v>337.7</v>
      </c>
      <c r="Q93" s="2"/>
      <c r="R93" s="19">
        <f t="shared" si="65"/>
        <v>3.4935092315748677E-4</v>
      </c>
      <c r="S93" s="2"/>
      <c r="T93" s="2">
        <f>0</f>
        <v>0</v>
      </c>
      <c r="U93" s="2"/>
      <c r="V93" s="19">
        <f t="shared" si="66"/>
        <v>0</v>
      </c>
      <c r="W93" s="2"/>
      <c r="X93" s="2">
        <f t="shared" si="67"/>
        <v>337.7</v>
      </c>
      <c r="Y93" s="2"/>
      <c r="Z93" s="19">
        <f t="shared" si="68"/>
        <v>0</v>
      </c>
    </row>
    <row r="94" spans="1:26" s="24" customFormat="1" hidden="1" outlineLevel="1" x14ac:dyDescent="0.3">
      <c r="A94" s="44"/>
      <c r="B94" s="11" t="str">
        <f>CONCATENATE("          ", "9150", " - ", "MISC. INCOME")</f>
        <v xml:space="preserve">          9150 - MISC. INCOME</v>
      </c>
      <c r="C94" s="11"/>
      <c r="D94" s="2">
        <f>--149.54</f>
        <v>149.54</v>
      </c>
      <c r="E94" s="2"/>
      <c r="F94" s="19">
        <f t="shared" si="61"/>
        <v>1.1197947497246753E-3</v>
      </c>
      <c r="G94" s="2"/>
      <c r="H94" s="2">
        <f>-883.3</f>
        <v>-883.3</v>
      </c>
      <c r="I94" s="2"/>
      <c r="J94" s="19">
        <f t="shared" si="62"/>
        <v>-1.1118856841036225E-2</v>
      </c>
      <c r="K94" s="2"/>
      <c r="L94" s="2">
        <f t="shared" si="63"/>
        <v>1032.8399999999999</v>
      </c>
      <c r="M94" s="2"/>
      <c r="N94" s="19">
        <f t="shared" si="64"/>
        <v>-1.1692969546020604</v>
      </c>
      <c r="O94" s="11"/>
      <c r="P94" s="2">
        <f>--2260.33</f>
        <v>2260.33</v>
      </c>
      <c r="Q94" s="2"/>
      <c r="R94" s="19">
        <f t="shared" si="65"/>
        <v>2.3383132133271015E-3</v>
      </c>
      <c r="S94" s="2"/>
      <c r="T94" s="2">
        <f>-691.4</f>
        <v>-691.4</v>
      </c>
      <c r="U94" s="2"/>
      <c r="V94" s="19">
        <f t="shared" si="66"/>
        <v>-5.4212802043482322E-4</v>
      </c>
      <c r="W94" s="2"/>
      <c r="X94" s="2">
        <f t="shared" si="67"/>
        <v>2951.73</v>
      </c>
      <c r="Y94" s="2"/>
      <c r="Z94" s="19">
        <f t="shared" si="68"/>
        <v>-4.2692074052646802</v>
      </c>
    </row>
    <row r="95" spans="1:26" x14ac:dyDescent="0.3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3">
      <c r="A96" s="10"/>
      <c r="B96" s="26" t="s">
        <v>276</v>
      </c>
      <c r="C96" s="26"/>
      <c r="D96" s="20">
        <f>+D50-D52+D91</f>
        <v>1962.4199999999864</v>
      </c>
      <c r="E96" s="13"/>
      <c r="F96" s="21">
        <f>IF(D$12=0,0,D96/D$12)</f>
        <v>1.4695115773402984E-2</v>
      </c>
      <c r="G96" s="13"/>
      <c r="H96" s="20">
        <f>+H50-H52+H91</f>
        <v>-9141.1200000000208</v>
      </c>
      <c r="I96" s="13"/>
      <c r="J96" s="21">
        <f>IF(H$12=0,0,H96/H$12)</f>
        <v>-0.11506713986950447</v>
      </c>
      <c r="K96" s="15"/>
      <c r="L96" s="20">
        <f>+D96-H96</f>
        <v>11103.540000000008</v>
      </c>
      <c r="M96" s="15"/>
      <c r="N96" s="21">
        <f>IF(H96=0,0,L96/H96)</f>
        <v>-1.2146804767905883</v>
      </c>
      <c r="O96" s="25"/>
      <c r="P96" s="20">
        <f>+P50-P52+P91</f>
        <v>62347.050000000032</v>
      </c>
      <c r="Q96" s="13"/>
      <c r="R96" s="21">
        <f>IF(P$12=0,0,P96/P$12)</f>
        <v>6.4498073656043819E-2</v>
      </c>
      <c r="S96" s="13"/>
      <c r="T96" s="20">
        <f>+T50-T52+T91</f>
        <v>-20505.649999999841</v>
      </c>
      <c r="U96" s="13"/>
      <c r="V96" s="21">
        <f>IF(T$12=0,0,T96/T$12)</f>
        <v>-1.6078518140337356E-2</v>
      </c>
      <c r="W96" s="15"/>
      <c r="X96" s="20">
        <f>+P96-T96</f>
        <v>82852.699999999866</v>
      </c>
      <c r="Y96" s="15"/>
      <c r="Z96" s="21">
        <f>IF(T96=0,0,X96/T96)</f>
        <v>-4.0404815258233953</v>
      </c>
    </row>
    <row r="97" spans="1:26" x14ac:dyDescent="0.3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3">
      <c r="A98" s="51"/>
      <c r="B98" s="10" t="s">
        <v>127</v>
      </c>
      <c r="C98" s="10"/>
      <c r="D98" s="4">
        <v>17123.53</v>
      </c>
      <c r="E98" s="4"/>
      <c r="F98" s="12">
        <f>IF(D$12=0,0,D98/D$12)</f>
        <v>0.12822548475827852</v>
      </c>
      <c r="G98" s="4"/>
      <c r="H98" s="4">
        <v>45936.74</v>
      </c>
      <c r="I98" s="4"/>
      <c r="J98" s="12">
        <f>IF(H$12=0,0,H98/H$12)</f>
        <v>0.5782452573348833</v>
      </c>
      <c r="K98" s="4"/>
      <c r="L98" s="4">
        <f>+D98-H98</f>
        <v>-28813.21</v>
      </c>
      <c r="M98" s="4"/>
      <c r="N98" s="12">
        <f>IF(H98=0,0,L98/H98)</f>
        <v>-0.62723671727684638</v>
      </c>
      <c r="O98" s="10"/>
      <c r="P98" s="4">
        <v>116356.41</v>
      </c>
      <c r="Q98" s="4"/>
      <c r="R98" s="12">
        <f>IF(P$12=0,0,P98/P$12)</f>
        <v>0.12037080026292872</v>
      </c>
      <c r="S98" s="4"/>
      <c r="T98" s="4">
        <v>235965.74</v>
      </c>
      <c r="U98" s="4"/>
      <c r="V98" s="12">
        <f>IF(T$12=0,0,T98/T$12)</f>
        <v>0.18502117372958951</v>
      </c>
      <c r="W98" s="4"/>
      <c r="X98" s="4">
        <f>+P98-T98</f>
        <v>-119609.32999999999</v>
      </c>
      <c r="Y98" s="4"/>
      <c r="Z98" s="12">
        <f>IF(T98=0,0,X98/T98)</f>
        <v>-0.50689278028242568</v>
      </c>
    </row>
    <row r="99" spans="1:26" x14ac:dyDescent="0.3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" thickBot="1" x14ac:dyDescent="0.35">
      <c r="A100" s="10"/>
      <c r="B100" s="26" t="s">
        <v>125</v>
      </c>
      <c r="C100" s="26"/>
      <c r="D100" s="32">
        <f>+D96-D98</f>
        <v>-15161.110000000011</v>
      </c>
      <c r="E100" s="13"/>
      <c r="F100" s="35">
        <f>IF(D$12=0,0,D100/D$12)</f>
        <v>-0.11353036898487553</v>
      </c>
      <c r="G100" s="13"/>
      <c r="H100" s="32">
        <f>+H96-H98</f>
        <v>-55077.860000000015</v>
      </c>
      <c r="I100" s="13"/>
      <c r="J100" s="35">
        <f>IF(H$12=0,0,H100/H$12)</f>
        <v>-0.69331239720438764</v>
      </c>
      <c r="K100" s="15"/>
      <c r="L100" s="32">
        <f>D100-H100</f>
        <v>39916.75</v>
      </c>
      <c r="M100" s="15"/>
      <c r="N100" s="35">
        <f>IF(H100=0,0,L100/H100)</f>
        <v>-0.72473313233302794</v>
      </c>
      <c r="O100" s="25"/>
      <c r="P100" s="32">
        <f>+P96-P98</f>
        <v>-54009.359999999971</v>
      </c>
      <c r="Q100" s="13"/>
      <c r="R100" s="35">
        <f>IF(P$12=0,0,P100/P$12)</f>
        <v>-5.5872726606884901E-2</v>
      </c>
      <c r="S100" s="13"/>
      <c r="T100" s="32">
        <f>+T96-T98</f>
        <v>-256471.38999999984</v>
      </c>
      <c r="U100" s="13"/>
      <c r="V100" s="35">
        <f>IF(T$12=0,0,T100/T$12)</f>
        <v>-0.20109969186992688</v>
      </c>
      <c r="W100" s="15"/>
      <c r="X100" s="32">
        <f>P100-T100</f>
        <v>202462.02999999985</v>
      </c>
      <c r="Y100" s="15"/>
      <c r="Z100" s="35">
        <f>IF(T100=0,0,X100/T100)</f>
        <v>-0.78941370419523205</v>
      </c>
    </row>
    <row r="101" spans="1:26" ht="15" thickTop="1" x14ac:dyDescent="0.3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3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" thickBot="1" x14ac:dyDescent="0.35">
      <c r="A103" s="10"/>
      <c r="B103" s="26" t="s">
        <v>293</v>
      </c>
      <c r="C103" s="26"/>
      <c r="D103" s="31">
        <f>SUM(D100:D102)</f>
        <v>-15161.110000000011</v>
      </c>
      <c r="E103" s="13"/>
      <c r="F103" s="33">
        <f>IF(D$12=0,0,D103/D$12)</f>
        <v>-0.11353036898487553</v>
      </c>
      <c r="G103" s="13"/>
      <c r="H103" s="31">
        <f>SUM(H100:H102)</f>
        <v>-55077.860000000015</v>
      </c>
      <c r="I103" s="13"/>
      <c r="J103" s="33">
        <f>IF(H$12=0,0,H103/H$12)</f>
        <v>-0.69331239720438764</v>
      </c>
      <c r="K103" s="15"/>
      <c r="L103" s="31">
        <f>+D103-H103</f>
        <v>39916.75</v>
      </c>
      <c r="M103" s="15"/>
      <c r="N103" s="33">
        <f>IF(H103=0,0,L103/H103)</f>
        <v>-0.72473313233302794</v>
      </c>
      <c r="O103" s="25"/>
      <c r="P103" s="31">
        <f>SUM(P100:P102)</f>
        <v>-54009.359999999971</v>
      </c>
      <c r="Q103" s="13"/>
      <c r="R103" s="33">
        <f>IF(P$12=0,0,P103/P$12)</f>
        <v>-5.5872726606884901E-2</v>
      </c>
      <c r="S103" s="13"/>
      <c r="T103" s="31">
        <f>SUM(T100:T102)</f>
        <v>-256471.38999999984</v>
      </c>
      <c r="U103" s="13"/>
      <c r="V103" s="33">
        <f>IF(T$12=0,0,T103/T$12)</f>
        <v>-0.20109969186992688</v>
      </c>
      <c r="W103" s="15"/>
      <c r="X103" s="31">
        <f>+P103-T103</f>
        <v>202462.02999999985</v>
      </c>
      <c r="Y103" s="15"/>
      <c r="Z103" s="33">
        <f>IF(T103=0,0,X103/T103)</f>
        <v>-0.78941370419523205</v>
      </c>
    </row>
    <row r="104" spans="1:26" ht="15" thickTop="1" x14ac:dyDescent="0.3">
      <c r="A104" s="9"/>
      <c r="C104" s="9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3">
      <c r="A105" s="9"/>
      <c r="B105" s="60">
        <v>44575.854642013888</v>
      </c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3">
      <c r="A106" s="9"/>
      <c r="B106" s="57" t="s">
        <v>56</v>
      </c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3">
      <c r="A107" s="9"/>
      <c r="B107" s="59"/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3"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","317", " - ", "Computer Store")</f>
        <v>Department 317 - Computer Store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133542.32999999999</v>
      </c>
      <c r="E12" s="4"/>
      <c r="F12" s="12"/>
      <c r="G12" s="4"/>
      <c r="H12" s="4">
        <f>SUM(OSRRefH13x_0)</f>
        <v>79441.619999999981</v>
      </c>
      <c r="I12" s="4"/>
      <c r="J12" s="12"/>
      <c r="K12" s="4"/>
      <c r="L12" s="4">
        <f t="shared" ref="L12:L33" si="0">+D12-H12</f>
        <v>54100.710000000006</v>
      </c>
      <c r="M12" s="4"/>
      <c r="N12" s="12">
        <f t="shared" ref="N12:N33" si="1">IF(H12=0,0,L12/H12)</f>
        <v>0.68101216969140377</v>
      </c>
      <c r="O12" s="10"/>
      <c r="P12" s="4">
        <f>SUM(OSRRefP13x_0)</f>
        <v>966649.8</v>
      </c>
      <c r="Q12" s="4"/>
      <c r="R12" s="12"/>
      <c r="S12" s="4"/>
      <c r="T12" s="4">
        <f>SUM(OSRRefT13x_0)</f>
        <v>1275344.5200000003</v>
      </c>
      <c r="U12" s="4"/>
      <c r="V12" s="12"/>
      <c r="W12" s="4"/>
      <c r="X12" s="4">
        <f t="shared" ref="X12:X33" si="2">+P12-T12</f>
        <v>-308694.7200000002</v>
      </c>
      <c r="Y12" s="4"/>
      <c r="Z12" s="12">
        <f t="shared" ref="Z12:Z33" si="3">IF(T12=0,0,X12/T12)</f>
        <v>-0.24204810163766582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--134314.8</f>
        <v>134314.79999999999</v>
      </c>
      <c r="E13" s="2"/>
      <c r="F13" s="19"/>
      <c r="G13" s="2"/>
      <c r="H13" s="2">
        <f>-264.66</f>
        <v>-264.66000000000003</v>
      </c>
      <c r="I13" s="2"/>
      <c r="J13" s="19"/>
      <c r="K13" s="2"/>
      <c r="L13" s="2">
        <f t="shared" si="0"/>
        <v>134579.46</v>
      </c>
      <c r="M13" s="2"/>
      <c r="N13" s="19">
        <f t="shared" si="1"/>
        <v>-508.49943323509399</v>
      </c>
      <c r="O13" s="11"/>
      <c r="P13" s="2">
        <f>--818426.75</f>
        <v>818426.75</v>
      </c>
      <c r="Q13" s="2"/>
      <c r="R13" s="19"/>
      <c r="S13" s="2"/>
      <c r="T13" s="2">
        <f>-2308.77</f>
        <v>-2308.77</v>
      </c>
      <c r="U13" s="2"/>
      <c r="V13" s="19"/>
      <c r="W13" s="2"/>
      <c r="X13" s="2">
        <f t="shared" si="2"/>
        <v>820735.52</v>
      </c>
      <c r="Y13" s="2"/>
      <c r="Z13" s="19">
        <f t="shared" si="3"/>
        <v>-355.48604668286578</v>
      </c>
    </row>
    <row r="14" spans="1:26" s="24" customFormat="1" hidden="1" outlineLevel="1" x14ac:dyDescent="0.3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 t="shared" ref="D14:D18" si="4">0</f>
        <v>0</v>
      </c>
      <c r="E14" s="2"/>
      <c r="F14" s="19"/>
      <c r="G14" s="2"/>
      <c r="H14" s="2">
        <f>--860.25</f>
        <v>860.25</v>
      </c>
      <c r="I14" s="2"/>
      <c r="J14" s="19"/>
      <c r="K14" s="2"/>
      <c r="L14" s="2">
        <f t="shared" si="0"/>
        <v>-860.25</v>
      </c>
      <c r="M14" s="2"/>
      <c r="N14" s="19">
        <f t="shared" si="1"/>
        <v>-1</v>
      </c>
      <c r="O14" s="11"/>
      <c r="P14" s="2">
        <f t="shared" ref="P14:P18" si="5">0</f>
        <v>0</v>
      </c>
      <c r="Q14" s="2"/>
      <c r="R14" s="19"/>
      <c r="S14" s="2"/>
      <c r="T14" s="2">
        <f>--56879.52</f>
        <v>56879.519999999997</v>
      </c>
      <c r="U14" s="2"/>
      <c r="V14" s="19"/>
      <c r="W14" s="2"/>
      <c r="X14" s="2">
        <f t="shared" si="2"/>
        <v>-56879.519999999997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 t="shared" si="4"/>
        <v>0</v>
      </c>
      <c r="E15" s="2"/>
      <c r="F15" s="19"/>
      <c r="G15" s="2"/>
      <c r="H15" s="2">
        <f>--43662</f>
        <v>43662</v>
      </c>
      <c r="I15" s="2"/>
      <c r="J15" s="19"/>
      <c r="K15" s="2"/>
      <c r="L15" s="2">
        <f t="shared" si="0"/>
        <v>-43662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--993256.89</f>
        <v>993256.89</v>
      </c>
      <c r="U15" s="2"/>
      <c r="V15" s="19"/>
      <c r="W15" s="2"/>
      <c r="X15" s="2">
        <f t="shared" si="2"/>
        <v>-993256.89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 t="shared" si="4"/>
        <v>0</v>
      </c>
      <c r="E16" s="2"/>
      <c r="F16" s="19"/>
      <c r="G16" s="2"/>
      <c r="H16" s="2">
        <f>--7787.03</f>
        <v>7787.03</v>
      </c>
      <c r="I16" s="2"/>
      <c r="J16" s="19"/>
      <c r="K16" s="2"/>
      <c r="L16" s="2">
        <f t="shared" si="0"/>
        <v>-7787.03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--84637.98</f>
        <v>84637.98</v>
      </c>
      <c r="U16" s="2"/>
      <c r="V16" s="19"/>
      <c r="W16" s="2"/>
      <c r="X16" s="2">
        <f t="shared" si="2"/>
        <v>-84637.98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--1228.99</f>
        <v>1228.99</v>
      </c>
      <c r="I17" s="2"/>
      <c r="J17" s="19"/>
      <c r="K17" s="2"/>
      <c r="L17" s="2">
        <f t="shared" si="0"/>
        <v>-1228.99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--2728.94</f>
        <v>2728.94</v>
      </c>
      <c r="U17" s="2"/>
      <c r="V17" s="19"/>
      <c r="W17" s="2"/>
      <c r="X17" s="2">
        <f t="shared" si="2"/>
        <v>-2728.94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 t="shared" si="4"/>
        <v>0</v>
      </c>
      <c r="E18" s="2"/>
      <c r="F18" s="19"/>
      <c r="G18" s="2"/>
      <c r="H18" s="2">
        <f>--27507.98</f>
        <v>27507.98</v>
      </c>
      <c r="I18" s="2"/>
      <c r="J18" s="19"/>
      <c r="K18" s="2"/>
      <c r="L18" s="2">
        <f t="shared" si="0"/>
        <v>-27507.98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--57135.58</f>
        <v>57135.58</v>
      </c>
      <c r="U18" s="2"/>
      <c r="V18" s="19"/>
      <c r="W18" s="2"/>
      <c r="X18" s="2">
        <f t="shared" si="2"/>
        <v>-57135.58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--38625.69</f>
        <v>38625.69</v>
      </c>
      <c r="E19" s="2"/>
      <c r="F19" s="19"/>
      <c r="G19" s="2"/>
      <c r="H19" s="2">
        <f t="shared" ref="H19:H20" si="6">0</f>
        <v>0</v>
      </c>
      <c r="I19" s="2"/>
      <c r="J19" s="19"/>
      <c r="K19" s="2"/>
      <c r="L19" s="2">
        <f t="shared" si="0"/>
        <v>38625.69</v>
      </c>
      <c r="M19" s="2"/>
      <c r="N19" s="19">
        <f t="shared" si="1"/>
        <v>0</v>
      </c>
      <c r="O19" s="11"/>
      <c r="P19" s="2">
        <f>--340387.58</f>
        <v>340387.58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340387.58</v>
      </c>
      <c r="Y19" s="2"/>
      <c r="Z19" s="19">
        <f t="shared" si="3"/>
        <v>0</v>
      </c>
    </row>
    <row r="20" spans="1:26" s="24" customFormat="1" hidden="1" outlineLevel="1" x14ac:dyDescent="0.3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 t="shared" ref="D20:D24" si="7">0</f>
        <v>0</v>
      </c>
      <c r="E20" s="2"/>
      <c r="F20" s="19"/>
      <c r="G20" s="2"/>
      <c r="H20" s="2">
        <f t="shared" si="6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ref="P20:P24" si="8">0</f>
        <v>0</v>
      </c>
      <c r="Q20" s="2"/>
      <c r="R20" s="19"/>
      <c r="S20" s="2"/>
      <c r="T20" s="2">
        <f>--3534.12</f>
        <v>3534.12</v>
      </c>
      <c r="U20" s="2"/>
      <c r="V20" s="19"/>
      <c r="W20" s="2"/>
      <c r="X20" s="2">
        <f t="shared" si="2"/>
        <v>-3534.12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 t="shared" si="7"/>
        <v>0</v>
      </c>
      <c r="E21" s="2"/>
      <c r="F21" s="19"/>
      <c r="G21" s="2"/>
      <c r="H21" s="2">
        <f>--9513.96</f>
        <v>9513.9599999999991</v>
      </c>
      <c r="I21" s="2"/>
      <c r="J21" s="19"/>
      <c r="K21" s="2"/>
      <c r="L21" s="2">
        <f t="shared" si="0"/>
        <v>-9513.9599999999991</v>
      </c>
      <c r="M21" s="2"/>
      <c r="N21" s="19">
        <f t="shared" si="1"/>
        <v>-1</v>
      </c>
      <c r="O21" s="11"/>
      <c r="P21" s="2">
        <f t="shared" si="8"/>
        <v>0</v>
      </c>
      <c r="Q21" s="2"/>
      <c r="R21" s="19"/>
      <c r="S21" s="2"/>
      <c r="T21" s="2">
        <f>--164308.31</f>
        <v>164308.31</v>
      </c>
      <c r="U21" s="2"/>
      <c r="V21" s="19"/>
      <c r="W21" s="2"/>
      <c r="X21" s="2">
        <f t="shared" si="2"/>
        <v>-164308.31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 t="shared" si="7"/>
        <v>0</v>
      </c>
      <c r="E22" s="2"/>
      <c r="F22" s="19"/>
      <c r="G22" s="2"/>
      <c r="H22" s="2">
        <f>--258.91</f>
        <v>258.91000000000003</v>
      </c>
      <c r="I22" s="2"/>
      <c r="J22" s="19"/>
      <c r="K22" s="2"/>
      <c r="L22" s="2">
        <f t="shared" si="0"/>
        <v>-258.91000000000003</v>
      </c>
      <c r="M22" s="2"/>
      <c r="N22" s="19">
        <f t="shared" si="1"/>
        <v>-1</v>
      </c>
      <c r="O22" s="11"/>
      <c r="P22" s="2">
        <f t="shared" si="8"/>
        <v>0</v>
      </c>
      <c r="Q22" s="2"/>
      <c r="R22" s="19"/>
      <c r="S22" s="2"/>
      <c r="T22" s="2">
        <f>--7629.19</f>
        <v>7629.19</v>
      </c>
      <c r="U22" s="2"/>
      <c r="V22" s="19"/>
      <c r="W22" s="2"/>
      <c r="X22" s="2">
        <f t="shared" si="2"/>
        <v>-7629.19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"4185", " - ", "NON-TAXABLE SALES-SOFTWARE")</f>
        <v xml:space="preserve">          4185 - NON-TAXABLE SALES-SOFTWARE</v>
      </c>
      <c r="C23" s="11"/>
      <c r="D23" s="2">
        <f t="shared" si="7"/>
        <v>0</v>
      </c>
      <c r="E23" s="2"/>
      <c r="F23" s="19"/>
      <c r="G23" s="2"/>
      <c r="H23" s="2">
        <f>--873.93</f>
        <v>873.93</v>
      </c>
      <c r="I23" s="2"/>
      <c r="J23" s="19"/>
      <c r="K23" s="2"/>
      <c r="L23" s="2">
        <f t="shared" si="0"/>
        <v>-873.93</v>
      </c>
      <c r="M23" s="2"/>
      <c r="N23" s="19">
        <f t="shared" si="1"/>
        <v>-1</v>
      </c>
      <c r="O23" s="11"/>
      <c r="P23" s="2">
        <f t="shared" si="8"/>
        <v>0</v>
      </c>
      <c r="Q23" s="2"/>
      <c r="R23" s="19"/>
      <c r="S23" s="2"/>
      <c r="T23" s="2">
        <f>--26680.67</f>
        <v>26680.67</v>
      </c>
      <c r="U23" s="2"/>
      <c r="V23" s="19"/>
      <c r="W23" s="2"/>
      <c r="X23" s="2">
        <f t="shared" si="2"/>
        <v>-26680.67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 t="shared" si="7"/>
        <v>0</v>
      </c>
      <c r="E24" s="2"/>
      <c r="F24" s="19"/>
      <c r="G24" s="2"/>
      <c r="H24" s="2">
        <f>--176.22</f>
        <v>176.22</v>
      </c>
      <c r="I24" s="2"/>
      <c r="J24" s="19"/>
      <c r="K24" s="2"/>
      <c r="L24" s="2">
        <f t="shared" si="0"/>
        <v>-176.22</v>
      </c>
      <c r="M24" s="2"/>
      <c r="N24" s="19">
        <f t="shared" si="1"/>
        <v>-1</v>
      </c>
      <c r="O24" s="11"/>
      <c r="P24" s="2">
        <f t="shared" si="8"/>
        <v>0</v>
      </c>
      <c r="Q24" s="2"/>
      <c r="R24" s="19"/>
      <c r="S24" s="2"/>
      <c r="T24" s="2">
        <f>--1949.99</f>
        <v>1949.99</v>
      </c>
      <c r="U24" s="2"/>
      <c r="V24" s="19"/>
      <c r="W24" s="2"/>
      <c r="X24" s="2">
        <f t="shared" si="2"/>
        <v>-1949.99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"4200", " - ", "TAXABLE RETURNS")</f>
        <v xml:space="preserve">          4200 - TAXABLE RETURNS</v>
      </c>
      <c r="C25" s="11"/>
      <c r="D25" s="2">
        <f>-39012.77</f>
        <v>-39012.769999999997</v>
      </c>
      <c r="E25" s="2"/>
      <c r="F25" s="19"/>
      <c r="G25" s="2"/>
      <c r="H25" s="2">
        <f t="shared" ref="H25:H26" si="9">0</f>
        <v>0</v>
      </c>
      <c r="I25" s="2"/>
      <c r="J25" s="19"/>
      <c r="K25" s="2"/>
      <c r="L25" s="2">
        <f t="shared" si="0"/>
        <v>-39012.769999999997</v>
      </c>
      <c r="M25" s="2"/>
      <c r="N25" s="19">
        <f t="shared" si="1"/>
        <v>0</v>
      </c>
      <c r="O25" s="11"/>
      <c r="P25" s="2">
        <f>-190982.41</f>
        <v>-190982.41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-190982.41</v>
      </c>
      <c r="Y25" s="2"/>
      <c r="Z25" s="19">
        <f t="shared" si="3"/>
        <v>0</v>
      </c>
    </row>
    <row r="26" spans="1:26" s="24" customFormat="1" hidden="1" outlineLevel="1" x14ac:dyDescent="0.3">
      <c r="A26" s="44"/>
      <c r="B26" s="11" t="str">
        <f>CONCATENATE("          ", "4281", " - ", "SALES RETURN TAXABLE-ELECTRONI")</f>
        <v xml:space="preserve">          4281 - SALES RETURN TAXABLE-ELECTRONI</v>
      </c>
      <c r="C26" s="11"/>
      <c r="D26" s="2">
        <f t="shared" ref="D26:D32" si="10">0</f>
        <v>0</v>
      </c>
      <c r="E26" s="2"/>
      <c r="F26" s="19"/>
      <c r="G26" s="2"/>
      <c r="H26" s="2">
        <f t="shared" si="9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30" si="11">0</f>
        <v>0</v>
      </c>
      <c r="Q26" s="2"/>
      <c r="R26" s="19"/>
      <c r="S26" s="2"/>
      <c r="T26" s="2">
        <f>-14632.15</f>
        <v>-14632.15</v>
      </c>
      <c r="U26" s="2"/>
      <c r="V26" s="19"/>
      <c r="W26" s="2"/>
      <c r="X26" s="2">
        <f t="shared" si="2"/>
        <v>14632.15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"4282", " - ", "SALES RETURN TAXABLE-COMPUTER")</f>
        <v xml:space="preserve">          4282 - SALES RETURN TAXABLE-COMPUTER</v>
      </c>
      <c r="C27" s="11"/>
      <c r="D27" s="2">
        <f t="shared" si="10"/>
        <v>0</v>
      </c>
      <c r="E27" s="2"/>
      <c r="F27" s="19"/>
      <c r="G27" s="2"/>
      <c r="H27" s="2">
        <f>-7936</f>
        <v>-7936</v>
      </c>
      <c r="I27" s="2"/>
      <c r="J27" s="19"/>
      <c r="K27" s="2"/>
      <c r="L27" s="2">
        <f t="shared" si="0"/>
        <v>7936</v>
      </c>
      <c r="M27" s="2"/>
      <c r="N27" s="19">
        <f t="shared" si="1"/>
        <v>-1</v>
      </c>
      <c r="O27" s="11"/>
      <c r="P27" s="2">
        <f t="shared" si="11"/>
        <v>0</v>
      </c>
      <c r="Q27" s="2"/>
      <c r="R27" s="19"/>
      <c r="S27" s="2"/>
      <c r="T27" s="2">
        <f>-92020.01</f>
        <v>-92020.01</v>
      </c>
      <c r="U27" s="2"/>
      <c r="V27" s="19"/>
      <c r="W27" s="2"/>
      <c r="X27" s="2">
        <f t="shared" si="2"/>
        <v>92020.01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"4283", " - ", "SALES RETURN TAXABLE-COMPUTER")</f>
        <v xml:space="preserve">          4283 - SALES RETURN TAXABLE-COMPUTER</v>
      </c>
      <c r="C28" s="11"/>
      <c r="D28" s="2">
        <f t="shared" si="10"/>
        <v>0</v>
      </c>
      <c r="E28" s="2"/>
      <c r="F28" s="19"/>
      <c r="G28" s="2"/>
      <c r="H28" s="2">
        <f>-99.99</f>
        <v>-99.99</v>
      </c>
      <c r="I28" s="2"/>
      <c r="J28" s="19"/>
      <c r="K28" s="2"/>
      <c r="L28" s="2">
        <f t="shared" si="0"/>
        <v>99.99</v>
      </c>
      <c r="M28" s="2"/>
      <c r="N28" s="19">
        <f t="shared" si="1"/>
        <v>-1</v>
      </c>
      <c r="O28" s="11"/>
      <c r="P28" s="2">
        <f t="shared" si="11"/>
        <v>0</v>
      </c>
      <c r="Q28" s="2"/>
      <c r="R28" s="19"/>
      <c r="S28" s="2"/>
      <c r="T28" s="2">
        <f>-3411.26</f>
        <v>-3411.26</v>
      </c>
      <c r="U28" s="2"/>
      <c r="V28" s="19"/>
      <c r="W28" s="2"/>
      <c r="X28" s="2">
        <f t="shared" si="2"/>
        <v>3411.26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"4285", " - ", "SALES RETURN TAXABLE-SOFTWARE")</f>
        <v xml:space="preserve">          4285 - SALES RETURN TAXABLE-SOFTWARE</v>
      </c>
      <c r="C29" s="11"/>
      <c r="D29" s="2">
        <f t="shared" si="10"/>
        <v>0</v>
      </c>
      <c r="E29" s="2"/>
      <c r="F29" s="19"/>
      <c r="G29" s="2"/>
      <c r="H29" s="2">
        <f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si="11"/>
        <v>0</v>
      </c>
      <c r="Q29" s="2"/>
      <c r="R29" s="19"/>
      <c r="S29" s="2"/>
      <c r="T29" s="2">
        <f>-691.98</f>
        <v>-691.98</v>
      </c>
      <c r="U29" s="2"/>
      <c r="V29" s="19"/>
      <c r="W29" s="2"/>
      <c r="X29" s="2">
        <f t="shared" si="2"/>
        <v>691.98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"4286", " - ", "SALES RETURN TAXABLE-COMPUTER")</f>
        <v xml:space="preserve">          4286 - SALES RETURN TAXABLE-COMPUTER</v>
      </c>
      <c r="C30" s="11"/>
      <c r="D30" s="2">
        <f t="shared" si="10"/>
        <v>0</v>
      </c>
      <c r="E30" s="2"/>
      <c r="F30" s="19"/>
      <c r="G30" s="2"/>
      <c r="H30" s="2">
        <f>-4127</f>
        <v>-4127</v>
      </c>
      <c r="I30" s="2"/>
      <c r="J30" s="19"/>
      <c r="K30" s="2"/>
      <c r="L30" s="2">
        <f t="shared" si="0"/>
        <v>4127</v>
      </c>
      <c r="M30" s="2"/>
      <c r="N30" s="19">
        <f t="shared" si="1"/>
        <v>-1</v>
      </c>
      <c r="O30" s="11"/>
      <c r="P30" s="2">
        <f t="shared" si="11"/>
        <v>0</v>
      </c>
      <c r="Q30" s="2"/>
      <c r="R30" s="19"/>
      <c r="S30" s="2"/>
      <c r="T30" s="2">
        <f>-4708.35</f>
        <v>-4708.3500000000004</v>
      </c>
      <c r="U30" s="2"/>
      <c r="V30" s="19"/>
      <c r="W30" s="2"/>
      <c r="X30" s="2">
        <f t="shared" si="2"/>
        <v>4708.3500000000004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"4300", " - ", "NON-TAX RETURNS")</f>
        <v xml:space="preserve">          4300 - NON-TAX RETURNS</v>
      </c>
      <c r="C31" s="11"/>
      <c r="D31" s="2">
        <f t="shared" si="10"/>
        <v>0</v>
      </c>
      <c r="E31" s="2"/>
      <c r="F31" s="19"/>
      <c r="G31" s="2"/>
      <c r="H31" s="2">
        <f t="shared" ref="H31:H33" si="12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-704.79</f>
        <v>-704.79</v>
      </c>
      <c r="Q31" s="2"/>
      <c r="R31" s="19"/>
      <c r="S31" s="2"/>
      <c r="T31" s="2">
        <f>0</f>
        <v>0</v>
      </c>
      <c r="U31" s="2"/>
      <c r="V31" s="19"/>
      <c r="W31" s="2"/>
      <c r="X31" s="2">
        <f t="shared" si="2"/>
        <v>-704.79</v>
      </c>
      <c r="Y31" s="2"/>
      <c r="Z31" s="19">
        <f t="shared" si="3"/>
        <v>0</v>
      </c>
    </row>
    <row r="32" spans="1:26" s="24" customFormat="1" hidden="1" outlineLevel="1" x14ac:dyDescent="0.3">
      <c r="A32" s="44"/>
      <c r="B32" s="11" t="str">
        <f>CONCATENATE("          ", "4381", " - ", "SALES RETURN NON TAXABLE-ELECT")</f>
        <v xml:space="preserve">          4381 - SALES RETURN NON TAXABLE-ELECT</v>
      </c>
      <c r="C32" s="11"/>
      <c r="D32" s="2">
        <f t="shared" si="10"/>
        <v>0</v>
      </c>
      <c r="E32" s="2"/>
      <c r="F32" s="19"/>
      <c r="G32" s="2"/>
      <c r="H32" s="2">
        <f t="shared" si="12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0</f>
        <v>0</v>
      </c>
      <c r="Q32" s="2"/>
      <c r="R32" s="19"/>
      <c r="S32" s="2"/>
      <c r="T32" s="2">
        <f>-5624.15</f>
        <v>-5624.15</v>
      </c>
      <c r="U32" s="2"/>
      <c r="V32" s="19"/>
      <c r="W32" s="2"/>
      <c r="X32" s="2">
        <f t="shared" si="2"/>
        <v>5624.15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"4500", " - ", "SALES DISCOUNT")</f>
        <v xml:space="preserve">          4500 - SALES DISCOUNT</v>
      </c>
      <c r="C33" s="11"/>
      <c r="D33" s="2">
        <f>-385.39</f>
        <v>-385.39</v>
      </c>
      <c r="E33" s="2"/>
      <c r="F33" s="19"/>
      <c r="G33" s="2"/>
      <c r="H33" s="2">
        <f t="shared" si="12"/>
        <v>0</v>
      </c>
      <c r="I33" s="2"/>
      <c r="J33" s="19"/>
      <c r="K33" s="2"/>
      <c r="L33" s="2">
        <f t="shared" si="0"/>
        <v>-385.39</v>
      </c>
      <c r="M33" s="2"/>
      <c r="N33" s="19">
        <f t="shared" si="1"/>
        <v>0</v>
      </c>
      <c r="O33" s="11"/>
      <c r="P33" s="2">
        <f>-477.33</f>
        <v>-477.33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-477.33</v>
      </c>
      <c r="Y33" s="2"/>
      <c r="Z33" s="19">
        <f t="shared" si="3"/>
        <v>0</v>
      </c>
    </row>
    <row r="34" spans="1:26" x14ac:dyDescent="0.3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3">
      <c r="A35" s="10"/>
      <c r="B35" s="25" t="s">
        <v>256</v>
      </c>
      <c r="C35" s="10"/>
      <c r="D35" s="4">
        <f>SUM(OSRRefD16x_0)</f>
        <v>119832.5</v>
      </c>
      <c r="E35" s="4"/>
      <c r="F35" s="12">
        <f t="shared" ref="F35:F48" si="13">IF(D$12=0,0,D35/D$12)</f>
        <v>0.89733719637810727</v>
      </c>
      <c r="G35" s="4"/>
      <c r="H35" s="4">
        <f>SUM(OSRRefH16x_0)</f>
        <v>74328</v>
      </c>
      <c r="I35" s="4"/>
      <c r="J35" s="12">
        <f t="shared" ref="J35:J48" si="14">IF(H$12=0,0,H35/H$12)</f>
        <v>0.93563046675030059</v>
      </c>
      <c r="K35" s="4"/>
      <c r="L35" s="4">
        <f t="shared" ref="L35:L48" si="15">+D35-H35</f>
        <v>45504.5</v>
      </c>
      <c r="M35" s="4"/>
      <c r="N35" s="12">
        <f t="shared" ref="N35:N48" si="16">IF(H35=0,0,L35/H35)</f>
        <v>0.61221208696588092</v>
      </c>
      <c r="O35" s="10"/>
      <c r="P35" s="4">
        <f>SUM(OSRRefP16x_0)</f>
        <v>822492.23</v>
      </c>
      <c r="Q35" s="4"/>
      <c r="R35" s="12">
        <f t="shared" ref="R35:R48" si="17">IF(P$12=0,0,P35/P$12)</f>
        <v>0.8508688772293751</v>
      </c>
      <c r="S35" s="4"/>
      <c r="T35" s="4">
        <f>SUM(OSRRefT16x_0)</f>
        <v>1215966.8400000001</v>
      </c>
      <c r="U35" s="4"/>
      <c r="V35" s="12">
        <f t="shared" ref="V35:V48" si="18">IF(T$12=0,0,T35/T$12)</f>
        <v>0.953441851147798</v>
      </c>
      <c r="W35" s="4"/>
      <c r="X35" s="4">
        <f t="shared" ref="X35:X48" si="19">+P35-T35</f>
        <v>-393474.6100000001</v>
      </c>
      <c r="Y35" s="4"/>
      <c r="Z35" s="12">
        <f t="shared" ref="Z35:Z48" si="20">IF(T35=0,0,X35/T35)</f>
        <v>-0.32358991796190767</v>
      </c>
    </row>
    <row r="36" spans="1:26" s="24" customFormat="1" hidden="1" outlineLevel="1" x14ac:dyDescent="0.3">
      <c r="A36" s="44"/>
      <c r="B36" s="11" t="str">
        <f>CONCATENATE("          ", "5000", " - ", "PURCHASES @ COST")</f>
        <v xml:space="preserve">          5000 - PURCHASES @ COST</v>
      </c>
      <c r="C36" s="11"/>
      <c r="D36" s="2">
        <v>183675.67</v>
      </c>
      <c r="E36" s="2"/>
      <c r="F36" s="19">
        <f t="shared" si="13"/>
        <v>1.3754116016996261</v>
      </c>
      <c r="G36" s="2"/>
      <c r="H36" s="2"/>
      <c r="I36" s="2"/>
      <c r="J36" s="19">
        <f t="shared" si="14"/>
        <v>0</v>
      </c>
      <c r="K36" s="2"/>
      <c r="L36" s="2">
        <f t="shared" si="15"/>
        <v>183675.67</v>
      </c>
      <c r="M36" s="2"/>
      <c r="N36" s="19">
        <f t="shared" si="16"/>
        <v>0</v>
      </c>
      <c r="O36" s="11"/>
      <c r="P36" s="2">
        <v>927238.18</v>
      </c>
      <c r="Q36" s="2"/>
      <c r="R36" s="19">
        <f t="shared" si="17"/>
        <v>0.95922864723087931</v>
      </c>
      <c r="S36" s="2"/>
      <c r="T36" s="2">
        <v>0</v>
      </c>
      <c r="U36" s="2"/>
      <c r="V36" s="19">
        <f t="shared" si="18"/>
        <v>0</v>
      </c>
      <c r="W36" s="2"/>
      <c r="X36" s="2">
        <f t="shared" si="19"/>
        <v>927238.18</v>
      </c>
      <c r="Y36" s="2"/>
      <c r="Z36" s="19">
        <f t="shared" si="20"/>
        <v>0</v>
      </c>
    </row>
    <row r="37" spans="1:26" s="24" customFormat="1" hidden="1" outlineLevel="1" x14ac:dyDescent="0.3">
      <c r="A37" s="44"/>
      <c r="B37" s="11" t="str">
        <f>CONCATENATE("          ", "5081", " - ", "PURCHASES @ COST-ELECTRONICS")</f>
        <v xml:space="preserve">          5081 - PURCHASES @ COST-ELECTRONICS</v>
      </c>
      <c r="C37" s="11"/>
      <c r="D37" s="2"/>
      <c r="E37" s="2"/>
      <c r="F37" s="19">
        <f t="shared" si="13"/>
        <v>0</v>
      </c>
      <c r="G37" s="2"/>
      <c r="H37" s="2">
        <v>945.44</v>
      </c>
      <c r="I37" s="2"/>
      <c r="J37" s="19">
        <f t="shared" si="14"/>
        <v>1.1901066468684806E-2</v>
      </c>
      <c r="K37" s="2"/>
      <c r="L37" s="2">
        <f t="shared" si="15"/>
        <v>-945.44</v>
      </c>
      <c r="M37" s="2"/>
      <c r="N37" s="19">
        <f t="shared" si="16"/>
        <v>-1</v>
      </c>
      <c r="O37" s="11"/>
      <c r="P37" s="2">
        <v>0</v>
      </c>
      <c r="Q37" s="2"/>
      <c r="R37" s="19">
        <f t="shared" si="17"/>
        <v>0</v>
      </c>
      <c r="S37" s="2"/>
      <c r="T37" s="2">
        <v>25260.51</v>
      </c>
      <c r="U37" s="2"/>
      <c r="V37" s="19">
        <f t="shared" si="18"/>
        <v>1.9806812672077026E-2</v>
      </c>
      <c r="W37" s="2"/>
      <c r="X37" s="2">
        <f t="shared" si="19"/>
        <v>-25260.51</v>
      </c>
      <c r="Y37" s="2"/>
      <c r="Z37" s="19">
        <f t="shared" si="20"/>
        <v>-1</v>
      </c>
    </row>
    <row r="38" spans="1:26" s="24" customFormat="1" hidden="1" outlineLevel="1" x14ac:dyDescent="0.3">
      <c r="A38" s="44"/>
      <c r="B38" s="11" t="str">
        <f>CONCATENATE("          ", "5082", " - ", "PURCHASES @ COST-COMPUTER HARD")</f>
        <v xml:space="preserve">          5082 - PURCHASES @ COST-COMPUTER HARD</v>
      </c>
      <c r="C38" s="11"/>
      <c r="D38" s="2">
        <v>-6160.03</v>
      </c>
      <c r="E38" s="2"/>
      <c r="F38" s="19">
        <f t="shared" si="13"/>
        <v>-4.6127920637598581E-2</v>
      </c>
      <c r="G38" s="2"/>
      <c r="H38" s="2">
        <v>20916.71</v>
      </c>
      <c r="I38" s="2"/>
      <c r="J38" s="19">
        <f t="shared" si="14"/>
        <v>0.26329661958051714</v>
      </c>
      <c r="K38" s="2"/>
      <c r="L38" s="2">
        <f t="shared" si="15"/>
        <v>-27076.739999999998</v>
      </c>
      <c r="M38" s="2"/>
      <c r="N38" s="19">
        <f t="shared" si="16"/>
        <v>-1.2945028161694645</v>
      </c>
      <c r="O38" s="11"/>
      <c r="P38" s="2">
        <v>-86869.48</v>
      </c>
      <c r="Q38" s="2"/>
      <c r="R38" s="19">
        <f t="shared" si="17"/>
        <v>-8.9866547326653348E-2</v>
      </c>
      <c r="S38" s="2"/>
      <c r="T38" s="2">
        <v>980936.82</v>
      </c>
      <c r="U38" s="2"/>
      <c r="V38" s="19">
        <f t="shared" si="18"/>
        <v>0.76915437720311042</v>
      </c>
      <c r="W38" s="2"/>
      <c r="X38" s="2">
        <f t="shared" si="19"/>
        <v>-1067806.3</v>
      </c>
      <c r="Y38" s="2"/>
      <c r="Z38" s="19">
        <f t="shared" si="20"/>
        <v>-1.0885576708192073</v>
      </c>
    </row>
    <row r="39" spans="1:26" s="24" customFormat="1" hidden="1" outlineLevel="1" x14ac:dyDescent="0.3">
      <c r="A39" s="44"/>
      <c r="B39" s="11" t="str">
        <f>CONCATENATE("          ", "5083", " - ", "PURCHASES @ COST-COMPUTER EQUI")</f>
        <v xml:space="preserve">          5083 - PURCHASES @ COST-COMPUTER EQUI</v>
      </c>
      <c r="C39" s="11"/>
      <c r="D39" s="2"/>
      <c r="E39" s="2"/>
      <c r="F39" s="19">
        <f t="shared" si="13"/>
        <v>0</v>
      </c>
      <c r="G39" s="2"/>
      <c r="H39" s="2">
        <v>5833.72</v>
      </c>
      <c r="I39" s="2"/>
      <c r="J39" s="19">
        <f t="shared" si="14"/>
        <v>7.3434051319698684E-2</v>
      </c>
      <c r="K39" s="2"/>
      <c r="L39" s="2">
        <f t="shared" si="15"/>
        <v>-5833.72</v>
      </c>
      <c r="M39" s="2"/>
      <c r="N39" s="19">
        <f t="shared" si="16"/>
        <v>-1</v>
      </c>
      <c r="O39" s="11"/>
      <c r="P39" s="2">
        <v>0</v>
      </c>
      <c r="Q39" s="2"/>
      <c r="R39" s="19">
        <f t="shared" si="17"/>
        <v>0</v>
      </c>
      <c r="S39" s="2"/>
      <c r="T39" s="2">
        <v>81726.84</v>
      </c>
      <c r="U39" s="2"/>
      <c r="V39" s="19">
        <f t="shared" si="18"/>
        <v>6.4082166597618645E-2</v>
      </c>
      <c r="W39" s="2"/>
      <c r="X39" s="2">
        <f t="shared" si="19"/>
        <v>-81726.84</v>
      </c>
      <c r="Y39" s="2"/>
      <c r="Z39" s="19">
        <f t="shared" si="20"/>
        <v>-1</v>
      </c>
    </row>
    <row r="40" spans="1:26" s="24" customFormat="1" hidden="1" outlineLevel="1" x14ac:dyDescent="0.3">
      <c r="A40" s="44"/>
      <c r="B40" s="11" t="str">
        <f>CONCATENATE("          ", "5085", " - ", "PURCHASES @ COST-SOFTWARE")</f>
        <v xml:space="preserve">          5085 - PURCHASES @ COST-SOFTWARE</v>
      </c>
      <c r="C40" s="11"/>
      <c r="D40" s="2"/>
      <c r="E40" s="2"/>
      <c r="F40" s="19">
        <f t="shared" si="13"/>
        <v>0</v>
      </c>
      <c r="G40" s="2"/>
      <c r="H40" s="2">
        <v>496.16</v>
      </c>
      <c r="I40" s="2"/>
      <c r="J40" s="19">
        <f t="shared" si="14"/>
        <v>6.2455926754766602E-3</v>
      </c>
      <c r="K40" s="2"/>
      <c r="L40" s="2">
        <f t="shared" si="15"/>
        <v>-496.16</v>
      </c>
      <c r="M40" s="2"/>
      <c r="N40" s="19">
        <f t="shared" si="16"/>
        <v>-1</v>
      </c>
      <c r="O40" s="11"/>
      <c r="P40" s="2">
        <v>0</v>
      </c>
      <c r="Q40" s="2"/>
      <c r="R40" s="19">
        <f t="shared" si="17"/>
        <v>0</v>
      </c>
      <c r="S40" s="2"/>
      <c r="T40" s="2">
        <v>24572.080000000002</v>
      </c>
      <c r="U40" s="2"/>
      <c r="V40" s="19">
        <f t="shared" si="18"/>
        <v>1.9267013434142482E-2</v>
      </c>
      <c r="W40" s="2"/>
      <c r="X40" s="2">
        <f t="shared" si="19"/>
        <v>-24572.080000000002</v>
      </c>
      <c r="Y40" s="2"/>
      <c r="Z40" s="19">
        <f t="shared" si="20"/>
        <v>-1</v>
      </c>
    </row>
    <row r="41" spans="1:26" s="24" customFormat="1" hidden="1" outlineLevel="1" x14ac:dyDescent="0.3">
      <c r="A41" s="44"/>
      <c r="B41" s="11" t="str">
        <f>CONCATENATE("          ", "5086", " - ", "PURCHASES @ COST-COMPUTER SUPP")</f>
        <v xml:space="preserve">          5086 - PURCHASES @ COST-COMPUTER SUPP</v>
      </c>
      <c r="C41" s="11"/>
      <c r="D41" s="2"/>
      <c r="E41" s="2"/>
      <c r="F41" s="19">
        <f t="shared" si="13"/>
        <v>0</v>
      </c>
      <c r="G41" s="2"/>
      <c r="H41" s="2"/>
      <c r="I41" s="2"/>
      <c r="J41" s="19">
        <f t="shared" si="14"/>
        <v>0</v>
      </c>
      <c r="K41" s="2"/>
      <c r="L41" s="2">
        <f t="shared" si="15"/>
        <v>0</v>
      </c>
      <c r="M41" s="2"/>
      <c r="N41" s="19">
        <f t="shared" si="16"/>
        <v>0</v>
      </c>
      <c r="O41" s="11"/>
      <c r="P41" s="2">
        <v>0</v>
      </c>
      <c r="Q41" s="2"/>
      <c r="R41" s="19">
        <f t="shared" si="17"/>
        <v>0</v>
      </c>
      <c r="S41" s="2"/>
      <c r="T41" s="2">
        <v>22718.61</v>
      </c>
      <c r="U41" s="2"/>
      <c r="V41" s="19">
        <f t="shared" si="18"/>
        <v>1.7813704174617848E-2</v>
      </c>
      <c r="W41" s="2"/>
      <c r="X41" s="2">
        <f t="shared" si="19"/>
        <v>-22718.61</v>
      </c>
      <c r="Y41" s="2"/>
      <c r="Z41" s="19">
        <f t="shared" si="20"/>
        <v>-1</v>
      </c>
    </row>
    <row r="42" spans="1:26" s="24" customFormat="1" hidden="1" outlineLevel="1" x14ac:dyDescent="0.3">
      <c r="A42" s="44"/>
      <c r="B42" s="11" t="str">
        <f>CONCATENATE("          ", "5200", " - ", "PURCHASES OFFSET")</f>
        <v xml:space="preserve">          5200 - PURCHASES OFFSET</v>
      </c>
      <c r="C42" s="11"/>
      <c r="D42" s="2">
        <v>-183675.67</v>
      </c>
      <c r="E42" s="2"/>
      <c r="F42" s="19">
        <f t="shared" si="13"/>
        <v>-1.3754116016996261</v>
      </c>
      <c r="G42" s="2"/>
      <c r="H42" s="2">
        <v>-28230.26</v>
      </c>
      <c r="I42" s="2"/>
      <c r="J42" s="19">
        <f t="shared" si="14"/>
        <v>-0.35535856393663678</v>
      </c>
      <c r="K42" s="2"/>
      <c r="L42" s="2">
        <f t="shared" si="15"/>
        <v>-155445.41</v>
      </c>
      <c r="M42" s="2"/>
      <c r="N42" s="19">
        <f t="shared" si="16"/>
        <v>5.5063400053701246</v>
      </c>
      <c r="O42" s="11"/>
      <c r="P42" s="2">
        <v>-927282.37</v>
      </c>
      <c r="Q42" s="2"/>
      <c r="R42" s="19">
        <f t="shared" si="17"/>
        <v>-0.95927436182162351</v>
      </c>
      <c r="S42" s="2"/>
      <c r="T42" s="2">
        <v>-1131650.54</v>
      </c>
      <c r="U42" s="2"/>
      <c r="V42" s="19">
        <f t="shared" si="18"/>
        <v>-0.88732928416864154</v>
      </c>
      <c r="W42" s="2"/>
      <c r="X42" s="2">
        <f t="shared" si="19"/>
        <v>204368.17000000004</v>
      </c>
      <c r="Y42" s="2"/>
      <c r="Z42" s="19">
        <f t="shared" si="20"/>
        <v>-0.18059300356097566</v>
      </c>
    </row>
    <row r="43" spans="1:26" s="24" customFormat="1" hidden="1" outlineLevel="1" x14ac:dyDescent="0.3">
      <c r="A43" s="44"/>
      <c r="B43" s="11" t="str">
        <f>CONCATENATE("          ", "5300", " - ", "COG$ OFFSET")</f>
        <v xml:space="preserve">          5300 - COG$ OFFSET</v>
      </c>
      <c r="C43" s="11"/>
      <c r="D43" s="2">
        <v>125992.53</v>
      </c>
      <c r="E43" s="2"/>
      <c r="F43" s="19">
        <f t="shared" si="13"/>
        <v>0.9434651170157059</v>
      </c>
      <c r="G43" s="2"/>
      <c r="H43" s="2">
        <v>74328</v>
      </c>
      <c r="I43" s="2"/>
      <c r="J43" s="19">
        <f t="shared" si="14"/>
        <v>0.93563046675030059</v>
      </c>
      <c r="K43" s="2"/>
      <c r="L43" s="2">
        <f t="shared" si="15"/>
        <v>51664.53</v>
      </c>
      <c r="M43" s="2"/>
      <c r="N43" s="19">
        <f t="shared" si="16"/>
        <v>0.69508839199225059</v>
      </c>
      <c r="O43" s="11"/>
      <c r="P43" s="2">
        <v>909361.71</v>
      </c>
      <c r="Q43" s="2"/>
      <c r="R43" s="19">
        <f t="shared" si="17"/>
        <v>0.94073542455602832</v>
      </c>
      <c r="S43" s="2"/>
      <c r="T43" s="2">
        <v>1212021</v>
      </c>
      <c r="U43" s="2"/>
      <c r="V43" s="19">
        <f t="shared" si="18"/>
        <v>0.95034791069631896</v>
      </c>
      <c r="W43" s="2"/>
      <c r="X43" s="2">
        <f t="shared" si="19"/>
        <v>-302659.29000000004</v>
      </c>
      <c r="Y43" s="2"/>
      <c r="Z43" s="19">
        <f t="shared" si="20"/>
        <v>-0.24971455940119852</v>
      </c>
    </row>
    <row r="44" spans="1:26" s="24" customFormat="1" hidden="1" outlineLevel="1" x14ac:dyDescent="0.3">
      <c r="A44" s="44"/>
      <c r="B44" s="11" t="str">
        <f>CONCATENATE("          ", "5500", " - ", "FREIGHT-IN")</f>
        <v xml:space="preserve">          5500 - FREIGHT-IN</v>
      </c>
      <c r="C44" s="11"/>
      <c r="D44" s="2"/>
      <c r="E44" s="2"/>
      <c r="F44" s="19">
        <f t="shared" si="13"/>
        <v>0</v>
      </c>
      <c r="G44" s="2"/>
      <c r="H44" s="2">
        <v>0</v>
      </c>
      <c r="I44" s="2"/>
      <c r="J44" s="19">
        <f t="shared" si="14"/>
        <v>0</v>
      </c>
      <c r="K44" s="2"/>
      <c r="L44" s="2">
        <f t="shared" si="15"/>
        <v>0</v>
      </c>
      <c r="M44" s="2"/>
      <c r="N44" s="19">
        <f t="shared" si="16"/>
        <v>0</v>
      </c>
      <c r="O44" s="11"/>
      <c r="P44" s="2">
        <v>44.19</v>
      </c>
      <c r="Q44" s="2"/>
      <c r="R44" s="19">
        <f t="shared" si="17"/>
        <v>4.5714590744238496E-5</v>
      </c>
      <c r="S44" s="2"/>
      <c r="T44" s="2">
        <v>0</v>
      </c>
      <c r="U44" s="2"/>
      <c r="V44" s="19">
        <f t="shared" si="18"/>
        <v>0</v>
      </c>
      <c r="W44" s="2"/>
      <c r="X44" s="2">
        <f t="shared" si="19"/>
        <v>44.19</v>
      </c>
      <c r="Y44" s="2"/>
      <c r="Z44" s="19">
        <f t="shared" si="20"/>
        <v>0</v>
      </c>
    </row>
    <row r="45" spans="1:26" s="24" customFormat="1" hidden="1" outlineLevel="1" x14ac:dyDescent="0.3">
      <c r="A45" s="44"/>
      <c r="B45" s="11" t="str">
        <f>CONCATENATE("          ", "5581", " - ", "FREIGHT-IN-ELECTRONICS")</f>
        <v xml:space="preserve">          5581 - FREIGHT-IN-ELECTRONICS</v>
      </c>
      <c r="C45" s="11"/>
      <c r="D45" s="2"/>
      <c r="E45" s="2"/>
      <c r="F45" s="19">
        <f t="shared" si="13"/>
        <v>0</v>
      </c>
      <c r="G45" s="2"/>
      <c r="H45" s="2">
        <v>31</v>
      </c>
      <c r="I45" s="2"/>
      <c r="J45" s="19">
        <f t="shared" si="14"/>
        <v>3.9022366361612476E-4</v>
      </c>
      <c r="K45" s="2"/>
      <c r="L45" s="2">
        <f t="shared" si="15"/>
        <v>-31</v>
      </c>
      <c r="M45" s="2"/>
      <c r="N45" s="19">
        <f t="shared" si="16"/>
        <v>-1</v>
      </c>
      <c r="O45" s="11"/>
      <c r="P45" s="2"/>
      <c r="Q45" s="2"/>
      <c r="R45" s="19">
        <f t="shared" si="17"/>
        <v>0</v>
      </c>
      <c r="S45" s="2"/>
      <c r="T45" s="2">
        <v>31</v>
      </c>
      <c r="U45" s="2"/>
      <c r="V45" s="19">
        <f t="shared" si="18"/>
        <v>2.4307157410297253E-5</v>
      </c>
      <c r="W45" s="2"/>
      <c r="X45" s="2">
        <f t="shared" si="19"/>
        <v>-31</v>
      </c>
      <c r="Y45" s="2"/>
      <c r="Z45" s="19">
        <f t="shared" si="20"/>
        <v>-1</v>
      </c>
    </row>
    <row r="46" spans="1:26" s="24" customFormat="1" hidden="1" outlineLevel="1" x14ac:dyDescent="0.3">
      <c r="A46" s="44"/>
      <c r="B46" s="11" t="str">
        <f>CONCATENATE("          ", "5582", " - ", "FREIGHT-IN-COMPUTER HARDWARE")</f>
        <v xml:space="preserve">          5582 - FREIGHT-IN-COMPUTER HARDWARE</v>
      </c>
      <c r="C46" s="11"/>
      <c r="D46" s="2"/>
      <c r="E46" s="2"/>
      <c r="F46" s="19">
        <f t="shared" si="13"/>
        <v>0</v>
      </c>
      <c r="G46" s="2"/>
      <c r="H46" s="2"/>
      <c r="I46" s="2"/>
      <c r="J46" s="19">
        <f t="shared" si="14"/>
        <v>0</v>
      </c>
      <c r="K46" s="2"/>
      <c r="L46" s="2">
        <f t="shared" si="15"/>
        <v>0</v>
      </c>
      <c r="M46" s="2"/>
      <c r="N46" s="19">
        <f t="shared" si="16"/>
        <v>0</v>
      </c>
      <c r="O46" s="11"/>
      <c r="P46" s="2"/>
      <c r="Q46" s="2"/>
      <c r="R46" s="19">
        <f t="shared" si="17"/>
        <v>0</v>
      </c>
      <c r="S46" s="2"/>
      <c r="T46" s="2">
        <v>94</v>
      </c>
      <c r="U46" s="2"/>
      <c r="V46" s="19">
        <f t="shared" si="18"/>
        <v>7.3705574082836837E-5</v>
      </c>
      <c r="W46" s="2"/>
      <c r="X46" s="2">
        <f t="shared" si="19"/>
        <v>-94</v>
      </c>
      <c r="Y46" s="2"/>
      <c r="Z46" s="19">
        <f t="shared" si="20"/>
        <v>-1</v>
      </c>
    </row>
    <row r="47" spans="1:26" s="24" customFormat="1" hidden="1" outlineLevel="1" x14ac:dyDescent="0.3">
      <c r="A47" s="44"/>
      <c r="B47" s="11" t="str">
        <f>CONCATENATE("          ", "5583", " - ", "FREIGHT-IN-COMPUTER EQUIPMENT")</f>
        <v xml:space="preserve">          5583 - FREIGHT-IN-COMPUTER EQUIPMENT</v>
      </c>
      <c r="C47" s="11"/>
      <c r="D47" s="2"/>
      <c r="E47" s="2"/>
      <c r="F47" s="19">
        <f t="shared" si="13"/>
        <v>0</v>
      </c>
      <c r="G47" s="2"/>
      <c r="H47" s="2">
        <v>7.23</v>
      </c>
      <c r="I47" s="2"/>
      <c r="J47" s="19">
        <f t="shared" si="14"/>
        <v>9.1010228643373614E-5</v>
      </c>
      <c r="K47" s="2"/>
      <c r="L47" s="2">
        <f t="shared" si="15"/>
        <v>-7.23</v>
      </c>
      <c r="M47" s="2"/>
      <c r="N47" s="19">
        <f t="shared" si="16"/>
        <v>-1</v>
      </c>
      <c r="O47" s="11"/>
      <c r="P47" s="2">
        <v>0</v>
      </c>
      <c r="Q47" s="2"/>
      <c r="R47" s="19">
        <f t="shared" si="17"/>
        <v>0</v>
      </c>
      <c r="S47" s="2"/>
      <c r="T47" s="2">
        <v>232.4</v>
      </c>
      <c r="U47" s="2"/>
      <c r="V47" s="19">
        <f t="shared" si="18"/>
        <v>1.822252703920349E-4</v>
      </c>
      <c r="W47" s="2"/>
      <c r="X47" s="2">
        <f t="shared" si="19"/>
        <v>-232.4</v>
      </c>
      <c r="Y47" s="2"/>
      <c r="Z47" s="19">
        <f t="shared" si="20"/>
        <v>-1</v>
      </c>
    </row>
    <row r="48" spans="1:26" s="24" customFormat="1" hidden="1" outlineLevel="1" x14ac:dyDescent="0.3">
      <c r="A48" s="44"/>
      <c r="B48" s="11" t="str">
        <f>CONCATENATE("          ", "5586", " - ", "FREIGHT-IN-COMPUTER SUPPLIES")</f>
        <v xml:space="preserve">          5586 - FREIGHT-IN-COMPUTER SUPPLIES</v>
      </c>
      <c r="C48" s="11"/>
      <c r="D48" s="2"/>
      <c r="E48" s="2"/>
      <c r="F48" s="19">
        <f t="shared" si="13"/>
        <v>0</v>
      </c>
      <c r="G48" s="2"/>
      <c r="H48" s="2"/>
      <c r="I48" s="2"/>
      <c r="J48" s="19">
        <f t="shared" si="14"/>
        <v>0</v>
      </c>
      <c r="K48" s="2"/>
      <c r="L48" s="2">
        <f t="shared" si="15"/>
        <v>0</v>
      </c>
      <c r="M48" s="2"/>
      <c r="N48" s="19">
        <f t="shared" si="16"/>
        <v>0</v>
      </c>
      <c r="O48" s="11"/>
      <c r="P48" s="2"/>
      <c r="Q48" s="2"/>
      <c r="R48" s="19">
        <f t="shared" si="17"/>
        <v>0</v>
      </c>
      <c r="S48" s="2"/>
      <c r="T48" s="2">
        <v>24.12</v>
      </c>
      <c r="U48" s="2"/>
      <c r="V48" s="19">
        <f t="shared" si="18"/>
        <v>1.8912536668915153E-5</v>
      </c>
      <c r="W48" s="2"/>
      <c r="X48" s="2">
        <f t="shared" si="19"/>
        <v>-24.12</v>
      </c>
      <c r="Y48" s="2"/>
      <c r="Z48" s="19">
        <f t="shared" si="20"/>
        <v>-1</v>
      </c>
    </row>
    <row r="49" spans="1:26" x14ac:dyDescent="0.3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3">
      <c r="A50" s="10"/>
      <c r="B50" s="26" t="s">
        <v>107</v>
      </c>
      <c r="C50" s="26"/>
      <c r="D50" s="20">
        <f>D12-D35</f>
        <v>13709.829999999987</v>
      </c>
      <c r="E50" s="13"/>
      <c r="F50" s="21">
        <f>IF(D$12=0,0,D50/D$12)</f>
        <v>0.10266280362189269</v>
      </c>
      <c r="G50" s="13"/>
      <c r="H50" s="20">
        <f>H12-H35</f>
        <v>5113.6199999999808</v>
      </c>
      <c r="I50" s="13"/>
      <c r="J50" s="21">
        <f>IF(H$12=0,0,H50/H$12)</f>
        <v>6.4369533249699365E-2</v>
      </c>
      <c r="K50" s="15"/>
      <c r="L50" s="20">
        <f>+D50-H50</f>
        <v>8596.2100000000064</v>
      </c>
      <c r="M50" s="15"/>
      <c r="N50" s="21">
        <f>IF(H50=0,0,L50/H50)</f>
        <v>1.6810420015566347</v>
      </c>
      <c r="O50" s="25"/>
      <c r="P50" s="20">
        <f>P12-P35</f>
        <v>144157.57000000007</v>
      </c>
      <c r="Q50" s="13"/>
      <c r="R50" s="21">
        <f>IF(P$12=0,0,P50/P$12)</f>
        <v>0.14913112277062496</v>
      </c>
      <c r="S50" s="13"/>
      <c r="T50" s="20">
        <f>T12-T35</f>
        <v>59377.680000000168</v>
      </c>
      <c r="U50" s="13"/>
      <c r="V50" s="21">
        <f>IF(T$12=0,0,T50/T$12)</f>
        <v>4.6558148852202039E-2</v>
      </c>
      <c r="W50" s="15"/>
      <c r="X50" s="20">
        <f>+P50-T50</f>
        <v>84779.889999999898</v>
      </c>
      <c r="Y50" s="15"/>
      <c r="Z50" s="21">
        <f>IF(T50=0,0,X50/T50)</f>
        <v>1.4278073848624544</v>
      </c>
    </row>
    <row r="51" spans="1:26" x14ac:dyDescent="0.3">
      <c r="A51" s="9"/>
      <c r="B51" s="10"/>
      <c r="C51" s="9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3">
      <c r="A52" s="10"/>
      <c r="B52" s="25" t="s">
        <v>294</v>
      </c>
      <c r="C52" s="10"/>
      <c r="D52" s="22">
        <f>SUM(OSRRefD22x_0)</f>
        <v>12627.03</v>
      </c>
      <c r="E52" s="22"/>
      <c r="F52" s="34">
        <f t="shared" ref="F52:F62" si="21">IF(D$12=0,0,D52/D$12)</f>
        <v>9.4554513164477522E-2</v>
      </c>
      <c r="G52" s="22"/>
      <c r="H52" s="22">
        <f>SUM(OSRRefH22x_0)</f>
        <v>13842.730000000001</v>
      </c>
      <c r="I52" s="22"/>
      <c r="J52" s="34">
        <f t="shared" ref="J52:J62" si="22">IF(H$12=0,0,H52/H$12)</f>
        <v>0.1742503488725432</v>
      </c>
      <c r="K52" s="4"/>
      <c r="L52" s="22">
        <f t="shared" ref="L52:L62" si="23">+D52-H52</f>
        <v>-1215.7000000000007</v>
      </c>
      <c r="M52" s="4"/>
      <c r="N52" s="34">
        <f t="shared" ref="N52:N62" si="24">IF(H52=0,0,L52/H52)</f>
        <v>-8.7822272051827965E-2</v>
      </c>
      <c r="O52" s="10"/>
      <c r="P52" s="22">
        <f>SUM(OSRRefP22x_0)</f>
        <v>84408.550000000032</v>
      </c>
      <c r="Q52" s="22"/>
      <c r="R52" s="34">
        <f t="shared" ref="R52:R62" si="25">IF(P$12=0,0,P52/P$12)</f>
        <v>8.7320713251065718E-2</v>
      </c>
      <c r="S52" s="22"/>
      <c r="T52" s="22">
        <f>SUM(OSRRefT22x_0)</f>
        <v>80226.430000000008</v>
      </c>
      <c r="U52" s="22"/>
      <c r="V52" s="34">
        <f t="shared" ref="V52:V62" si="26">IF(T$12=0,0,T52/T$12)</f>
        <v>6.2905692337941743E-2</v>
      </c>
      <c r="W52" s="4"/>
      <c r="X52" s="22">
        <f t="shared" ref="X52:X62" si="27">+P52-T52</f>
        <v>4182.1200000000244</v>
      </c>
      <c r="Y52" s="4"/>
      <c r="Z52" s="34">
        <f t="shared" ref="Z52:Z62" si="28">IF(T52=0,0,X52/T52)</f>
        <v>5.2128955507555606E-2</v>
      </c>
    </row>
    <row r="53" spans="1:26" s="29" customFormat="1" outlineLevel="1" collapsed="1" x14ac:dyDescent="0.3">
      <c r="A53" s="27"/>
      <c r="B53" s="14" t="str">
        <f>CONCATENATE("     ","*Benefits                                         ")</f>
        <v xml:space="preserve">     *Benefits                                         </v>
      </c>
      <c r="C53" s="14"/>
      <c r="D53" s="1">
        <f>SUM(OSRRefD22_0x_0)</f>
        <v>2379.6800000000003</v>
      </c>
      <c r="E53" s="1"/>
      <c r="F53" s="5">
        <f t="shared" si="21"/>
        <v>1.7819668115720316E-2</v>
      </c>
      <c r="G53" s="1"/>
      <c r="H53" s="1">
        <f>SUM(OSRRefH22_0x_0)</f>
        <v>2984.54</v>
      </c>
      <c r="I53" s="1"/>
      <c r="J53" s="5">
        <f t="shared" si="22"/>
        <v>3.7568972032544161E-2</v>
      </c>
      <c r="K53" s="1"/>
      <c r="L53" s="1">
        <f t="shared" si="23"/>
        <v>-604.85999999999967</v>
      </c>
      <c r="M53" s="1"/>
      <c r="N53" s="5">
        <f t="shared" si="24"/>
        <v>-0.20266439719353727</v>
      </c>
      <c r="O53" s="14"/>
      <c r="P53" s="1">
        <f>SUM(OSRRefP22_0x_0)</f>
        <v>11303.21</v>
      </c>
      <c r="Q53" s="1"/>
      <c r="R53" s="5">
        <f t="shared" si="25"/>
        <v>1.1693179887897353E-2</v>
      </c>
      <c r="S53" s="1"/>
      <c r="T53" s="1">
        <f>SUM(OSRRefT22_0x_0)</f>
        <v>17818.880000000005</v>
      </c>
      <c r="U53" s="1"/>
      <c r="V53" s="5">
        <f t="shared" si="26"/>
        <v>1.3971816807587021E-2</v>
      </c>
      <c r="W53" s="1"/>
      <c r="X53" s="1">
        <f t="shared" si="27"/>
        <v>-6515.6700000000055</v>
      </c>
      <c r="Y53" s="1"/>
      <c r="Z53" s="5">
        <f t="shared" si="28"/>
        <v>-0.36566102920048871</v>
      </c>
    </row>
    <row r="54" spans="1:26" s="24" customFormat="1" hidden="1" outlineLevel="2" x14ac:dyDescent="0.3">
      <c r="A54" s="28"/>
      <c r="B54" s="11" t="str">
        <f>CONCATENATE("          ", "6111", " - ", "F.I.C.A.")</f>
        <v xml:space="preserve">          6111 - F.I.C.A.</v>
      </c>
      <c r="C54" s="11"/>
      <c r="D54" s="6">
        <v>494.27</v>
      </c>
      <c r="E54" s="2"/>
      <c r="F54" s="7">
        <f t="shared" si="21"/>
        <v>3.7012234248121928E-3</v>
      </c>
      <c r="G54" s="2"/>
      <c r="H54" s="6">
        <v>443.32</v>
      </c>
      <c r="I54" s="2"/>
      <c r="J54" s="7">
        <f t="shared" si="22"/>
        <v>5.5804501469129165E-3</v>
      </c>
      <c r="K54" s="2"/>
      <c r="L54" s="6">
        <f t="shared" si="23"/>
        <v>50.949999999999989</v>
      </c>
      <c r="M54" s="2"/>
      <c r="N54" s="7">
        <f t="shared" si="24"/>
        <v>0.11492826851935393</v>
      </c>
      <c r="O54" s="11"/>
      <c r="P54" s="6">
        <v>3303.91</v>
      </c>
      <c r="Q54" s="2"/>
      <c r="R54" s="7">
        <f t="shared" si="25"/>
        <v>3.4178975674541076E-3</v>
      </c>
      <c r="S54" s="2"/>
      <c r="T54" s="6">
        <v>3390.36</v>
      </c>
      <c r="U54" s="2"/>
      <c r="V54" s="7">
        <f t="shared" si="26"/>
        <v>2.6583875547604966E-3</v>
      </c>
      <c r="W54" s="2"/>
      <c r="X54" s="6">
        <f t="shared" si="27"/>
        <v>-86.450000000000273</v>
      </c>
      <c r="Y54" s="2"/>
      <c r="Z54" s="7">
        <f t="shared" si="28"/>
        <v>-2.549876709258022E-2</v>
      </c>
    </row>
    <row r="55" spans="1:26" s="24" customFormat="1" hidden="1" outlineLevel="2" x14ac:dyDescent="0.3">
      <c r="A55" s="28"/>
      <c r="B55" s="11" t="str">
        <f>CONCATENATE("          ", "6112", " - ", "COMPENSATION INSURANCE")</f>
        <v xml:space="preserve">          6112 - COMPENSATION INSURANCE</v>
      </c>
      <c r="C55" s="11"/>
      <c r="D55" s="6">
        <v>142.52000000000001</v>
      </c>
      <c r="E55" s="2"/>
      <c r="F55" s="7">
        <f t="shared" si="21"/>
        <v>1.0672271481259913E-3</v>
      </c>
      <c r="G55" s="2"/>
      <c r="H55" s="6">
        <v>256.8</v>
      </c>
      <c r="I55" s="2"/>
      <c r="J55" s="7">
        <f t="shared" si="22"/>
        <v>3.2325624779555107E-3</v>
      </c>
      <c r="K55" s="2"/>
      <c r="L55" s="6">
        <f t="shared" si="23"/>
        <v>-114.28</v>
      </c>
      <c r="M55" s="2"/>
      <c r="N55" s="7">
        <f t="shared" si="24"/>
        <v>-0.44501557632398753</v>
      </c>
      <c r="O55" s="11"/>
      <c r="P55" s="6">
        <v>876.92</v>
      </c>
      <c r="Q55" s="2"/>
      <c r="R55" s="7">
        <f t="shared" si="25"/>
        <v>9.0717444931970185E-4</v>
      </c>
      <c r="S55" s="2"/>
      <c r="T55" s="6">
        <v>982.53</v>
      </c>
      <c r="U55" s="2"/>
      <c r="V55" s="7">
        <f t="shared" si="26"/>
        <v>7.7040359259159224E-4</v>
      </c>
      <c r="W55" s="2"/>
      <c r="X55" s="6">
        <f t="shared" si="27"/>
        <v>-105.61000000000001</v>
      </c>
      <c r="Y55" s="2"/>
      <c r="Z55" s="7">
        <f t="shared" si="28"/>
        <v>-0.10748781207698495</v>
      </c>
    </row>
    <row r="56" spans="1:26" s="24" customFormat="1" hidden="1" outlineLevel="2" x14ac:dyDescent="0.3">
      <c r="A56" s="28"/>
      <c r="B56" s="11" t="str">
        <f>CONCATENATE("          ", "6113", " - ", "GROUP INSURANCE")</f>
        <v xml:space="preserve">          6113 - GROUP INSURANCE</v>
      </c>
      <c r="C56" s="11"/>
      <c r="D56" s="6">
        <v>853.84</v>
      </c>
      <c r="E56" s="2"/>
      <c r="F56" s="7">
        <f t="shared" si="21"/>
        <v>6.3937779129658746E-3</v>
      </c>
      <c r="G56" s="2"/>
      <c r="H56" s="6">
        <v>1036.33</v>
      </c>
      <c r="I56" s="2"/>
      <c r="J56" s="7">
        <f t="shared" si="22"/>
        <v>1.304517707468705E-2</v>
      </c>
      <c r="K56" s="2"/>
      <c r="L56" s="6">
        <f t="shared" si="23"/>
        <v>-182.4899999999999</v>
      </c>
      <c r="M56" s="2"/>
      <c r="N56" s="7">
        <f t="shared" si="24"/>
        <v>-0.17609255739002047</v>
      </c>
      <c r="O56" s="11"/>
      <c r="P56" s="6">
        <v>3750.41</v>
      </c>
      <c r="Q56" s="2"/>
      <c r="R56" s="7">
        <f t="shared" si="25"/>
        <v>3.8798021786173231E-3</v>
      </c>
      <c r="S56" s="2"/>
      <c r="T56" s="6">
        <v>6214.78</v>
      </c>
      <c r="U56" s="2"/>
      <c r="V56" s="7">
        <f t="shared" si="26"/>
        <v>4.8730205074311991E-3</v>
      </c>
      <c r="W56" s="2"/>
      <c r="X56" s="6">
        <f t="shared" si="27"/>
        <v>-2464.37</v>
      </c>
      <c r="Y56" s="2"/>
      <c r="Z56" s="7">
        <f t="shared" si="28"/>
        <v>-0.39653374697093058</v>
      </c>
    </row>
    <row r="57" spans="1:26" s="24" customFormat="1" hidden="1" outlineLevel="2" x14ac:dyDescent="0.3">
      <c r="A57" s="28"/>
      <c r="B57" s="11" t="str">
        <f>CONCATENATE("          ", "6114", " - ", "STATE UNEMPLOYMENT INSURANCE")</f>
        <v xml:space="preserve">          6114 - STATE UNEMPLOYMENT INSURANCE</v>
      </c>
      <c r="C57" s="11"/>
      <c r="D57" s="6">
        <v>25.04</v>
      </c>
      <c r="E57" s="2"/>
      <c r="F57" s="7">
        <f t="shared" si="21"/>
        <v>1.8750608889331197E-4</v>
      </c>
      <c r="G57" s="2"/>
      <c r="H57" s="6"/>
      <c r="I57" s="2"/>
      <c r="J57" s="7">
        <f t="shared" si="22"/>
        <v>0</v>
      </c>
      <c r="K57" s="2"/>
      <c r="L57" s="6">
        <f t="shared" si="23"/>
        <v>25.04</v>
      </c>
      <c r="M57" s="2"/>
      <c r="N57" s="7">
        <f t="shared" si="24"/>
        <v>0</v>
      </c>
      <c r="O57" s="11"/>
      <c r="P57" s="6">
        <v>154.06</v>
      </c>
      <c r="Q57" s="2"/>
      <c r="R57" s="7">
        <f t="shared" si="25"/>
        <v>1.5937519461546465E-4</v>
      </c>
      <c r="S57" s="2"/>
      <c r="T57" s="6">
        <v>116.69</v>
      </c>
      <c r="U57" s="2"/>
      <c r="V57" s="7">
        <f t="shared" si="26"/>
        <v>9.1496845103470527E-5</v>
      </c>
      <c r="W57" s="2"/>
      <c r="X57" s="6">
        <f t="shared" si="27"/>
        <v>37.370000000000005</v>
      </c>
      <c r="Y57" s="2"/>
      <c r="Z57" s="7">
        <f t="shared" si="28"/>
        <v>0.32025023566715233</v>
      </c>
    </row>
    <row r="58" spans="1:26" s="24" customFormat="1" hidden="1" outlineLevel="2" x14ac:dyDescent="0.3">
      <c r="A58" s="28"/>
      <c r="B58" s="11" t="str">
        <f>CONCATENATE("          ", "6115", " - ", "P.E.R.S.")</f>
        <v xml:space="preserve">          6115 - P.E.R.S.</v>
      </c>
      <c r="C58" s="11"/>
      <c r="D58" s="6">
        <v>103.22</v>
      </c>
      <c r="E58" s="2"/>
      <c r="F58" s="7">
        <f t="shared" si="21"/>
        <v>7.7293843832139224E-4</v>
      </c>
      <c r="G58" s="2"/>
      <c r="H58" s="6">
        <v>176.42</v>
      </c>
      <c r="I58" s="2"/>
      <c r="J58" s="7">
        <f t="shared" si="22"/>
        <v>2.2207502817792493E-3</v>
      </c>
      <c r="K58" s="2"/>
      <c r="L58" s="6">
        <f t="shared" si="23"/>
        <v>-73.199999999999989</v>
      </c>
      <c r="M58" s="2"/>
      <c r="N58" s="7">
        <f t="shared" si="24"/>
        <v>-0.41491894343045005</v>
      </c>
      <c r="O58" s="11"/>
      <c r="P58" s="6">
        <v>687.72</v>
      </c>
      <c r="Q58" s="2"/>
      <c r="R58" s="7">
        <f t="shared" si="25"/>
        <v>7.1144689628032819E-4</v>
      </c>
      <c r="S58" s="2"/>
      <c r="T58" s="6">
        <v>1146.73</v>
      </c>
      <c r="U58" s="2"/>
      <c r="V58" s="7">
        <f t="shared" si="26"/>
        <v>8.9915311668097323E-4</v>
      </c>
      <c r="W58" s="2"/>
      <c r="X58" s="6">
        <f t="shared" si="27"/>
        <v>-459.01</v>
      </c>
      <c r="Y58" s="2"/>
      <c r="Z58" s="7">
        <f t="shared" si="28"/>
        <v>-0.40027731026484004</v>
      </c>
    </row>
    <row r="59" spans="1:26" s="24" customFormat="1" hidden="1" outlineLevel="2" x14ac:dyDescent="0.3">
      <c r="A59" s="28"/>
      <c r="B59" s="11" t="str">
        <f>CONCATENATE("          ", "6117", " - ", "RETIREMENT STAFF HOURLY")</f>
        <v xml:space="preserve">          6117 - RETIREMENT STAFF HOURLY</v>
      </c>
      <c r="C59" s="11"/>
      <c r="D59" s="6">
        <v>120</v>
      </c>
      <c r="E59" s="2"/>
      <c r="F59" s="7">
        <f t="shared" si="21"/>
        <v>8.9859148031938649E-4</v>
      </c>
      <c r="G59" s="2"/>
      <c r="H59" s="6">
        <v>170.96</v>
      </c>
      <c r="I59" s="2"/>
      <c r="J59" s="7">
        <f t="shared" si="22"/>
        <v>2.1520205655423449E-3</v>
      </c>
      <c r="K59" s="2"/>
      <c r="L59" s="6">
        <f t="shared" si="23"/>
        <v>-50.960000000000008</v>
      </c>
      <c r="M59" s="2"/>
      <c r="N59" s="7">
        <f t="shared" si="24"/>
        <v>-0.29808142255498365</v>
      </c>
      <c r="O59" s="11"/>
      <c r="P59" s="6">
        <v>-417.34</v>
      </c>
      <c r="Q59" s="2"/>
      <c r="R59" s="7">
        <f t="shared" si="25"/>
        <v>-4.3173856757638593E-4</v>
      </c>
      <c r="S59" s="2"/>
      <c r="T59" s="6">
        <v>1105.04</v>
      </c>
      <c r="U59" s="2"/>
      <c r="V59" s="7">
        <f t="shared" si="26"/>
        <v>8.6646391047338314E-4</v>
      </c>
      <c r="W59" s="2"/>
      <c r="X59" s="6">
        <f t="shared" si="27"/>
        <v>-1522.3799999999999</v>
      </c>
      <c r="Y59" s="2"/>
      <c r="Z59" s="7">
        <f t="shared" si="28"/>
        <v>-1.3776695866212987</v>
      </c>
    </row>
    <row r="60" spans="1:26" s="24" customFormat="1" hidden="1" outlineLevel="2" x14ac:dyDescent="0.3">
      <c r="A60" s="28"/>
      <c r="B60" s="11" t="str">
        <f>CONCATENATE("          ", "6118", " - ", "VACATION")</f>
        <v xml:space="preserve">          6118 - VACATION</v>
      </c>
      <c r="C60" s="11"/>
      <c r="D60" s="6">
        <v>227.57</v>
      </c>
      <c r="E60" s="2"/>
      <c r="F60" s="7">
        <f t="shared" si="21"/>
        <v>1.7041038598023565E-3</v>
      </c>
      <c r="G60" s="2"/>
      <c r="H60" s="6">
        <v>267.04000000000002</v>
      </c>
      <c r="I60" s="2"/>
      <c r="J60" s="7">
        <f t="shared" si="22"/>
        <v>3.3614621655499986E-3</v>
      </c>
      <c r="K60" s="2"/>
      <c r="L60" s="6">
        <f t="shared" si="23"/>
        <v>-39.470000000000027</v>
      </c>
      <c r="M60" s="2"/>
      <c r="N60" s="7">
        <f t="shared" si="24"/>
        <v>-0.1478055721989216</v>
      </c>
      <c r="O60" s="11"/>
      <c r="P60" s="6">
        <v>1015.47</v>
      </c>
      <c r="Q60" s="2"/>
      <c r="R60" s="7">
        <f t="shared" si="25"/>
        <v>1.0505045363894969E-3</v>
      </c>
      <c r="S60" s="2"/>
      <c r="T60" s="6">
        <v>1689.54</v>
      </c>
      <c r="U60" s="2"/>
      <c r="V60" s="7">
        <f t="shared" si="26"/>
        <v>1.3247714429352781E-3</v>
      </c>
      <c r="W60" s="2"/>
      <c r="X60" s="6">
        <f t="shared" si="27"/>
        <v>-674.06999999999994</v>
      </c>
      <c r="Y60" s="2"/>
      <c r="Z60" s="7">
        <f t="shared" si="28"/>
        <v>-0.39896658262012141</v>
      </c>
    </row>
    <row r="61" spans="1:26" s="24" customFormat="1" hidden="1" outlineLevel="2" x14ac:dyDescent="0.3">
      <c r="A61" s="28"/>
      <c r="B61" s="11" t="str">
        <f>CONCATENATE("          ", "6119", " - ", "SICK LEAVE")</f>
        <v xml:space="preserve">          6119 - SICK LEAVE</v>
      </c>
      <c r="C61" s="11"/>
      <c r="D61" s="6">
        <v>216.23</v>
      </c>
      <c r="E61" s="2"/>
      <c r="F61" s="7">
        <f t="shared" si="21"/>
        <v>1.6191869649121744E-3</v>
      </c>
      <c r="G61" s="2"/>
      <c r="H61" s="6">
        <v>267.63</v>
      </c>
      <c r="I61" s="2"/>
      <c r="J61" s="7">
        <f t="shared" si="22"/>
        <v>3.3688890030188212E-3</v>
      </c>
      <c r="K61" s="2"/>
      <c r="L61" s="6">
        <f t="shared" si="23"/>
        <v>-51.400000000000006</v>
      </c>
      <c r="M61" s="2"/>
      <c r="N61" s="7">
        <f t="shared" si="24"/>
        <v>-0.1920561969883795</v>
      </c>
      <c r="O61" s="11"/>
      <c r="P61" s="6">
        <v>1046.9100000000001</v>
      </c>
      <c r="Q61" s="2"/>
      <c r="R61" s="7">
        <f t="shared" si="25"/>
        <v>1.0830292418205641E-3</v>
      </c>
      <c r="S61" s="2"/>
      <c r="T61" s="6">
        <v>1684.29</v>
      </c>
      <c r="U61" s="2"/>
      <c r="V61" s="7">
        <f t="shared" si="26"/>
        <v>1.3206549082125664E-3</v>
      </c>
      <c r="W61" s="2"/>
      <c r="X61" s="6">
        <f t="shared" si="27"/>
        <v>-637.37999999999988</v>
      </c>
      <c r="Y61" s="2"/>
      <c r="Z61" s="7">
        <f t="shared" si="28"/>
        <v>-0.37842651799868188</v>
      </c>
    </row>
    <row r="62" spans="1:26" s="24" customFormat="1" hidden="1" outlineLevel="2" x14ac:dyDescent="0.3">
      <c r="A62" s="28"/>
      <c r="B62" s="11" t="str">
        <f>CONCATENATE("          ", "6156", " - ", "EMPLOYEE MEALS")</f>
        <v xml:space="preserve">          6156 - EMPLOYEE MEALS</v>
      </c>
      <c r="C62" s="11"/>
      <c r="D62" s="6">
        <v>196.99</v>
      </c>
      <c r="E62" s="2"/>
      <c r="F62" s="7">
        <f t="shared" si="21"/>
        <v>1.4751127975676328E-3</v>
      </c>
      <c r="G62" s="2"/>
      <c r="H62" s="6">
        <v>366.04</v>
      </c>
      <c r="I62" s="2"/>
      <c r="J62" s="7">
        <f t="shared" si="22"/>
        <v>4.6076603170982682E-3</v>
      </c>
      <c r="K62" s="2"/>
      <c r="L62" s="6">
        <f t="shared" si="23"/>
        <v>-169.05</v>
      </c>
      <c r="M62" s="2"/>
      <c r="N62" s="7">
        <f t="shared" si="24"/>
        <v>-0.46183477215604851</v>
      </c>
      <c r="O62" s="11"/>
      <c r="P62" s="6">
        <v>885.15</v>
      </c>
      <c r="Q62" s="2"/>
      <c r="R62" s="7">
        <f t="shared" si="25"/>
        <v>9.1568839097675282E-4</v>
      </c>
      <c r="S62" s="2"/>
      <c r="T62" s="6">
        <v>1488.92</v>
      </c>
      <c r="U62" s="2"/>
      <c r="V62" s="7">
        <f t="shared" si="26"/>
        <v>1.1674649293980576E-3</v>
      </c>
      <c r="W62" s="2"/>
      <c r="X62" s="6">
        <f t="shared" si="27"/>
        <v>-603.7700000000001</v>
      </c>
      <c r="Y62" s="2"/>
      <c r="Z62" s="7">
        <f t="shared" si="28"/>
        <v>-0.40550869086317604</v>
      </c>
    </row>
    <row r="63" spans="1:26" s="29" customFormat="1" outlineLevel="1" collapsed="1" x14ac:dyDescent="0.3">
      <c r="A63" s="27"/>
      <c r="B63" s="14" t="str">
        <f>CONCATENATE("     ","*Payroll                                          ")</f>
        <v xml:space="preserve">     *Payroll                                          </v>
      </c>
      <c r="C63" s="14"/>
      <c r="D63" s="1">
        <f>SUM(OSRRefD22_1x_0)</f>
        <v>9388.6099999999988</v>
      </c>
      <c r="E63" s="1"/>
      <c r="F63" s="5">
        <f t="shared" ref="F63:F68" si="29">IF(D$12=0,0,D63/D$12)</f>
        <v>7.0304374650344947E-2</v>
      </c>
      <c r="G63" s="1"/>
      <c r="H63" s="1">
        <f>SUM(OSRRefH22_1x_0)</f>
        <v>7948.3600000000006</v>
      </c>
      <c r="I63" s="1"/>
      <c r="J63" s="5">
        <f t="shared" ref="J63:J68" si="30">IF(H$12=0,0,H63/H$12)</f>
        <v>0.10005284383676973</v>
      </c>
      <c r="K63" s="1"/>
      <c r="L63" s="1">
        <f t="shared" ref="L63:L68" si="31">+D63-H63</f>
        <v>1440.2499999999982</v>
      </c>
      <c r="M63" s="1"/>
      <c r="N63" s="5">
        <f t="shared" ref="N63:N68" si="32">IF(H63=0,0,L63/H63)</f>
        <v>0.18120090182125598</v>
      </c>
      <c r="O63" s="14"/>
      <c r="P63" s="1">
        <f>SUM(OSRRefP22_1x_0)</f>
        <v>60972.63</v>
      </c>
      <c r="Q63" s="1"/>
      <c r="R63" s="5">
        <f t="shared" ref="R63:R68" si="33">IF(P$12=0,0,P63/P$12)</f>
        <v>6.3076235054308177E-2</v>
      </c>
      <c r="S63" s="1"/>
      <c r="T63" s="1">
        <f>SUM(OSRRefT22_1x_0)</f>
        <v>47428.14</v>
      </c>
      <c r="U63" s="1"/>
      <c r="V63" s="5">
        <f t="shared" ref="V63:V68" si="34">IF(T$12=0,0,T63/T$12)</f>
        <v>3.7188492408310181E-2</v>
      </c>
      <c r="W63" s="1"/>
      <c r="X63" s="1">
        <f t="shared" ref="X63:X68" si="35">+P63-T63</f>
        <v>13544.489999999998</v>
      </c>
      <c r="Y63" s="1"/>
      <c r="Z63" s="5">
        <f t="shared" ref="Z63:Z68" si="36">IF(T63=0,0,X63/T63)</f>
        <v>0.28557919412399468</v>
      </c>
    </row>
    <row r="64" spans="1:26" s="24" customFormat="1" hidden="1" outlineLevel="2" x14ac:dyDescent="0.3">
      <c r="A64" s="28"/>
      <c r="B64" s="11" t="str">
        <f>CONCATENATE("          ", "6002", " - ", "STAFF SALARIES")</f>
        <v xml:space="preserve">          6002 - STAFF SALARIES</v>
      </c>
      <c r="C64" s="11"/>
      <c r="D64" s="6">
        <v>1360</v>
      </c>
      <c r="E64" s="2"/>
      <c r="F64" s="7">
        <f t="shared" si="29"/>
        <v>1.0184036776953046E-2</v>
      </c>
      <c r="G64" s="2"/>
      <c r="H64" s="6">
        <v>1939.96</v>
      </c>
      <c r="I64" s="2"/>
      <c r="J64" s="7">
        <f t="shared" si="30"/>
        <v>2.4419945111894752E-2</v>
      </c>
      <c r="K64" s="2"/>
      <c r="L64" s="6">
        <f t="shared" si="31"/>
        <v>-579.96</v>
      </c>
      <c r="M64" s="2"/>
      <c r="N64" s="7">
        <f t="shared" si="32"/>
        <v>-0.29895461762098191</v>
      </c>
      <c r="O64" s="11"/>
      <c r="P64" s="6">
        <v>11552.94</v>
      </c>
      <c r="Q64" s="2"/>
      <c r="R64" s="7">
        <f t="shared" si="33"/>
        <v>1.1951525774898003E-2</v>
      </c>
      <c r="S64" s="2"/>
      <c r="T64" s="6">
        <v>13237.35</v>
      </c>
      <c r="U64" s="2"/>
      <c r="V64" s="7">
        <f t="shared" si="34"/>
        <v>1.0379430649845109E-2</v>
      </c>
      <c r="W64" s="2"/>
      <c r="X64" s="6">
        <f t="shared" si="35"/>
        <v>-1684.4099999999999</v>
      </c>
      <c r="Y64" s="2"/>
      <c r="Z64" s="7">
        <f t="shared" si="36"/>
        <v>-0.12724676766875545</v>
      </c>
    </row>
    <row r="65" spans="1:26" s="24" customFormat="1" hidden="1" outlineLevel="2" x14ac:dyDescent="0.3">
      <c r="A65" s="28"/>
      <c r="B65" s="11" t="str">
        <f>CONCATENATE("          ", "6004", " - ", "STAFF HOURLY")</f>
        <v xml:space="preserve">          6004 - STAFF HOURLY</v>
      </c>
      <c r="C65" s="11"/>
      <c r="D65" s="6">
        <v>2991.75</v>
      </c>
      <c r="E65" s="2"/>
      <c r="F65" s="7">
        <f t="shared" si="29"/>
        <v>2.2403008843712702E-2</v>
      </c>
      <c r="G65" s="2"/>
      <c r="H65" s="6">
        <v>3520</v>
      </c>
      <c r="I65" s="2"/>
      <c r="J65" s="7">
        <f t="shared" si="30"/>
        <v>4.4309267610605128E-2</v>
      </c>
      <c r="K65" s="2"/>
      <c r="L65" s="6">
        <f t="shared" si="31"/>
        <v>-528.25</v>
      </c>
      <c r="M65" s="2"/>
      <c r="N65" s="7">
        <f t="shared" si="32"/>
        <v>-0.15007102272727274</v>
      </c>
      <c r="O65" s="11"/>
      <c r="P65" s="6">
        <v>17742.23</v>
      </c>
      <c r="Q65" s="2"/>
      <c r="R65" s="7">
        <f t="shared" si="33"/>
        <v>1.8354351286267268E-2</v>
      </c>
      <c r="S65" s="2"/>
      <c r="T65" s="6">
        <v>21336.16</v>
      </c>
      <c r="U65" s="2"/>
      <c r="V65" s="7">
        <f t="shared" si="34"/>
        <v>1.6729722569396383E-2</v>
      </c>
      <c r="W65" s="2"/>
      <c r="X65" s="6">
        <f t="shared" si="35"/>
        <v>-3593.9300000000003</v>
      </c>
      <c r="Y65" s="2"/>
      <c r="Z65" s="7">
        <f t="shared" si="36"/>
        <v>-0.1684431500326207</v>
      </c>
    </row>
    <row r="66" spans="1:26" s="24" customFormat="1" hidden="1" outlineLevel="2" x14ac:dyDescent="0.3">
      <c r="A66" s="28"/>
      <c r="B66" s="11" t="str">
        <f>CONCATENATE("          ", "6005", " - ", "TEMPORARY WAGES-HOURLY")</f>
        <v xml:space="preserve">          6005 - TEMPORARY WAGES-HOURLY</v>
      </c>
      <c r="C66" s="11"/>
      <c r="D66" s="6">
        <v>1871.67</v>
      </c>
      <c r="E66" s="2"/>
      <c r="F66" s="7">
        <f t="shared" si="29"/>
        <v>1.401555596641155E-2</v>
      </c>
      <c r="G66" s="2"/>
      <c r="H66" s="6"/>
      <c r="I66" s="2"/>
      <c r="J66" s="7">
        <f t="shared" si="30"/>
        <v>0</v>
      </c>
      <c r="K66" s="2"/>
      <c r="L66" s="6">
        <f t="shared" si="31"/>
        <v>1871.67</v>
      </c>
      <c r="M66" s="2"/>
      <c r="N66" s="7">
        <f t="shared" si="32"/>
        <v>0</v>
      </c>
      <c r="O66" s="11"/>
      <c r="P66" s="6">
        <v>6879.14</v>
      </c>
      <c r="Q66" s="2"/>
      <c r="R66" s="7">
        <f t="shared" si="33"/>
        <v>7.116475894372502E-3</v>
      </c>
      <c r="S66" s="2"/>
      <c r="T66" s="6"/>
      <c r="U66" s="2"/>
      <c r="V66" s="7">
        <f t="shared" si="34"/>
        <v>0</v>
      </c>
      <c r="W66" s="2"/>
      <c r="X66" s="6">
        <f t="shared" si="35"/>
        <v>6879.14</v>
      </c>
      <c r="Y66" s="2"/>
      <c r="Z66" s="7">
        <f t="shared" si="36"/>
        <v>0</v>
      </c>
    </row>
    <row r="67" spans="1:26" s="24" customFormat="1" hidden="1" outlineLevel="2" x14ac:dyDescent="0.3">
      <c r="A67" s="28"/>
      <c r="B67" s="11" t="str">
        <f>CONCATENATE("          ", "6007", " - ", "STUDENT HOURLY")</f>
        <v xml:space="preserve">          6007 - STUDENT HOURLY</v>
      </c>
      <c r="C67" s="11"/>
      <c r="D67" s="6">
        <v>2051.54</v>
      </c>
      <c r="E67" s="2"/>
      <c r="F67" s="7">
        <f t="shared" si="29"/>
        <v>1.5362469712786951E-2</v>
      </c>
      <c r="G67" s="2"/>
      <c r="H67" s="6">
        <v>2488.4</v>
      </c>
      <c r="I67" s="2"/>
      <c r="J67" s="7">
        <f t="shared" si="30"/>
        <v>3.1323631114269834E-2</v>
      </c>
      <c r="K67" s="2"/>
      <c r="L67" s="6">
        <f t="shared" si="31"/>
        <v>-436.86000000000013</v>
      </c>
      <c r="M67" s="2"/>
      <c r="N67" s="7">
        <f t="shared" si="32"/>
        <v>-0.17555859186625949</v>
      </c>
      <c r="O67" s="11"/>
      <c r="P67" s="6">
        <v>18652.689999999999</v>
      </c>
      <c r="Q67" s="2"/>
      <c r="R67" s="7">
        <f t="shared" si="33"/>
        <v>1.9296222892716677E-2</v>
      </c>
      <c r="S67" s="2"/>
      <c r="T67" s="6">
        <v>12854.63</v>
      </c>
      <c r="U67" s="2"/>
      <c r="V67" s="7">
        <f t="shared" si="34"/>
        <v>1.0079339189068689E-2</v>
      </c>
      <c r="W67" s="2"/>
      <c r="X67" s="6">
        <f t="shared" si="35"/>
        <v>5798.0599999999995</v>
      </c>
      <c r="Y67" s="2"/>
      <c r="Z67" s="7">
        <f t="shared" si="36"/>
        <v>0.45104837712170631</v>
      </c>
    </row>
    <row r="68" spans="1:26" s="24" customFormat="1" hidden="1" outlineLevel="2" x14ac:dyDescent="0.3">
      <c r="A68" s="28"/>
      <c r="B68" s="11" t="str">
        <f>CONCATENATE("          ", "6008", " - ", "STUDENT HOURLY-FICA EXEMPT")</f>
        <v xml:space="preserve">          6008 - STUDENT HOURLY-FICA EXEMPT</v>
      </c>
      <c r="C68" s="11"/>
      <c r="D68" s="6">
        <v>1113.6500000000001</v>
      </c>
      <c r="E68" s="2"/>
      <c r="F68" s="7">
        <f t="shared" si="29"/>
        <v>8.3393033504807063E-3</v>
      </c>
      <c r="G68" s="2"/>
      <c r="H68" s="6"/>
      <c r="I68" s="2"/>
      <c r="J68" s="7">
        <f t="shared" si="30"/>
        <v>0</v>
      </c>
      <c r="K68" s="2"/>
      <c r="L68" s="6">
        <f t="shared" si="31"/>
        <v>1113.6500000000001</v>
      </c>
      <c r="M68" s="2"/>
      <c r="N68" s="7">
        <f t="shared" si="32"/>
        <v>0</v>
      </c>
      <c r="O68" s="11"/>
      <c r="P68" s="6">
        <v>6145.63</v>
      </c>
      <c r="Q68" s="2"/>
      <c r="R68" s="7">
        <f t="shared" si="33"/>
        <v>6.357659206053733E-3</v>
      </c>
      <c r="S68" s="2"/>
      <c r="T68" s="6"/>
      <c r="U68" s="2"/>
      <c r="V68" s="7">
        <f t="shared" si="34"/>
        <v>0</v>
      </c>
      <c r="W68" s="2"/>
      <c r="X68" s="6">
        <f t="shared" si="35"/>
        <v>6145.63</v>
      </c>
      <c r="Y68" s="2"/>
      <c r="Z68" s="7">
        <f t="shared" si="36"/>
        <v>0</v>
      </c>
    </row>
    <row r="69" spans="1:26" s="29" customFormat="1" outlineLevel="1" collapsed="1" x14ac:dyDescent="0.3">
      <c r="A69" s="27"/>
      <c r="B69" s="14" t="str">
        <f>CONCATENATE("     ","Advertising/Promo                                 ")</f>
        <v xml:space="preserve">     Advertising/Promo                                 </v>
      </c>
      <c r="C69" s="14"/>
      <c r="D69" s="1">
        <f>SUM(OSRRefD22_2x_0)</f>
        <v>0</v>
      </c>
      <c r="E69" s="1"/>
      <c r="F69" s="5">
        <f t="shared" ref="F69:F77" si="37">IF(D$12=0,0,D69/D$12)</f>
        <v>0</v>
      </c>
      <c r="G69" s="1"/>
      <c r="H69" s="1">
        <f>SUM(OSRRefH22_2x_0)</f>
        <v>0</v>
      </c>
      <c r="I69" s="1"/>
      <c r="J69" s="5">
        <f t="shared" ref="J69:J77" si="38">IF(H$12=0,0,H69/H$12)</f>
        <v>0</v>
      </c>
      <c r="K69" s="1"/>
      <c r="L69" s="1">
        <f t="shared" ref="L69:L77" si="39">+D69-H69</f>
        <v>0</v>
      </c>
      <c r="M69" s="1"/>
      <c r="N69" s="5">
        <f t="shared" ref="N69:N77" si="40">IF(H69=0,0,L69/H69)</f>
        <v>0</v>
      </c>
      <c r="O69" s="14"/>
      <c r="P69" s="1">
        <f>SUM(OSRRefP22_2x_0)</f>
        <v>118.13</v>
      </c>
      <c r="Q69" s="1"/>
      <c r="R69" s="5">
        <f t="shared" ref="R69:R77" si="41">IF(P$12=0,0,P69/P$12)</f>
        <v>1.2220558055254342E-4</v>
      </c>
      <c r="S69" s="1"/>
      <c r="T69" s="1">
        <f>SUM(OSRRefT22_2x_0)</f>
        <v>248.88</v>
      </c>
      <c r="U69" s="1"/>
      <c r="V69" s="5">
        <f t="shared" ref="V69:V77" si="42">IF(T$12=0,0,T69/T$12)</f>
        <v>1.9514726891208968E-4</v>
      </c>
      <c r="W69" s="1"/>
      <c r="X69" s="1">
        <f t="shared" ref="X69:X77" si="43">+P69-T69</f>
        <v>-130.75</v>
      </c>
      <c r="Y69" s="1"/>
      <c r="Z69" s="5">
        <f t="shared" ref="Z69:Z77" si="44">IF(T69=0,0,X69/T69)</f>
        <v>-0.52535358405657351</v>
      </c>
    </row>
    <row r="70" spans="1:26" s="24" customFormat="1" hidden="1" outlineLevel="2" x14ac:dyDescent="0.3">
      <c r="A70" s="28"/>
      <c r="B70" s="11" t="str">
        <f>CONCATENATE("          ", "6362", " - ", "ADVERTISING EXPENSE")</f>
        <v xml:space="preserve">          6362 - ADVERTISING EXPENSE</v>
      </c>
      <c r="C70" s="11"/>
      <c r="D70" s="6"/>
      <c r="E70" s="2"/>
      <c r="F70" s="7">
        <f t="shared" si="37"/>
        <v>0</v>
      </c>
      <c r="G70" s="2"/>
      <c r="H70" s="6"/>
      <c r="I70" s="2"/>
      <c r="J70" s="7">
        <f t="shared" si="38"/>
        <v>0</v>
      </c>
      <c r="K70" s="2"/>
      <c r="L70" s="6">
        <f t="shared" si="39"/>
        <v>0</v>
      </c>
      <c r="M70" s="2"/>
      <c r="N70" s="7">
        <f t="shared" si="40"/>
        <v>0</v>
      </c>
      <c r="O70" s="11"/>
      <c r="P70" s="6">
        <v>118.13</v>
      </c>
      <c r="Q70" s="2"/>
      <c r="R70" s="7">
        <f t="shared" si="41"/>
        <v>1.2220558055254342E-4</v>
      </c>
      <c r="S70" s="2"/>
      <c r="T70" s="6">
        <v>248.88</v>
      </c>
      <c r="U70" s="2"/>
      <c r="V70" s="7">
        <f t="shared" si="42"/>
        <v>1.9514726891208968E-4</v>
      </c>
      <c r="W70" s="2"/>
      <c r="X70" s="6">
        <f t="shared" si="43"/>
        <v>-130.75</v>
      </c>
      <c r="Y70" s="2"/>
      <c r="Z70" s="7">
        <f t="shared" si="44"/>
        <v>-0.52535358405657351</v>
      </c>
    </row>
    <row r="71" spans="1:26" s="29" customFormat="1" outlineLevel="1" collapsed="1" x14ac:dyDescent="0.3">
      <c r="A71" s="27"/>
      <c r="B71" s="14" t="str">
        <f>CONCATENATE("     ","Depreciation                                      ")</f>
        <v xml:space="preserve">     Depreciation                                      </v>
      </c>
      <c r="C71" s="14"/>
      <c r="D71" s="1">
        <f>SUM(OSRRefD22_3x_0)</f>
        <v>280.44</v>
      </c>
      <c r="E71" s="1"/>
      <c r="F71" s="5">
        <f t="shared" si="37"/>
        <v>2.1000082895064063E-3</v>
      </c>
      <c r="G71" s="1"/>
      <c r="H71" s="1">
        <f>SUM(OSRRefH22_3x_0)</f>
        <v>280.44</v>
      </c>
      <c r="I71" s="1"/>
      <c r="J71" s="5">
        <f t="shared" si="38"/>
        <v>3.5301394911130975E-3</v>
      </c>
      <c r="K71" s="1"/>
      <c r="L71" s="1">
        <f t="shared" si="39"/>
        <v>0</v>
      </c>
      <c r="M71" s="1"/>
      <c r="N71" s="5">
        <f t="shared" si="40"/>
        <v>0</v>
      </c>
      <c r="O71" s="14"/>
      <c r="P71" s="1">
        <f>SUM(OSRRefP22_3x_0)</f>
        <v>1682.64</v>
      </c>
      <c r="Q71" s="1"/>
      <c r="R71" s="5">
        <f t="shared" si="41"/>
        <v>1.7406924410474196E-3</v>
      </c>
      <c r="S71" s="1"/>
      <c r="T71" s="1">
        <f>SUM(OSRRefT22_3x_0)</f>
        <v>1682.64</v>
      </c>
      <c r="U71" s="1"/>
      <c r="V71" s="5">
        <f t="shared" si="42"/>
        <v>1.3193611401568573E-3</v>
      </c>
      <c r="W71" s="1"/>
      <c r="X71" s="1">
        <f t="shared" si="43"/>
        <v>0</v>
      </c>
      <c r="Y71" s="1"/>
      <c r="Z71" s="5">
        <f t="shared" si="44"/>
        <v>0</v>
      </c>
    </row>
    <row r="72" spans="1:26" s="24" customFormat="1" hidden="1" outlineLevel="2" x14ac:dyDescent="0.3">
      <c r="A72" s="28"/>
      <c r="B72" s="11" t="str">
        <f>CONCATENATE("          ", "6322", " - ", "EQUIPMENT DEPRECIATION EXPENSE")</f>
        <v xml:space="preserve">          6322 - EQUIPMENT DEPRECIATION EXPENSE</v>
      </c>
      <c r="C72" s="11"/>
      <c r="D72" s="6">
        <v>280.44</v>
      </c>
      <c r="E72" s="2"/>
      <c r="F72" s="7">
        <f t="shared" si="37"/>
        <v>2.1000082895064063E-3</v>
      </c>
      <c r="G72" s="2"/>
      <c r="H72" s="6">
        <v>280.44</v>
      </c>
      <c r="I72" s="2"/>
      <c r="J72" s="7">
        <f t="shared" si="38"/>
        <v>3.5301394911130975E-3</v>
      </c>
      <c r="K72" s="2"/>
      <c r="L72" s="6">
        <f t="shared" si="39"/>
        <v>0</v>
      </c>
      <c r="M72" s="2"/>
      <c r="N72" s="7">
        <f t="shared" si="40"/>
        <v>0</v>
      </c>
      <c r="O72" s="11"/>
      <c r="P72" s="6">
        <v>1682.64</v>
      </c>
      <c r="Q72" s="2"/>
      <c r="R72" s="7">
        <f t="shared" si="41"/>
        <v>1.7406924410474196E-3</v>
      </c>
      <c r="S72" s="2"/>
      <c r="T72" s="6">
        <v>1682.64</v>
      </c>
      <c r="U72" s="2"/>
      <c r="V72" s="7">
        <f t="shared" si="42"/>
        <v>1.3193611401568573E-3</v>
      </c>
      <c r="W72" s="2"/>
      <c r="X72" s="6">
        <f t="shared" si="43"/>
        <v>0</v>
      </c>
      <c r="Y72" s="2"/>
      <c r="Z72" s="7">
        <f t="shared" si="44"/>
        <v>0</v>
      </c>
    </row>
    <row r="73" spans="1:26" s="29" customFormat="1" outlineLevel="1" collapsed="1" x14ac:dyDescent="0.3">
      <c r="A73" s="27"/>
      <c r="B73" s="14" t="str">
        <f>CONCATENATE("     ","Discounts and Markdowns                           ")</f>
        <v xml:space="preserve">     Discounts and Markdowns                           </v>
      </c>
      <c r="C73" s="14"/>
      <c r="D73" s="1">
        <f>SUM(OSRRefD22_4x_0)</f>
        <v>0</v>
      </c>
      <c r="E73" s="1"/>
      <c r="F73" s="5">
        <f t="shared" si="37"/>
        <v>0</v>
      </c>
      <c r="G73" s="1"/>
      <c r="H73" s="1">
        <f>SUM(OSRRefH22_4x_0)</f>
        <v>0</v>
      </c>
      <c r="I73" s="1"/>
      <c r="J73" s="5">
        <f t="shared" si="38"/>
        <v>0</v>
      </c>
      <c r="K73" s="1"/>
      <c r="L73" s="1">
        <f t="shared" si="39"/>
        <v>0</v>
      </c>
      <c r="M73" s="1"/>
      <c r="N73" s="5">
        <f t="shared" si="40"/>
        <v>0</v>
      </c>
      <c r="O73" s="14"/>
      <c r="P73" s="1">
        <f>SUM(OSRRefP22_4x_0)</f>
        <v>0</v>
      </c>
      <c r="Q73" s="1"/>
      <c r="R73" s="5">
        <f t="shared" si="41"/>
        <v>0</v>
      </c>
      <c r="S73" s="1"/>
      <c r="T73" s="1">
        <f>SUM(OSRRefT22_4x_0)</f>
        <v>0</v>
      </c>
      <c r="U73" s="1"/>
      <c r="V73" s="5">
        <f t="shared" si="42"/>
        <v>0</v>
      </c>
      <c r="W73" s="1"/>
      <c r="X73" s="1">
        <f t="shared" si="43"/>
        <v>0</v>
      </c>
      <c r="Y73" s="1"/>
      <c r="Z73" s="5">
        <f t="shared" si="44"/>
        <v>0</v>
      </c>
    </row>
    <row r="74" spans="1:26" s="24" customFormat="1" hidden="1" outlineLevel="2" x14ac:dyDescent="0.3">
      <c r="A74" s="28"/>
      <c r="B74" s="11" t="str">
        <f>CONCATENATE("          ", "6382", " - ", "DISCOUNTS/MARK DOWNS")</f>
        <v xml:space="preserve">          6382 - DISCOUNTS/MARK DOWNS</v>
      </c>
      <c r="C74" s="11"/>
      <c r="D74" s="6"/>
      <c r="E74" s="2"/>
      <c r="F74" s="7">
        <f t="shared" si="37"/>
        <v>0</v>
      </c>
      <c r="G74" s="2"/>
      <c r="H74" s="6">
        <v>0</v>
      </c>
      <c r="I74" s="2"/>
      <c r="J74" s="7">
        <f t="shared" si="38"/>
        <v>0</v>
      </c>
      <c r="K74" s="2"/>
      <c r="L74" s="6">
        <f t="shared" si="39"/>
        <v>0</v>
      </c>
      <c r="M74" s="2"/>
      <c r="N74" s="7">
        <f t="shared" si="40"/>
        <v>0</v>
      </c>
      <c r="O74" s="11"/>
      <c r="P74" s="6"/>
      <c r="Q74" s="2"/>
      <c r="R74" s="7">
        <f t="shared" si="41"/>
        <v>0</v>
      </c>
      <c r="S74" s="2"/>
      <c r="T74" s="6">
        <v>0</v>
      </c>
      <c r="U74" s="2"/>
      <c r="V74" s="7">
        <f t="shared" si="42"/>
        <v>0</v>
      </c>
      <c r="W74" s="2"/>
      <c r="X74" s="6">
        <f t="shared" si="43"/>
        <v>0</v>
      </c>
      <c r="Y74" s="2"/>
      <c r="Z74" s="7">
        <f t="shared" si="44"/>
        <v>0</v>
      </c>
    </row>
    <row r="75" spans="1:26" s="29" customFormat="1" outlineLevel="1" collapsed="1" x14ac:dyDescent="0.3">
      <c r="A75" s="27"/>
      <c r="B75" s="14" t="str">
        <f>CONCATENATE("     ","Freight out/Postage                               ")</f>
        <v xml:space="preserve">     Freight out/Postage                               </v>
      </c>
      <c r="C75" s="14"/>
      <c r="D75" s="1">
        <f>SUM(OSRRefD22_5x_0)</f>
        <v>0</v>
      </c>
      <c r="E75" s="1"/>
      <c r="F75" s="5">
        <f t="shared" si="37"/>
        <v>0</v>
      </c>
      <c r="G75" s="1"/>
      <c r="H75" s="1">
        <f>SUM(OSRRefH22_5x_0)</f>
        <v>43.58</v>
      </c>
      <c r="I75" s="1"/>
      <c r="J75" s="5">
        <f t="shared" si="38"/>
        <v>5.4857894388357143E-4</v>
      </c>
      <c r="K75" s="1"/>
      <c r="L75" s="1">
        <f t="shared" si="39"/>
        <v>-43.58</v>
      </c>
      <c r="M75" s="1"/>
      <c r="N75" s="5">
        <f t="shared" si="40"/>
        <v>-1</v>
      </c>
      <c r="O75" s="14"/>
      <c r="P75" s="1">
        <f>SUM(OSRRefP22_5x_0)</f>
        <v>122.13</v>
      </c>
      <c r="Q75" s="1"/>
      <c r="R75" s="5">
        <f t="shared" si="41"/>
        <v>1.2634358378804816E-4</v>
      </c>
      <c r="S75" s="1"/>
      <c r="T75" s="1">
        <f>SUM(OSRRefT22_5x_0)</f>
        <v>871.17000000000007</v>
      </c>
      <c r="U75" s="1"/>
      <c r="V75" s="5">
        <f t="shared" si="42"/>
        <v>6.8308601035898902E-4</v>
      </c>
      <c r="W75" s="1"/>
      <c r="X75" s="1">
        <f t="shared" si="43"/>
        <v>-749.04000000000008</v>
      </c>
      <c r="Y75" s="1"/>
      <c r="Z75" s="5">
        <f t="shared" si="44"/>
        <v>-0.85980922208065014</v>
      </c>
    </row>
    <row r="76" spans="1:26" s="24" customFormat="1" hidden="1" outlineLevel="2" x14ac:dyDescent="0.3">
      <c r="A76" s="28"/>
      <c r="B76" s="11" t="str">
        <f>CONCATENATE("          ", "6305", " - ", "FREIGHT OUT")</f>
        <v xml:space="preserve">          6305 - FREIGHT OUT</v>
      </c>
      <c r="C76" s="11"/>
      <c r="D76" s="6"/>
      <c r="E76" s="2"/>
      <c r="F76" s="7">
        <f t="shared" si="37"/>
        <v>0</v>
      </c>
      <c r="G76" s="2"/>
      <c r="H76" s="6">
        <v>43.58</v>
      </c>
      <c r="I76" s="2"/>
      <c r="J76" s="7">
        <f t="shared" si="38"/>
        <v>5.4857894388357143E-4</v>
      </c>
      <c r="K76" s="2"/>
      <c r="L76" s="6">
        <f t="shared" si="39"/>
        <v>-43.58</v>
      </c>
      <c r="M76" s="2"/>
      <c r="N76" s="7">
        <f t="shared" si="40"/>
        <v>-1</v>
      </c>
      <c r="O76" s="11"/>
      <c r="P76" s="6">
        <v>122.13</v>
      </c>
      <c r="Q76" s="2"/>
      <c r="R76" s="7">
        <f t="shared" si="41"/>
        <v>1.2634358378804816E-4</v>
      </c>
      <c r="S76" s="2"/>
      <c r="T76" s="6">
        <v>858.57</v>
      </c>
      <c r="U76" s="2"/>
      <c r="V76" s="7">
        <f t="shared" si="42"/>
        <v>6.7320632702448115E-4</v>
      </c>
      <c r="W76" s="2"/>
      <c r="X76" s="6">
        <f t="shared" si="43"/>
        <v>-736.44</v>
      </c>
      <c r="Y76" s="2"/>
      <c r="Z76" s="7">
        <f t="shared" si="44"/>
        <v>-0.85775184318110342</v>
      </c>
    </row>
    <row r="77" spans="1:26" s="24" customFormat="1" hidden="1" outlineLevel="2" x14ac:dyDescent="0.3">
      <c r="A77" s="28"/>
      <c r="B77" s="11" t="str">
        <f>CONCATENATE("          ", "6307", " - ", "POSTAGE")</f>
        <v xml:space="preserve">          6307 - POSTAGE</v>
      </c>
      <c r="C77" s="11"/>
      <c r="D77" s="6"/>
      <c r="E77" s="2"/>
      <c r="F77" s="7">
        <f t="shared" si="37"/>
        <v>0</v>
      </c>
      <c r="G77" s="2"/>
      <c r="H77" s="6"/>
      <c r="I77" s="2"/>
      <c r="J77" s="7">
        <f t="shared" si="38"/>
        <v>0</v>
      </c>
      <c r="K77" s="2"/>
      <c r="L77" s="6">
        <f t="shared" si="39"/>
        <v>0</v>
      </c>
      <c r="M77" s="2"/>
      <c r="N77" s="7">
        <f t="shared" si="40"/>
        <v>0</v>
      </c>
      <c r="O77" s="11"/>
      <c r="P77" s="6"/>
      <c r="Q77" s="2"/>
      <c r="R77" s="7">
        <f t="shared" si="41"/>
        <v>0</v>
      </c>
      <c r="S77" s="2"/>
      <c r="T77" s="6">
        <v>12.6</v>
      </c>
      <c r="U77" s="2"/>
      <c r="V77" s="7">
        <f t="shared" si="42"/>
        <v>9.8796833345079152E-6</v>
      </c>
      <c r="W77" s="2"/>
      <c r="X77" s="6">
        <f t="shared" si="43"/>
        <v>-12.6</v>
      </c>
      <c r="Y77" s="2"/>
      <c r="Z77" s="7">
        <f t="shared" si="44"/>
        <v>-1</v>
      </c>
    </row>
    <row r="78" spans="1:26" s="29" customFormat="1" outlineLevel="1" collapsed="1" x14ac:dyDescent="0.3">
      <c r="A78" s="27"/>
      <c r="B78" s="14" t="str">
        <f>CONCATENATE("     ","General                                           ")</f>
        <v xml:space="preserve">     General                                           </v>
      </c>
      <c r="C78" s="14"/>
      <c r="D78" s="1">
        <f>SUM(OSRRefD22_6x_0)</f>
        <v>0</v>
      </c>
      <c r="E78" s="1"/>
      <c r="F78" s="5">
        <f t="shared" ref="F78:F85" si="45">IF(D$12=0,0,D78/D$12)</f>
        <v>0</v>
      </c>
      <c r="G78" s="1"/>
      <c r="H78" s="1">
        <f>SUM(OSRRefH22_6x_0)</f>
        <v>0</v>
      </c>
      <c r="I78" s="1"/>
      <c r="J78" s="5">
        <f t="shared" ref="J78:J85" si="46">IF(H$12=0,0,H78/H$12)</f>
        <v>0</v>
      </c>
      <c r="K78" s="1"/>
      <c r="L78" s="1">
        <f t="shared" ref="L78:L85" si="47">+D78-H78</f>
        <v>0</v>
      </c>
      <c r="M78" s="1"/>
      <c r="N78" s="5">
        <f t="shared" ref="N78:N85" si="48">IF(H78=0,0,L78/H78)</f>
        <v>0</v>
      </c>
      <c r="O78" s="14"/>
      <c r="P78" s="1">
        <f>SUM(OSRRefP22_6x_0)</f>
        <v>0</v>
      </c>
      <c r="Q78" s="1"/>
      <c r="R78" s="5">
        <f t="shared" ref="R78:R85" si="49">IF(P$12=0,0,P78/P$12)</f>
        <v>0</v>
      </c>
      <c r="S78" s="1"/>
      <c r="T78" s="1">
        <f>SUM(OSRRefT22_6x_0)</f>
        <v>-30.15</v>
      </c>
      <c r="U78" s="1"/>
      <c r="V78" s="5">
        <f t="shared" ref="V78:V85" si="50">IF(T$12=0,0,T78/T$12)</f>
        <v>-2.3640670836143939E-5</v>
      </c>
      <c r="W78" s="1"/>
      <c r="X78" s="1">
        <f t="shared" ref="X78:X85" si="51">+P78-T78</f>
        <v>30.15</v>
      </c>
      <c r="Y78" s="1"/>
      <c r="Z78" s="5">
        <f t="shared" ref="Z78:Z85" si="52">IF(T78=0,0,X78/T78)</f>
        <v>-1</v>
      </c>
    </row>
    <row r="79" spans="1:26" s="24" customFormat="1" hidden="1" outlineLevel="2" x14ac:dyDescent="0.3">
      <c r="A79" s="28"/>
      <c r="B79" s="11" t="str">
        <f>CONCATENATE("          ", "6279", " - ", "GENERAL EXPENSE")</f>
        <v xml:space="preserve">          6279 - GENERAL EXPENSE</v>
      </c>
      <c r="C79" s="11"/>
      <c r="D79" s="6"/>
      <c r="E79" s="2"/>
      <c r="F79" s="7">
        <f t="shared" si="45"/>
        <v>0</v>
      </c>
      <c r="G79" s="2"/>
      <c r="H79" s="6"/>
      <c r="I79" s="2"/>
      <c r="J79" s="7">
        <f t="shared" si="46"/>
        <v>0</v>
      </c>
      <c r="K79" s="2"/>
      <c r="L79" s="6">
        <f t="shared" si="47"/>
        <v>0</v>
      </c>
      <c r="M79" s="2"/>
      <c r="N79" s="7">
        <f t="shared" si="48"/>
        <v>0</v>
      </c>
      <c r="O79" s="11"/>
      <c r="P79" s="6"/>
      <c r="Q79" s="2"/>
      <c r="R79" s="7">
        <f t="shared" si="49"/>
        <v>0</v>
      </c>
      <c r="S79" s="2"/>
      <c r="T79" s="6">
        <v>-30.15</v>
      </c>
      <c r="U79" s="2"/>
      <c r="V79" s="7">
        <f t="shared" si="50"/>
        <v>-2.3640670836143939E-5</v>
      </c>
      <c r="W79" s="2"/>
      <c r="X79" s="6">
        <f t="shared" si="51"/>
        <v>30.15</v>
      </c>
      <c r="Y79" s="2"/>
      <c r="Z79" s="7">
        <f t="shared" si="52"/>
        <v>-1</v>
      </c>
    </row>
    <row r="80" spans="1:26" s="29" customFormat="1" outlineLevel="1" collapsed="1" x14ac:dyDescent="0.3">
      <c r="A80" s="27"/>
      <c r="B80" s="14" t="str">
        <f>CONCATENATE("     ","Inventory Adjustment                              ")</f>
        <v xml:space="preserve">     Inventory Adjustment                              </v>
      </c>
      <c r="C80" s="14"/>
      <c r="D80" s="1">
        <f>SUM(OSRRefD22_7x_0)</f>
        <v>340</v>
      </c>
      <c r="E80" s="1"/>
      <c r="F80" s="5">
        <f t="shared" si="45"/>
        <v>2.5460091942382614E-3</v>
      </c>
      <c r="G80" s="1"/>
      <c r="H80" s="1">
        <f>SUM(OSRRefH22_7x_0)</f>
        <v>1250</v>
      </c>
      <c r="I80" s="1"/>
      <c r="J80" s="5">
        <f t="shared" si="46"/>
        <v>1.5734825145811482E-2</v>
      </c>
      <c r="K80" s="1"/>
      <c r="L80" s="1">
        <f t="shared" si="47"/>
        <v>-910</v>
      </c>
      <c r="M80" s="1"/>
      <c r="N80" s="5">
        <f t="shared" si="48"/>
        <v>-0.72799999999999998</v>
      </c>
      <c r="O80" s="14"/>
      <c r="P80" s="1">
        <f>SUM(OSRRefP22_7x_0)</f>
        <v>5640</v>
      </c>
      <c r="Q80" s="1"/>
      <c r="R80" s="5">
        <f t="shared" si="49"/>
        <v>5.8345845620616692E-3</v>
      </c>
      <c r="S80" s="1"/>
      <c r="T80" s="1">
        <f>SUM(OSRRefT22_7x_0)</f>
        <v>7500</v>
      </c>
      <c r="U80" s="1"/>
      <c r="V80" s="5">
        <f t="shared" si="50"/>
        <v>5.8807638895880454E-3</v>
      </c>
      <c r="W80" s="1"/>
      <c r="X80" s="1">
        <f t="shared" si="51"/>
        <v>-1860</v>
      </c>
      <c r="Y80" s="1"/>
      <c r="Z80" s="5">
        <f t="shared" si="52"/>
        <v>-0.248</v>
      </c>
    </row>
    <row r="81" spans="1:26" s="24" customFormat="1" hidden="1" outlineLevel="2" x14ac:dyDescent="0.3">
      <c r="A81" s="28"/>
      <c r="B81" s="11" t="str">
        <f>CONCATENATE("          ", "6408", " - ", "INVENTORY ADJUSTMENT")</f>
        <v xml:space="preserve">          6408 - INVENTORY ADJUSTMENT</v>
      </c>
      <c r="C81" s="11"/>
      <c r="D81" s="6">
        <v>340</v>
      </c>
      <c r="E81" s="2"/>
      <c r="F81" s="7">
        <f t="shared" si="45"/>
        <v>2.5460091942382614E-3</v>
      </c>
      <c r="G81" s="2"/>
      <c r="H81" s="6">
        <v>1250</v>
      </c>
      <c r="I81" s="2"/>
      <c r="J81" s="7">
        <f t="shared" si="46"/>
        <v>1.5734825145811482E-2</v>
      </c>
      <c r="K81" s="2"/>
      <c r="L81" s="6">
        <f t="shared" si="47"/>
        <v>-910</v>
      </c>
      <c r="M81" s="2"/>
      <c r="N81" s="7">
        <f t="shared" si="48"/>
        <v>-0.72799999999999998</v>
      </c>
      <c r="O81" s="11"/>
      <c r="P81" s="6">
        <v>5640</v>
      </c>
      <c r="Q81" s="2"/>
      <c r="R81" s="7">
        <f t="shared" si="49"/>
        <v>5.8345845620616692E-3</v>
      </c>
      <c r="S81" s="2"/>
      <c r="T81" s="6">
        <v>7500</v>
      </c>
      <c r="U81" s="2"/>
      <c r="V81" s="7">
        <f t="shared" si="50"/>
        <v>5.8807638895880454E-3</v>
      </c>
      <c r="W81" s="2"/>
      <c r="X81" s="6">
        <f t="shared" si="51"/>
        <v>-1860</v>
      </c>
      <c r="Y81" s="2"/>
      <c r="Z81" s="7">
        <f t="shared" si="52"/>
        <v>-0.248</v>
      </c>
    </row>
    <row r="82" spans="1:26" s="29" customFormat="1" outlineLevel="1" collapsed="1" x14ac:dyDescent="0.3">
      <c r="A82" s="27"/>
      <c r="B82" s="14" t="str">
        <f>CONCATENATE("     ","Supplies                                          ")</f>
        <v xml:space="preserve">     Supplies                                          </v>
      </c>
      <c r="C82" s="14"/>
      <c r="D82" s="1">
        <f>SUM(OSRRefD22_8x_0)</f>
        <v>31.35</v>
      </c>
      <c r="E82" s="1"/>
      <c r="F82" s="5">
        <f t="shared" si="45"/>
        <v>2.3475702423343973E-4</v>
      </c>
      <c r="G82" s="1"/>
      <c r="H82" s="1">
        <f>SUM(OSRRefH22_8x_0)</f>
        <v>1052.8599999999999</v>
      </c>
      <c r="I82" s="1"/>
      <c r="J82" s="5">
        <f t="shared" si="46"/>
        <v>1.325325440241526E-2</v>
      </c>
      <c r="K82" s="1"/>
      <c r="L82" s="1">
        <f t="shared" si="47"/>
        <v>-1021.5099999999999</v>
      </c>
      <c r="M82" s="1"/>
      <c r="N82" s="5">
        <f t="shared" si="48"/>
        <v>-0.97022396140037614</v>
      </c>
      <c r="O82" s="14"/>
      <c r="P82" s="1">
        <f>SUM(OSRRefP22_8x_0)</f>
        <v>3307.46</v>
      </c>
      <c r="Q82" s="1"/>
      <c r="R82" s="5">
        <f t="shared" si="49"/>
        <v>3.4215700453256183E-3</v>
      </c>
      <c r="S82" s="1"/>
      <c r="T82" s="1">
        <f>SUM(OSRRefT22_8x_0)</f>
        <v>2753.5699999999997</v>
      </c>
      <c r="U82" s="1"/>
      <c r="V82" s="5">
        <f t="shared" si="50"/>
        <v>2.1590793364603938E-3</v>
      </c>
      <c r="W82" s="1"/>
      <c r="X82" s="1">
        <f t="shared" si="51"/>
        <v>553.89000000000033</v>
      </c>
      <c r="Y82" s="1"/>
      <c r="Z82" s="5">
        <f t="shared" si="52"/>
        <v>0.20115341175274296</v>
      </c>
    </row>
    <row r="83" spans="1:26" s="24" customFormat="1" hidden="1" outlineLevel="2" x14ac:dyDescent="0.3">
      <c r="A83" s="28"/>
      <c r="B83" s="11" t="str">
        <f>CONCATENATE("          ", "6235", " - ", "COVID-19 EXPENSES")</f>
        <v xml:space="preserve">          6235 - COVID-19 EXPENSES</v>
      </c>
      <c r="C83" s="11"/>
      <c r="D83" s="6"/>
      <c r="E83" s="2"/>
      <c r="F83" s="7">
        <f t="shared" si="45"/>
        <v>0</v>
      </c>
      <c r="G83" s="2"/>
      <c r="H83" s="6"/>
      <c r="I83" s="2"/>
      <c r="J83" s="7">
        <f t="shared" si="46"/>
        <v>0</v>
      </c>
      <c r="K83" s="2"/>
      <c r="L83" s="6">
        <f t="shared" si="47"/>
        <v>0</v>
      </c>
      <c r="M83" s="2"/>
      <c r="N83" s="7">
        <f t="shared" si="48"/>
        <v>0</v>
      </c>
      <c r="O83" s="11"/>
      <c r="P83" s="6"/>
      <c r="Q83" s="2"/>
      <c r="R83" s="7">
        <f t="shared" si="49"/>
        <v>0</v>
      </c>
      <c r="S83" s="2"/>
      <c r="T83" s="6">
        <v>668.12</v>
      </c>
      <c r="U83" s="2"/>
      <c r="V83" s="7">
        <f t="shared" si="50"/>
        <v>5.2387412932154199E-4</v>
      </c>
      <c r="W83" s="2"/>
      <c r="X83" s="6">
        <f t="shared" si="51"/>
        <v>-668.12</v>
      </c>
      <c r="Y83" s="2"/>
      <c r="Z83" s="7">
        <f t="shared" si="52"/>
        <v>-1</v>
      </c>
    </row>
    <row r="84" spans="1:26" s="24" customFormat="1" hidden="1" outlineLevel="2" x14ac:dyDescent="0.3">
      <c r="A84" s="28"/>
      <c r="B84" s="11" t="str">
        <f>CONCATENATE("          ", "6241", " - ", "OFFICE EXPENSE")</f>
        <v xml:space="preserve">          6241 - OFFICE EXPENSE</v>
      </c>
      <c r="C84" s="11"/>
      <c r="D84" s="6">
        <v>31.35</v>
      </c>
      <c r="E84" s="2"/>
      <c r="F84" s="7">
        <f t="shared" si="45"/>
        <v>2.3475702423343973E-4</v>
      </c>
      <c r="G84" s="2"/>
      <c r="H84" s="6">
        <v>1052.8599999999999</v>
      </c>
      <c r="I84" s="2"/>
      <c r="J84" s="7">
        <f t="shared" si="46"/>
        <v>1.325325440241526E-2</v>
      </c>
      <c r="K84" s="2"/>
      <c r="L84" s="6">
        <f t="shared" si="47"/>
        <v>-1021.5099999999999</v>
      </c>
      <c r="M84" s="2"/>
      <c r="N84" s="7">
        <f t="shared" si="48"/>
        <v>-0.97022396140037614</v>
      </c>
      <c r="O84" s="11"/>
      <c r="P84" s="6">
        <v>395.46</v>
      </c>
      <c r="Q84" s="2"/>
      <c r="R84" s="7">
        <f t="shared" si="49"/>
        <v>4.0910368987817506E-4</v>
      </c>
      <c r="S84" s="2"/>
      <c r="T84" s="6">
        <v>2085.4499999999998</v>
      </c>
      <c r="U84" s="2"/>
      <c r="V84" s="7">
        <f t="shared" si="50"/>
        <v>1.6352052071388517E-3</v>
      </c>
      <c r="W84" s="2"/>
      <c r="X84" s="6">
        <f t="shared" si="51"/>
        <v>-1689.9899999999998</v>
      </c>
      <c r="Y84" s="2"/>
      <c r="Z84" s="7">
        <f t="shared" si="52"/>
        <v>-0.81037186218801693</v>
      </c>
    </row>
    <row r="85" spans="1:26" s="24" customFormat="1" hidden="1" outlineLevel="2" x14ac:dyDescent="0.3">
      <c r="A85" s="28"/>
      <c r="B85" s="11" t="str">
        <f>CONCATENATE("          ", "6247", " - ", "STORE SUPPLIES")</f>
        <v xml:space="preserve">          6247 - STORE SUPPLIES</v>
      </c>
      <c r="C85" s="11"/>
      <c r="D85" s="6"/>
      <c r="E85" s="2"/>
      <c r="F85" s="7">
        <f t="shared" si="45"/>
        <v>0</v>
      </c>
      <c r="G85" s="2"/>
      <c r="H85" s="6"/>
      <c r="I85" s="2"/>
      <c r="J85" s="7">
        <f t="shared" si="46"/>
        <v>0</v>
      </c>
      <c r="K85" s="2"/>
      <c r="L85" s="6">
        <f t="shared" si="47"/>
        <v>0</v>
      </c>
      <c r="M85" s="2"/>
      <c r="N85" s="7">
        <f t="shared" si="48"/>
        <v>0</v>
      </c>
      <c r="O85" s="11"/>
      <c r="P85" s="6">
        <v>2912</v>
      </c>
      <c r="Q85" s="2"/>
      <c r="R85" s="7">
        <f t="shared" si="49"/>
        <v>3.0124663554474433E-3</v>
      </c>
      <c r="S85" s="2"/>
      <c r="T85" s="6"/>
      <c r="U85" s="2"/>
      <c r="V85" s="7">
        <f t="shared" si="50"/>
        <v>0</v>
      </c>
      <c r="W85" s="2"/>
      <c r="X85" s="6">
        <f t="shared" si="51"/>
        <v>2912</v>
      </c>
      <c r="Y85" s="2"/>
      <c r="Z85" s="7">
        <f t="shared" si="52"/>
        <v>0</v>
      </c>
    </row>
    <row r="86" spans="1:26" s="29" customFormat="1" outlineLevel="1" collapsed="1" x14ac:dyDescent="0.3">
      <c r="A86" s="27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SUM(OSRRefD22_9x_0)</f>
        <v>206.95</v>
      </c>
      <c r="E86" s="1"/>
      <c r="F86" s="5">
        <f t="shared" ref="F86:F89" si="53">IF(D$12=0,0,D86/D$12)</f>
        <v>1.5496958904341418E-3</v>
      </c>
      <c r="G86" s="1"/>
      <c r="H86" s="1">
        <f>SUM(OSRRefH22_9x_0)</f>
        <v>282.95</v>
      </c>
      <c r="I86" s="1"/>
      <c r="J86" s="5">
        <f t="shared" ref="J86:J89" si="54">IF(H$12=0,0,H86/H$12)</f>
        <v>3.5617350200058866E-3</v>
      </c>
      <c r="K86" s="1"/>
      <c r="L86" s="1">
        <f t="shared" ref="L86:L89" si="55">+D86-H86</f>
        <v>-76</v>
      </c>
      <c r="M86" s="1"/>
      <c r="N86" s="5">
        <f t="shared" ref="N86:N89" si="56">IF(H86=0,0,L86/H86)</f>
        <v>-0.26859869234847145</v>
      </c>
      <c r="O86" s="14"/>
      <c r="P86" s="1">
        <f>SUM(OSRRefP22_9x_0)</f>
        <v>1262.3499999999999</v>
      </c>
      <c r="Q86" s="1"/>
      <c r="R86" s="5">
        <f t="shared" ref="R86:R89" si="57">IF(P$12=0,0,P86/P$12)</f>
        <v>1.3059020960848487E-3</v>
      </c>
      <c r="S86" s="1"/>
      <c r="T86" s="1">
        <f>SUM(OSRRefT22_9x_0)</f>
        <v>1853.3</v>
      </c>
      <c r="U86" s="1"/>
      <c r="V86" s="5">
        <f t="shared" ref="V86:V89" si="58">IF(T$12=0,0,T86/T$12)</f>
        <v>1.4531759622098033E-3</v>
      </c>
      <c r="W86" s="1"/>
      <c r="X86" s="1">
        <f t="shared" ref="X86:X89" si="59">+P86-T86</f>
        <v>-590.95000000000005</v>
      </c>
      <c r="Y86" s="1"/>
      <c r="Z86" s="5">
        <f t="shared" ref="Z86:Z89" si="60">IF(T86=0,0,X86/T86)</f>
        <v>-0.31886364862677391</v>
      </c>
    </row>
    <row r="87" spans="1:26" s="24" customFormat="1" hidden="1" outlineLevel="2" x14ac:dyDescent="0.3">
      <c r="A87" s="28"/>
      <c r="B87" s="11" t="str">
        <f>CONCATENATE("          ", "6309", " - ", "TELEPHONE")</f>
        <v xml:space="preserve">          6309 - TELEPHONE</v>
      </c>
      <c r="C87" s="11"/>
      <c r="D87" s="6">
        <v>206.95</v>
      </c>
      <c r="E87" s="2"/>
      <c r="F87" s="7">
        <f t="shared" si="53"/>
        <v>1.5496958904341418E-3</v>
      </c>
      <c r="G87" s="2"/>
      <c r="H87" s="6">
        <v>282.95</v>
      </c>
      <c r="I87" s="2"/>
      <c r="J87" s="7">
        <f t="shared" si="54"/>
        <v>3.5617350200058866E-3</v>
      </c>
      <c r="K87" s="2"/>
      <c r="L87" s="6">
        <f t="shared" si="55"/>
        <v>-76</v>
      </c>
      <c r="M87" s="2"/>
      <c r="N87" s="7">
        <f t="shared" si="56"/>
        <v>-0.26859869234847145</v>
      </c>
      <c r="O87" s="11"/>
      <c r="P87" s="6">
        <v>1262.3499999999999</v>
      </c>
      <c r="Q87" s="2"/>
      <c r="R87" s="7">
        <f t="shared" si="57"/>
        <v>1.3059020960848487E-3</v>
      </c>
      <c r="S87" s="2"/>
      <c r="T87" s="6">
        <v>1853.3</v>
      </c>
      <c r="U87" s="2"/>
      <c r="V87" s="7">
        <f t="shared" si="58"/>
        <v>1.4531759622098033E-3</v>
      </c>
      <c r="W87" s="2"/>
      <c r="X87" s="6">
        <f t="shared" si="59"/>
        <v>-590.95000000000005</v>
      </c>
      <c r="Y87" s="2"/>
      <c r="Z87" s="7">
        <f t="shared" si="60"/>
        <v>-0.31886364862677391</v>
      </c>
    </row>
    <row r="88" spans="1:26" s="29" customFormat="1" outlineLevel="1" collapsed="1" x14ac:dyDescent="0.3">
      <c r="A88" s="27"/>
      <c r="B88" s="14" t="str">
        <f>CONCATENATE("     ","Training                                          ")</f>
        <v xml:space="preserve">     Training                                          </v>
      </c>
      <c r="C88" s="14"/>
      <c r="D88" s="1">
        <f>SUM(OSRRefD22_10x_0)</f>
        <v>0</v>
      </c>
      <c r="E88" s="1"/>
      <c r="F88" s="5">
        <f t="shared" si="53"/>
        <v>0</v>
      </c>
      <c r="G88" s="1"/>
      <c r="H88" s="1">
        <f>SUM(OSRRefH22_10x_0)</f>
        <v>0</v>
      </c>
      <c r="I88" s="1"/>
      <c r="J88" s="5">
        <f t="shared" si="54"/>
        <v>0</v>
      </c>
      <c r="K88" s="1"/>
      <c r="L88" s="1">
        <f t="shared" si="55"/>
        <v>0</v>
      </c>
      <c r="M88" s="1"/>
      <c r="N88" s="5">
        <f t="shared" si="56"/>
        <v>0</v>
      </c>
      <c r="O88" s="14"/>
      <c r="P88" s="1">
        <f>SUM(OSRRefP22_10x_0)</f>
        <v>0</v>
      </c>
      <c r="Q88" s="1"/>
      <c r="R88" s="5">
        <f t="shared" si="57"/>
        <v>0</v>
      </c>
      <c r="S88" s="1"/>
      <c r="T88" s="1">
        <f>SUM(OSRRefT22_10x_0)</f>
        <v>100</v>
      </c>
      <c r="U88" s="1"/>
      <c r="V88" s="5">
        <f t="shared" si="58"/>
        <v>7.8410185194507275E-5</v>
      </c>
      <c r="W88" s="1"/>
      <c r="X88" s="1">
        <f t="shared" si="59"/>
        <v>-100</v>
      </c>
      <c r="Y88" s="1"/>
      <c r="Z88" s="5">
        <f t="shared" si="60"/>
        <v>-1</v>
      </c>
    </row>
    <row r="89" spans="1:26" s="24" customFormat="1" hidden="1" outlineLevel="2" x14ac:dyDescent="0.3">
      <c r="A89" s="28"/>
      <c r="B89" s="11" t="str">
        <f>CONCATENATE("          ", "6376", " - ", "TRAINING")</f>
        <v xml:space="preserve">          6376 - TRAINING</v>
      </c>
      <c r="C89" s="11"/>
      <c r="D89" s="6"/>
      <c r="E89" s="2"/>
      <c r="F89" s="7">
        <f t="shared" si="53"/>
        <v>0</v>
      </c>
      <c r="G89" s="2"/>
      <c r="H89" s="6"/>
      <c r="I89" s="2"/>
      <c r="J89" s="7">
        <f t="shared" si="54"/>
        <v>0</v>
      </c>
      <c r="K89" s="2"/>
      <c r="L89" s="6">
        <f t="shared" si="55"/>
        <v>0</v>
      </c>
      <c r="M89" s="2"/>
      <c r="N89" s="7">
        <f t="shared" si="56"/>
        <v>0</v>
      </c>
      <c r="O89" s="11"/>
      <c r="P89" s="6"/>
      <c r="Q89" s="2"/>
      <c r="R89" s="7">
        <f t="shared" si="57"/>
        <v>0</v>
      </c>
      <c r="S89" s="2"/>
      <c r="T89" s="6">
        <v>100</v>
      </c>
      <c r="U89" s="2"/>
      <c r="V89" s="7">
        <f t="shared" si="58"/>
        <v>7.8410185194507275E-5</v>
      </c>
      <c r="W89" s="2"/>
      <c r="X89" s="6">
        <f t="shared" si="59"/>
        <v>-100</v>
      </c>
      <c r="Y89" s="2"/>
      <c r="Z89" s="7">
        <f t="shared" si="60"/>
        <v>-1</v>
      </c>
    </row>
    <row r="90" spans="1:26" s="53" customFormat="1" x14ac:dyDescent="0.3">
      <c r="A90" s="37"/>
      <c r="B90" s="37"/>
      <c r="C90" s="37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7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collapsed="1" x14ac:dyDescent="0.3">
      <c r="A91" s="10"/>
      <c r="B91" s="25" t="s">
        <v>292</v>
      </c>
      <c r="C91" s="10"/>
      <c r="D91" s="4">
        <f>SUM(OSRRefD25x_0)</f>
        <v>879.62</v>
      </c>
      <c r="E91" s="4"/>
      <c r="F91" s="12">
        <f t="shared" ref="F91:F94" si="61">IF(D$12=0,0,D91/D$12)</f>
        <v>6.5868253159878229E-3</v>
      </c>
      <c r="G91" s="4"/>
      <c r="H91" s="4">
        <f>SUM(OSRRefH25x_0)</f>
        <v>-412.00999999999993</v>
      </c>
      <c r="I91" s="4"/>
      <c r="J91" s="12">
        <f t="shared" ref="J91:J94" si="62">IF(H$12=0,0,H91/H$12)</f>
        <v>-5.1863242466606303E-3</v>
      </c>
      <c r="K91" s="4"/>
      <c r="L91" s="4">
        <f t="shared" ref="L91:L94" si="63">+D91-H91</f>
        <v>1291.6299999999999</v>
      </c>
      <c r="M91" s="4"/>
      <c r="N91" s="12">
        <f t="shared" ref="N91:N94" si="64">IF(H91=0,0,L91/H91)</f>
        <v>-3.1349481808693964</v>
      </c>
      <c r="O91" s="10"/>
      <c r="P91" s="4">
        <f>SUM(OSRRefP25x_0)</f>
        <v>2598.0299999999997</v>
      </c>
      <c r="Q91" s="4"/>
      <c r="R91" s="12">
        <f t="shared" ref="R91:R94" si="65">IF(P$12=0,0,P91/P$12)</f>
        <v>2.6876641364845877E-3</v>
      </c>
      <c r="S91" s="4"/>
      <c r="T91" s="4">
        <f>SUM(OSRRefT25x_0)</f>
        <v>343.1</v>
      </c>
      <c r="U91" s="4"/>
      <c r="V91" s="12">
        <f t="shared" ref="V91:V94" si="66">IF(T$12=0,0,T91/T$12)</f>
        <v>2.6902534540235444E-4</v>
      </c>
      <c r="W91" s="4"/>
      <c r="X91" s="4">
        <f t="shared" ref="X91:X94" si="67">+P91-T91</f>
        <v>2254.9299999999998</v>
      </c>
      <c r="Y91" s="4"/>
      <c r="Z91" s="12">
        <f t="shared" ref="Z91:Z94" si="68">IF(T91=0,0,X91/T91)</f>
        <v>6.5722238414456422</v>
      </c>
    </row>
    <row r="92" spans="1:26" s="24" customFormat="1" hidden="1" outlineLevel="1" x14ac:dyDescent="0.3">
      <c r="A92" s="44"/>
      <c r="B92" s="11" t="str">
        <f>CONCATENATE("          ", "4187", " - ", "NON-TAXABLE SALES-COMPUTER REP")</f>
        <v xml:space="preserve">          4187 - NON-TAXABLE SALES-COMPUTER REP</v>
      </c>
      <c r="C92" s="11"/>
      <c r="D92" s="2">
        <f>0</f>
        <v>0</v>
      </c>
      <c r="E92" s="2"/>
      <c r="F92" s="19">
        <f t="shared" si="61"/>
        <v>0</v>
      </c>
      <c r="G92" s="2"/>
      <c r="H92" s="2">
        <f>--471.29</f>
        <v>471.29</v>
      </c>
      <c r="I92" s="2"/>
      <c r="J92" s="19">
        <f t="shared" si="62"/>
        <v>5.9325325943755947E-3</v>
      </c>
      <c r="K92" s="2"/>
      <c r="L92" s="2">
        <f t="shared" si="63"/>
        <v>-471.29</v>
      </c>
      <c r="M92" s="2"/>
      <c r="N92" s="19">
        <f t="shared" si="64"/>
        <v>-1</v>
      </c>
      <c r="O92" s="11"/>
      <c r="P92" s="2">
        <f>0</f>
        <v>0</v>
      </c>
      <c r="Q92" s="2"/>
      <c r="R92" s="19">
        <f t="shared" si="65"/>
        <v>0</v>
      </c>
      <c r="S92" s="2"/>
      <c r="T92" s="2">
        <f>--1034.5</f>
        <v>1034.5</v>
      </c>
      <c r="U92" s="2"/>
      <c r="V92" s="19">
        <f t="shared" si="66"/>
        <v>8.1115336583717772E-4</v>
      </c>
      <c r="W92" s="2"/>
      <c r="X92" s="2">
        <f t="shared" si="67"/>
        <v>-1034.5</v>
      </c>
      <c r="Y92" s="2"/>
      <c r="Z92" s="19">
        <f t="shared" si="68"/>
        <v>-1</v>
      </c>
    </row>
    <row r="93" spans="1:26" s="24" customFormat="1" hidden="1" outlineLevel="1" x14ac:dyDescent="0.3">
      <c r="A93" s="44"/>
      <c r="B93" s="11" t="str">
        <f>CONCATENATE("          ", "9087", " - ", "")</f>
        <v xml:space="preserve">          9087 - </v>
      </c>
      <c r="C93" s="11"/>
      <c r="D93" s="2">
        <f>--730.08</f>
        <v>730.08</v>
      </c>
      <c r="E93" s="2"/>
      <c r="F93" s="19">
        <f t="shared" si="61"/>
        <v>5.4670305662631478E-3</v>
      </c>
      <c r="G93" s="2"/>
      <c r="H93" s="2">
        <f>0</f>
        <v>0</v>
      </c>
      <c r="I93" s="2"/>
      <c r="J93" s="19">
        <f t="shared" si="62"/>
        <v>0</v>
      </c>
      <c r="K93" s="2"/>
      <c r="L93" s="2">
        <f t="shared" si="63"/>
        <v>730.08</v>
      </c>
      <c r="M93" s="2"/>
      <c r="N93" s="19">
        <f t="shared" si="64"/>
        <v>0</v>
      </c>
      <c r="O93" s="11"/>
      <c r="P93" s="2">
        <f>--337.7</f>
        <v>337.7</v>
      </c>
      <c r="Q93" s="2"/>
      <c r="R93" s="19">
        <f t="shared" si="65"/>
        <v>3.4935092315748677E-4</v>
      </c>
      <c r="S93" s="2"/>
      <c r="T93" s="2">
        <f>0</f>
        <v>0</v>
      </c>
      <c r="U93" s="2"/>
      <c r="V93" s="19">
        <f t="shared" si="66"/>
        <v>0</v>
      </c>
      <c r="W93" s="2"/>
      <c r="X93" s="2">
        <f t="shared" si="67"/>
        <v>337.7</v>
      </c>
      <c r="Y93" s="2"/>
      <c r="Z93" s="19">
        <f t="shared" si="68"/>
        <v>0</v>
      </c>
    </row>
    <row r="94" spans="1:26" s="24" customFormat="1" hidden="1" outlineLevel="1" x14ac:dyDescent="0.3">
      <c r="A94" s="44"/>
      <c r="B94" s="11" t="str">
        <f>CONCATENATE("          ", "9150", " - ", "MISC. INCOME")</f>
        <v xml:space="preserve">          9150 - MISC. INCOME</v>
      </c>
      <c r="C94" s="11"/>
      <c r="D94" s="2">
        <f>--149.54</f>
        <v>149.54</v>
      </c>
      <c r="E94" s="2"/>
      <c r="F94" s="19">
        <f t="shared" si="61"/>
        <v>1.1197947497246753E-3</v>
      </c>
      <c r="G94" s="2"/>
      <c r="H94" s="2">
        <f>-883.3</f>
        <v>-883.3</v>
      </c>
      <c r="I94" s="2"/>
      <c r="J94" s="19">
        <f t="shared" si="62"/>
        <v>-1.1118856841036225E-2</v>
      </c>
      <c r="K94" s="2"/>
      <c r="L94" s="2">
        <f t="shared" si="63"/>
        <v>1032.8399999999999</v>
      </c>
      <c r="M94" s="2"/>
      <c r="N94" s="19">
        <f t="shared" si="64"/>
        <v>-1.1692969546020604</v>
      </c>
      <c r="O94" s="11"/>
      <c r="P94" s="2">
        <f>--2260.33</f>
        <v>2260.33</v>
      </c>
      <c r="Q94" s="2"/>
      <c r="R94" s="19">
        <f t="shared" si="65"/>
        <v>2.3383132133271015E-3</v>
      </c>
      <c r="S94" s="2"/>
      <c r="T94" s="2">
        <f>-691.4</f>
        <v>-691.4</v>
      </c>
      <c r="U94" s="2"/>
      <c r="V94" s="19">
        <f t="shared" si="66"/>
        <v>-5.4212802043482322E-4</v>
      </c>
      <c r="W94" s="2"/>
      <c r="X94" s="2">
        <f t="shared" si="67"/>
        <v>2951.73</v>
      </c>
      <c r="Y94" s="2"/>
      <c r="Z94" s="19">
        <f t="shared" si="68"/>
        <v>-4.2692074052646802</v>
      </c>
    </row>
    <row r="95" spans="1:26" x14ac:dyDescent="0.3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3">
      <c r="A96" s="10"/>
      <c r="B96" s="26" t="s">
        <v>276</v>
      </c>
      <c r="C96" s="26"/>
      <c r="D96" s="20">
        <f>+D50-D52+D91</f>
        <v>1962.4199999999864</v>
      </c>
      <c r="E96" s="13"/>
      <c r="F96" s="21">
        <f>IF(D$12=0,0,D96/D$12)</f>
        <v>1.4695115773402984E-2</v>
      </c>
      <c r="G96" s="13"/>
      <c r="H96" s="20">
        <f>+H50-H52+H91</f>
        <v>-9141.1200000000208</v>
      </c>
      <c r="I96" s="13"/>
      <c r="J96" s="21">
        <f>IF(H$12=0,0,H96/H$12)</f>
        <v>-0.11506713986950447</v>
      </c>
      <c r="K96" s="15"/>
      <c r="L96" s="20">
        <f>+D96-H96</f>
        <v>11103.540000000008</v>
      </c>
      <c r="M96" s="15"/>
      <c r="N96" s="21">
        <f>IF(H96=0,0,L96/H96)</f>
        <v>-1.2146804767905883</v>
      </c>
      <c r="O96" s="25"/>
      <c r="P96" s="20">
        <f>+P50-P52+P91</f>
        <v>62347.050000000032</v>
      </c>
      <c r="Q96" s="13"/>
      <c r="R96" s="21">
        <f>IF(P$12=0,0,P96/P$12)</f>
        <v>6.4498073656043819E-2</v>
      </c>
      <c r="S96" s="13"/>
      <c r="T96" s="20">
        <f>+T50-T52+T91</f>
        <v>-20505.649999999841</v>
      </c>
      <c r="U96" s="13"/>
      <c r="V96" s="21">
        <f>IF(T$12=0,0,T96/T$12)</f>
        <v>-1.6078518140337356E-2</v>
      </c>
      <c r="W96" s="15"/>
      <c r="X96" s="20">
        <f>+P96-T96</f>
        <v>82852.699999999866</v>
      </c>
      <c r="Y96" s="15"/>
      <c r="Z96" s="21">
        <f>IF(T96=0,0,X96/T96)</f>
        <v>-4.0404815258233953</v>
      </c>
    </row>
    <row r="97" spans="1:26" x14ac:dyDescent="0.3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3">
      <c r="A98" s="51"/>
      <c r="B98" s="10" t="s">
        <v>127</v>
      </c>
      <c r="C98" s="10"/>
      <c r="D98" s="4">
        <v>17123.53</v>
      </c>
      <c r="E98" s="4"/>
      <c r="F98" s="12">
        <f>IF(D$12=0,0,D98/D$12)</f>
        <v>0.12822548475827852</v>
      </c>
      <c r="G98" s="4"/>
      <c r="H98" s="4">
        <v>45936.74</v>
      </c>
      <c r="I98" s="4"/>
      <c r="J98" s="12">
        <f>IF(H$12=0,0,H98/H$12)</f>
        <v>0.5782452573348833</v>
      </c>
      <c r="K98" s="4"/>
      <c r="L98" s="4">
        <f>+D98-H98</f>
        <v>-28813.21</v>
      </c>
      <c r="M98" s="4"/>
      <c r="N98" s="12">
        <f>IF(H98=0,0,L98/H98)</f>
        <v>-0.62723671727684638</v>
      </c>
      <c r="O98" s="10"/>
      <c r="P98" s="4">
        <v>116356.41</v>
      </c>
      <c r="Q98" s="4"/>
      <c r="R98" s="12">
        <f>IF(P$12=0,0,P98/P$12)</f>
        <v>0.12037080026292872</v>
      </c>
      <c r="S98" s="4"/>
      <c r="T98" s="4">
        <v>235965.74</v>
      </c>
      <c r="U98" s="4"/>
      <c r="V98" s="12">
        <f>IF(T$12=0,0,T98/T$12)</f>
        <v>0.18502117372958951</v>
      </c>
      <c r="W98" s="4"/>
      <c r="X98" s="4">
        <f>+P98-T98</f>
        <v>-119609.32999999999</v>
      </c>
      <c r="Y98" s="4"/>
      <c r="Z98" s="12">
        <f>IF(T98=0,0,X98/T98)</f>
        <v>-0.50689278028242568</v>
      </c>
    </row>
    <row r="99" spans="1:26" x14ac:dyDescent="0.3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" thickBot="1" x14ac:dyDescent="0.35">
      <c r="A100" s="10"/>
      <c r="B100" s="26" t="s">
        <v>125</v>
      </c>
      <c r="C100" s="26"/>
      <c r="D100" s="32">
        <f>+D96-D98</f>
        <v>-15161.110000000011</v>
      </c>
      <c r="E100" s="13"/>
      <c r="F100" s="35">
        <f>IF(D$12=0,0,D100/D$12)</f>
        <v>-0.11353036898487553</v>
      </c>
      <c r="G100" s="13"/>
      <c r="H100" s="32">
        <f>+H96-H98</f>
        <v>-55077.860000000015</v>
      </c>
      <c r="I100" s="13"/>
      <c r="J100" s="35">
        <f>IF(H$12=0,0,H100/H$12)</f>
        <v>-0.69331239720438764</v>
      </c>
      <c r="K100" s="15"/>
      <c r="L100" s="32">
        <f>D100-H100</f>
        <v>39916.75</v>
      </c>
      <c r="M100" s="15"/>
      <c r="N100" s="35">
        <f>IF(H100=0,0,L100/H100)</f>
        <v>-0.72473313233302794</v>
      </c>
      <c r="O100" s="25"/>
      <c r="P100" s="32">
        <f>+P96-P98</f>
        <v>-54009.359999999971</v>
      </c>
      <c r="Q100" s="13"/>
      <c r="R100" s="35">
        <f>IF(P$12=0,0,P100/P$12)</f>
        <v>-5.5872726606884901E-2</v>
      </c>
      <c r="S100" s="13"/>
      <c r="T100" s="32">
        <f>+T96-T98</f>
        <v>-256471.38999999984</v>
      </c>
      <c r="U100" s="13"/>
      <c r="V100" s="35">
        <f>IF(T$12=0,0,T100/T$12)</f>
        <v>-0.20109969186992688</v>
      </c>
      <c r="W100" s="15"/>
      <c r="X100" s="32">
        <f>P100-T100</f>
        <v>202462.02999999985</v>
      </c>
      <c r="Y100" s="15"/>
      <c r="Z100" s="35">
        <f>IF(T100=0,0,X100/T100)</f>
        <v>-0.78941370419523205</v>
      </c>
    </row>
    <row r="101" spans="1:26" ht="15" thickTop="1" x14ac:dyDescent="0.3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3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" thickBot="1" x14ac:dyDescent="0.35">
      <c r="A103" s="10"/>
      <c r="B103" s="26" t="s">
        <v>293</v>
      </c>
      <c r="C103" s="26"/>
      <c r="D103" s="31">
        <f>SUM(D100:D102)</f>
        <v>-15161.110000000011</v>
      </c>
      <c r="E103" s="13"/>
      <c r="F103" s="33">
        <f>IF(D$12=0,0,D103/D$12)</f>
        <v>-0.11353036898487553</v>
      </c>
      <c r="G103" s="13"/>
      <c r="H103" s="31">
        <f>SUM(H100:H102)</f>
        <v>-55077.860000000015</v>
      </c>
      <c r="I103" s="13"/>
      <c r="J103" s="33">
        <f>IF(H$12=0,0,H103/H$12)</f>
        <v>-0.69331239720438764</v>
      </c>
      <c r="K103" s="15"/>
      <c r="L103" s="31">
        <f>+D103-H103</f>
        <v>39916.75</v>
      </c>
      <c r="M103" s="15"/>
      <c r="N103" s="33">
        <f>IF(H103=0,0,L103/H103)</f>
        <v>-0.72473313233302794</v>
      </c>
      <c r="O103" s="25"/>
      <c r="P103" s="31">
        <f>SUM(P100:P102)</f>
        <v>-54009.359999999971</v>
      </c>
      <c r="Q103" s="13"/>
      <c r="R103" s="33">
        <f>IF(P$12=0,0,P103/P$12)</f>
        <v>-5.5872726606884901E-2</v>
      </c>
      <c r="S103" s="13"/>
      <c r="T103" s="31">
        <f>SUM(T100:T102)</f>
        <v>-256471.38999999984</v>
      </c>
      <c r="U103" s="13"/>
      <c r="V103" s="33">
        <f>IF(T$12=0,0,T103/T$12)</f>
        <v>-0.20109969186992688</v>
      </c>
      <c r="W103" s="15"/>
      <c r="X103" s="31">
        <f>+P103-T103</f>
        <v>202462.02999999985</v>
      </c>
      <c r="Y103" s="15"/>
      <c r="Z103" s="33">
        <f>IF(T103=0,0,X103/T103)</f>
        <v>-0.78941370419523205</v>
      </c>
    </row>
    <row r="104" spans="1:26" ht="15" thickTop="1" x14ac:dyDescent="0.3">
      <c r="A104" s="9"/>
      <c r="C104" s="9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3">
      <c r="A105" s="9"/>
      <c r="B105" s="60">
        <v>44575.854680405093</v>
      </c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3">
      <c r="A106" s="9"/>
      <c r="B106" s="57" t="s">
        <v>56</v>
      </c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3">
      <c r="A107" s="9"/>
      <c r="B107" s="59"/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3"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outlinePr summaryBelow="0" summaryRight="0"/>
  </sheetPr>
  <dimension ref="A2:Z9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198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12478.220000000001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21" si="0">+D12-H12</f>
        <v>12478.220000000001</v>
      </c>
      <c r="M12" s="4"/>
      <c r="N12" s="12">
        <f t="shared" ref="N12:N21" si="1">IF(H12=0,0,L12/H12)</f>
        <v>0</v>
      </c>
      <c r="O12" s="10"/>
      <c r="P12" s="4">
        <f>SUM(OSRRefP13x_0)</f>
        <v>76407.5</v>
      </c>
      <c r="Q12" s="4"/>
      <c r="R12" s="12"/>
      <c r="S12" s="4"/>
      <c r="T12" s="4">
        <f>SUM(OSRRefT13x_0)</f>
        <v>2586.4700000000003</v>
      </c>
      <c r="U12" s="4"/>
      <c r="V12" s="12"/>
      <c r="W12" s="4"/>
      <c r="X12" s="4">
        <f t="shared" ref="X12:X21" si="2">+P12-T12</f>
        <v>73821.03</v>
      </c>
      <c r="Y12" s="4"/>
      <c r="Z12" s="12">
        <f t="shared" ref="Z12:Z21" si="3">IF(T12=0,0,X12/T12)</f>
        <v>28.541228005737548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--2128.3</f>
        <v>2128.3000000000002</v>
      </c>
      <c r="E13" s="2"/>
      <c r="F13" s="19"/>
      <c r="G13" s="2"/>
      <c r="H13" s="2">
        <f t="shared" ref="H13:H21" si="4">0</f>
        <v>0</v>
      </c>
      <c r="I13" s="2"/>
      <c r="J13" s="19"/>
      <c r="K13" s="2"/>
      <c r="L13" s="2">
        <f t="shared" si="0"/>
        <v>2128.3000000000002</v>
      </c>
      <c r="M13" s="2"/>
      <c r="N13" s="19">
        <f t="shared" si="1"/>
        <v>0</v>
      </c>
      <c r="O13" s="11"/>
      <c r="P13" s="2">
        <f>--12750.65</f>
        <v>12750.65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12750.65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ref="D14:D15" si="5"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15" si="6">0</f>
        <v>0</v>
      </c>
      <c r="Q14" s="2"/>
      <c r="R14" s="19"/>
      <c r="S14" s="2"/>
      <c r="T14" s="2">
        <f>--444.59</f>
        <v>444.59</v>
      </c>
      <c r="U14" s="2"/>
      <c r="V14" s="19"/>
      <c r="W14" s="2"/>
      <c r="X14" s="2">
        <f t="shared" si="2"/>
        <v>-444.59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5"/>
        <v>0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 t="shared" ref="T15:T17" si="7">0</f>
        <v>0</v>
      </c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--70.75</f>
        <v>70.75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70.75</v>
      </c>
      <c r="M16" s="2"/>
      <c r="N16" s="19">
        <f t="shared" si="1"/>
        <v>0</v>
      </c>
      <c r="O16" s="11"/>
      <c r="P16" s="2">
        <f>--698.72</f>
        <v>698.72</v>
      </c>
      <c r="Q16" s="2"/>
      <c r="R16" s="19"/>
      <c r="S16" s="2"/>
      <c r="T16" s="2">
        <f t="shared" si="7"/>
        <v>0</v>
      </c>
      <c r="U16" s="2"/>
      <c r="V16" s="19"/>
      <c r="W16" s="2"/>
      <c r="X16" s="2">
        <f t="shared" si="2"/>
        <v>698.72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--10279.17</f>
        <v>10279.17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10279.17</v>
      </c>
      <c r="M17" s="2"/>
      <c r="N17" s="19">
        <f t="shared" si="1"/>
        <v>0</v>
      </c>
      <c r="O17" s="11"/>
      <c r="P17" s="2">
        <f>--62958.13</f>
        <v>62958.13</v>
      </c>
      <c r="Q17" s="2"/>
      <c r="R17" s="19"/>
      <c r="S17" s="2"/>
      <c r="T17" s="2">
        <f t="shared" si="7"/>
        <v>0</v>
      </c>
      <c r="U17" s="2"/>
      <c r="V17" s="19"/>
      <c r="W17" s="2"/>
      <c r="X17" s="2">
        <f t="shared" si="2"/>
        <v>62958.13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"4132", " - ", "NON-TAXABLE SALES-JUICE")</f>
        <v xml:space="preserve">          4132 - NON-TAXABLE SALES-JUICE</v>
      </c>
      <c r="C18" s="11"/>
      <c r="D18" s="2">
        <f t="shared" ref="D18:D21" si="8">0</f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ref="P18:P21" si="9">0</f>
        <v>0</v>
      </c>
      <c r="Q18" s="2"/>
      <c r="R18" s="19"/>
      <c r="S18" s="2"/>
      <c r="T18" s="2">
        <f>--2031.88</f>
        <v>2031.88</v>
      </c>
      <c r="U18" s="2"/>
      <c r="V18" s="19"/>
      <c r="W18" s="2"/>
      <c r="X18" s="2">
        <f t="shared" si="2"/>
        <v>-2031.88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"4134", " - ", "NON-TAXABLE SALES-SODA")</f>
        <v xml:space="preserve">          4134 - NON-TAXABLE SALES-SODA</v>
      </c>
      <c r="C19" s="11"/>
      <c r="D19" s="2">
        <f t="shared" si="8"/>
        <v>0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9"/>
        <v>0</v>
      </c>
      <c r="Q19" s="2"/>
      <c r="R19" s="19"/>
      <c r="S19" s="2"/>
      <c r="T19" s="2">
        <f t="shared" ref="T19:T20" si="10">0</f>
        <v>0</v>
      </c>
      <c r="U19" s="2"/>
      <c r="V19" s="19"/>
      <c r="W19" s="2"/>
      <c r="X19" s="2">
        <f t="shared" si="2"/>
        <v>0</v>
      </c>
      <c r="Y19" s="2"/>
      <c r="Z19" s="19">
        <f t="shared" si="3"/>
        <v>0</v>
      </c>
    </row>
    <row r="20" spans="1:26" s="24" customFormat="1" hidden="1" outlineLevel="1" x14ac:dyDescent="0.3">
      <c r="A20" s="44"/>
      <c r="B20" s="11" t="str">
        <f>CONCATENATE("          ", "4137", " - ", "NON-TAXABLE SALES-WATER")</f>
        <v xml:space="preserve">          4137 - NON-TAXABLE SALES-WATER</v>
      </c>
      <c r="C20" s="11"/>
      <c r="D20" s="2">
        <f t="shared" si="8"/>
        <v>0</v>
      </c>
      <c r="E20" s="2"/>
      <c r="F20" s="19"/>
      <c r="G20" s="2"/>
      <c r="H20" s="2">
        <f t="shared" si="4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si="9"/>
        <v>0</v>
      </c>
      <c r="Q20" s="2"/>
      <c r="R20" s="19"/>
      <c r="S20" s="2"/>
      <c r="T20" s="2">
        <f t="shared" si="10"/>
        <v>0</v>
      </c>
      <c r="U20" s="2"/>
      <c r="V20" s="19"/>
      <c r="W20" s="2"/>
      <c r="X20" s="2">
        <f t="shared" si="2"/>
        <v>0</v>
      </c>
      <c r="Y20" s="2"/>
      <c r="Z20" s="19">
        <f t="shared" si="3"/>
        <v>0</v>
      </c>
    </row>
    <row r="21" spans="1:26" s="24" customFormat="1" hidden="1" outlineLevel="1" x14ac:dyDescent="0.3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 t="shared" si="8"/>
        <v>0</v>
      </c>
      <c r="E21" s="2"/>
      <c r="F21" s="19"/>
      <c r="G21" s="2"/>
      <c r="H21" s="2">
        <f t="shared" si="4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si="9"/>
        <v>0</v>
      </c>
      <c r="Q21" s="2"/>
      <c r="R21" s="19"/>
      <c r="S21" s="2"/>
      <c r="T21" s="2">
        <f>--110</f>
        <v>110</v>
      </c>
      <c r="U21" s="2"/>
      <c r="V21" s="19"/>
      <c r="W21" s="2"/>
      <c r="X21" s="2">
        <f t="shared" si="2"/>
        <v>-110</v>
      </c>
      <c r="Y21" s="2"/>
      <c r="Z21" s="19">
        <f t="shared" si="3"/>
        <v>-1</v>
      </c>
    </row>
    <row r="22" spans="1:26" x14ac:dyDescent="0.3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3">
      <c r="A23" s="10"/>
      <c r="B23" s="25" t="s">
        <v>256</v>
      </c>
      <c r="C23" s="10"/>
      <c r="D23" s="4">
        <f>SUM(OSRRefD16x_0)</f>
        <v>7724.2900000000009</v>
      </c>
      <c r="E23" s="4"/>
      <c r="F23" s="12">
        <f t="shared" ref="F23:F25" si="11">IF(D$12=0,0,D23/D$12)</f>
        <v>0.61902178355566739</v>
      </c>
      <c r="G23" s="4"/>
      <c r="H23" s="4">
        <f>SUM(OSRRefH16x_0)</f>
        <v>290.37</v>
      </c>
      <c r="I23" s="4"/>
      <c r="J23" s="12">
        <f t="shared" ref="J23:J25" si="12">IF(H$12=0,0,H23/H$12)</f>
        <v>0</v>
      </c>
      <c r="K23" s="4"/>
      <c r="L23" s="4">
        <f t="shared" ref="L23:L25" si="13">+D23-H23</f>
        <v>7433.920000000001</v>
      </c>
      <c r="M23" s="4"/>
      <c r="N23" s="12">
        <f t="shared" ref="N23:N25" si="14">IF(H23=0,0,L23/H23)</f>
        <v>25.601542859110793</v>
      </c>
      <c r="O23" s="10"/>
      <c r="P23" s="4">
        <f>SUM(OSRRefP16x_0)</f>
        <v>46457.310000000005</v>
      </c>
      <c r="Q23" s="4"/>
      <c r="R23" s="12">
        <f t="shared" ref="R23:R25" si="15">IF(P$12=0,0,P23/P$12)</f>
        <v>0.60802028596669178</v>
      </c>
      <c r="S23" s="4"/>
      <c r="T23" s="4">
        <f>SUM(OSRRefT16x_0)</f>
        <v>9132.7099999999991</v>
      </c>
      <c r="U23" s="4"/>
      <c r="V23" s="12">
        <f t="shared" ref="V23:V25" si="16">IF(T$12=0,0,T23/T$12)</f>
        <v>3.5309553174790342</v>
      </c>
      <c r="W23" s="4"/>
      <c r="X23" s="4">
        <f t="shared" ref="X23:X25" si="17">+P23-T23</f>
        <v>37324.600000000006</v>
      </c>
      <c r="Y23" s="4"/>
      <c r="Z23" s="12">
        <f t="shared" ref="Z23:Z25" si="18">IF(T23=0,0,X23/T23)</f>
        <v>4.0869139609163119</v>
      </c>
    </row>
    <row r="24" spans="1:26" s="24" customFormat="1" hidden="1" outlineLevel="1" x14ac:dyDescent="0.3">
      <c r="A24" s="44"/>
      <c r="B24" s="11" t="str">
        <f>CONCATENATE("          ", "5053", " - ", "PURCHASES @ COST-FOOD")</f>
        <v xml:space="preserve">          5053 - PURCHASES @ COST-FOOD</v>
      </c>
      <c r="C24" s="11"/>
      <c r="D24" s="2">
        <v>1757.73</v>
      </c>
      <c r="E24" s="2"/>
      <c r="F24" s="19">
        <f t="shared" si="11"/>
        <v>0.14086384115683165</v>
      </c>
      <c r="G24" s="2"/>
      <c r="H24" s="2">
        <v>290.37</v>
      </c>
      <c r="I24" s="2"/>
      <c r="J24" s="19">
        <f t="shared" si="12"/>
        <v>0</v>
      </c>
      <c r="K24" s="2"/>
      <c r="L24" s="2">
        <f t="shared" si="13"/>
        <v>1467.3600000000001</v>
      </c>
      <c r="M24" s="2"/>
      <c r="N24" s="19">
        <f t="shared" si="14"/>
        <v>5.0534146089472056</v>
      </c>
      <c r="O24" s="11"/>
      <c r="P24" s="2">
        <v>41699.19</v>
      </c>
      <c r="Q24" s="2"/>
      <c r="R24" s="19">
        <f t="shared" si="15"/>
        <v>0.54574734155678439</v>
      </c>
      <c r="S24" s="2"/>
      <c r="T24" s="2">
        <v>-2565.1999999999998</v>
      </c>
      <c r="U24" s="2"/>
      <c r="V24" s="19">
        <f t="shared" si="16"/>
        <v>-0.99177643661051529</v>
      </c>
      <c r="W24" s="2"/>
      <c r="X24" s="2">
        <f t="shared" si="17"/>
        <v>44264.39</v>
      </c>
      <c r="Y24" s="2"/>
      <c r="Z24" s="19">
        <f t="shared" si="18"/>
        <v>-17.25572664899423</v>
      </c>
    </row>
    <row r="25" spans="1:26" s="24" customFormat="1" hidden="1" outlineLevel="1" x14ac:dyDescent="0.3">
      <c r="A25" s="44"/>
      <c r="B25" s="11" t="str">
        <f>CONCATENATE("          ", "5059", " - ", "PURCHASES @ COST-FOOD")</f>
        <v xml:space="preserve">          5059 - PURCHASES @ COST-FOOD</v>
      </c>
      <c r="C25" s="11"/>
      <c r="D25" s="2">
        <v>5966.56</v>
      </c>
      <c r="E25" s="2"/>
      <c r="F25" s="19">
        <f t="shared" si="11"/>
        <v>0.47815794239883574</v>
      </c>
      <c r="G25" s="2"/>
      <c r="H25" s="2"/>
      <c r="I25" s="2"/>
      <c r="J25" s="19">
        <f t="shared" si="12"/>
        <v>0</v>
      </c>
      <c r="K25" s="2"/>
      <c r="L25" s="2">
        <f t="shared" si="13"/>
        <v>5966.56</v>
      </c>
      <c r="M25" s="2"/>
      <c r="N25" s="19">
        <f t="shared" si="14"/>
        <v>0</v>
      </c>
      <c r="O25" s="11"/>
      <c r="P25" s="2">
        <v>4758.12</v>
      </c>
      <c r="Q25" s="2"/>
      <c r="R25" s="19">
        <f t="shared" si="15"/>
        <v>6.2272944409907403E-2</v>
      </c>
      <c r="S25" s="2"/>
      <c r="T25" s="2">
        <v>11697.91</v>
      </c>
      <c r="U25" s="2"/>
      <c r="V25" s="19">
        <f t="shared" si="16"/>
        <v>4.5227317540895502</v>
      </c>
      <c r="W25" s="2"/>
      <c r="X25" s="2">
        <f t="shared" si="17"/>
        <v>-6939.79</v>
      </c>
      <c r="Y25" s="2"/>
      <c r="Z25" s="19">
        <f t="shared" si="18"/>
        <v>-0.59325041823710389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107</v>
      </c>
      <c r="C27" s="26"/>
      <c r="D27" s="20">
        <f>D12-D23</f>
        <v>4753.93</v>
      </c>
      <c r="E27" s="13"/>
      <c r="F27" s="21">
        <f>IF(D$12=0,0,D27/D$12)</f>
        <v>0.38097821644433261</v>
      </c>
      <c r="G27" s="13"/>
      <c r="H27" s="20">
        <f>H12-H23</f>
        <v>-290.37</v>
      </c>
      <c r="I27" s="13"/>
      <c r="J27" s="21">
        <f>IF(H$12=0,0,H27/H$12)</f>
        <v>0</v>
      </c>
      <c r="K27" s="15"/>
      <c r="L27" s="20">
        <f>+D27-H27</f>
        <v>5044.3</v>
      </c>
      <c r="M27" s="15"/>
      <c r="N27" s="21">
        <f>IF(H27=0,0,L27/H27)</f>
        <v>-17.371973688741949</v>
      </c>
      <c r="O27" s="25"/>
      <c r="P27" s="20">
        <f>P12-P23</f>
        <v>29950.189999999995</v>
      </c>
      <c r="Q27" s="13"/>
      <c r="R27" s="21">
        <f>IF(P$12=0,0,P27/P$12)</f>
        <v>0.39197971403330817</v>
      </c>
      <c r="S27" s="13"/>
      <c r="T27" s="20">
        <f>T12-T23</f>
        <v>-6546.2399999999989</v>
      </c>
      <c r="U27" s="13"/>
      <c r="V27" s="21">
        <f>IF(T$12=0,0,T27/T$12)</f>
        <v>-2.5309553174790342</v>
      </c>
      <c r="W27" s="15"/>
      <c r="X27" s="20">
        <f>+P27-T27</f>
        <v>36496.429999999993</v>
      </c>
      <c r="Y27" s="15"/>
      <c r="Z27" s="21">
        <f>IF(T27=0,0,X27/T27)</f>
        <v>-5.5751744512880679</v>
      </c>
    </row>
    <row r="28" spans="1:26" x14ac:dyDescent="0.3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3">
      <c r="A29" s="10"/>
      <c r="B29" s="25" t="s">
        <v>294</v>
      </c>
      <c r="C29" s="10"/>
      <c r="D29" s="22">
        <f>SUM(OSRRefD22x_0)</f>
        <v>21756.42</v>
      </c>
      <c r="E29" s="22"/>
      <c r="F29" s="34">
        <f t="shared" ref="F29:F38" si="19">IF(D$12=0,0,D29/D$12)</f>
        <v>1.743551564245541</v>
      </c>
      <c r="G29" s="22"/>
      <c r="H29" s="22">
        <f>SUM(OSRRefH22x_0)</f>
        <v>20431.13</v>
      </c>
      <c r="I29" s="22"/>
      <c r="J29" s="34">
        <f t="shared" ref="J29:J38" si="20">IF(H$12=0,0,H29/H$12)</f>
        <v>0</v>
      </c>
      <c r="K29" s="4"/>
      <c r="L29" s="22">
        <f t="shared" ref="L29:L38" si="21">+D29-H29</f>
        <v>1325.2899999999972</v>
      </c>
      <c r="M29" s="4"/>
      <c r="N29" s="34">
        <f t="shared" ref="N29:N38" si="22">IF(H29=0,0,L29/H29)</f>
        <v>6.48662115115511E-2</v>
      </c>
      <c r="O29" s="10"/>
      <c r="P29" s="22">
        <f>SUM(OSRRefP22x_0)</f>
        <v>117853.35000000002</v>
      </c>
      <c r="Q29" s="22"/>
      <c r="R29" s="34">
        <f t="shared" ref="R29:R38" si="23">IF(P$12=0,0,P29/P$12)</f>
        <v>1.5424316984589213</v>
      </c>
      <c r="S29" s="22"/>
      <c r="T29" s="22">
        <f>SUM(OSRRefT22x_0)</f>
        <v>172010.90000000002</v>
      </c>
      <c r="U29" s="22"/>
      <c r="V29" s="34">
        <f t="shared" ref="V29:V38" si="24">IF(T$12=0,0,T29/T$12)</f>
        <v>66.504115647968078</v>
      </c>
      <c r="W29" s="4"/>
      <c r="X29" s="22">
        <f t="shared" ref="X29:X38" si="25">+P29-T29</f>
        <v>-54157.55</v>
      </c>
      <c r="Y29" s="4"/>
      <c r="Z29" s="34">
        <f t="shared" ref="Z29:Z38" si="26">IF(T29=0,0,X29/T29)</f>
        <v>-0.31484952407085826</v>
      </c>
    </row>
    <row r="30" spans="1:26" s="29" customFormat="1" outlineLevel="1" collapsed="1" x14ac:dyDescent="0.3">
      <c r="A30" s="27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1171.79</v>
      </c>
      <c r="E30" s="1"/>
      <c r="F30" s="5">
        <f t="shared" si="19"/>
        <v>9.390682324882875E-2</v>
      </c>
      <c r="G30" s="1"/>
      <c r="H30" s="1">
        <f>SUM(OSRRefH22_0x_0)</f>
        <v>2627.39</v>
      </c>
      <c r="I30" s="1"/>
      <c r="J30" s="5">
        <f t="shared" si="20"/>
        <v>0</v>
      </c>
      <c r="K30" s="1"/>
      <c r="L30" s="1">
        <f t="shared" si="21"/>
        <v>-1455.6</v>
      </c>
      <c r="M30" s="1"/>
      <c r="N30" s="5">
        <f t="shared" si="22"/>
        <v>-0.55400987291570725</v>
      </c>
      <c r="O30" s="14"/>
      <c r="P30" s="1">
        <f>SUM(OSRRefP22_0x_0)</f>
        <v>2751.22</v>
      </c>
      <c r="Q30" s="1"/>
      <c r="R30" s="5">
        <f t="shared" si="23"/>
        <v>3.6007198246245459E-2</v>
      </c>
      <c r="S30" s="1"/>
      <c r="T30" s="1">
        <f>SUM(OSRRefT22_0x_0)</f>
        <v>35025.26</v>
      </c>
      <c r="U30" s="1"/>
      <c r="V30" s="5">
        <f t="shared" si="24"/>
        <v>13.541722888724786</v>
      </c>
      <c r="W30" s="1"/>
      <c r="X30" s="1">
        <f t="shared" si="25"/>
        <v>-32274.04</v>
      </c>
      <c r="Y30" s="1"/>
      <c r="Z30" s="5">
        <f t="shared" si="26"/>
        <v>-0.92145040465081485</v>
      </c>
    </row>
    <row r="31" spans="1:26" s="24" customFormat="1" hidden="1" outlineLevel="2" x14ac:dyDescent="0.3">
      <c r="A31" s="28"/>
      <c r="B31" s="11" t="str">
        <f>CONCATENATE("          ", "6111", " - ", "F.I.C.A.")</f>
        <v xml:space="preserve">          6111 - F.I.C.A.</v>
      </c>
      <c r="C31" s="11"/>
      <c r="D31" s="6">
        <v>445.21</v>
      </c>
      <c r="E31" s="2"/>
      <c r="F31" s="7">
        <f t="shared" si="19"/>
        <v>3.5678967032156825E-2</v>
      </c>
      <c r="G31" s="2"/>
      <c r="H31" s="6"/>
      <c r="I31" s="2"/>
      <c r="J31" s="7">
        <f t="shared" si="20"/>
        <v>0</v>
      </c>
      <c r="K31" s="2"/>
      <c r="L31" s="6">
        <f t="shared" si="21"/>
        <v>445.21</v>
      </c>
      <c r="M31" s="2"/>
      <c r="N31" s="7">
        <f t="shared" si="22"/>
        <v>0</v>
      </c>
      <c r="O31" s="11"/>
      <c r="P31" s="6">
        <v>1346.33</v>
      </c>
      <c r="Q31" s="2"/>
      <c r="R31" s="7">
        <f t="shared" si="23"/>
        <v>1.7620390668455322E-2</v>
      </c>
      <c r="S31" s="2"/>
      <c r="T31" s="6">
        <v>3909.68</v>
      </c>
      <c r="U31" s="2"/>
      <c r="V31" s="7">
        <f t="shared" si="24"/>
        <v>1.5115891543300326</v>
      </c>
      <c r="W31" s="2"/>
      <c r="X31" s="6">
        <f t="shared" si="25"/>
        <v>-2563.35</v>
      </c>
      <c r="Y31" s="2"/>
      <c r="Z31" s="7">
        <f t="shared" si="26"/>
        <v>-0.65564189396574657</v>
      </c>
    </row>
    <row r="32" spans="1:26" s="24" customFormat="1" hidden="1" outlineLevel="2" x14ac:dyDescent="0.3">
      <c r="A32" s="28"/>
      <c r="B32" s="11" t="str">
        <f>CONCATENATE("          ", "6112", " - ", "COMPENSATION INSURANCE")</f>
        <v xml:space="preserve">          6112 - COMPENSATION INSURANCE</v>
      </c>
      <c r="C32" s="11"/>
      <c r="D32" s="6">
        <v>107.83</v>
      </c>
      <c r="E32" s="2"/>
      <c r="F32" s="7">
        <f t="shared" si="19"/>
        <v>8.6414568744580551E-3</v>
      </c>
      <c r="G32" s="2"/>
      <c r="H32" s="6"/>
      <c r="I32" s="2"/>
      <c r="J32" s="7">
        <f t="shared" si="20"/>
        <v>0</v>
      </c>
      <c r="K32" s="2"/>
      <c r="L32" s="6">
        <f t="shared" si="21"/>
        <v>107.83</v>
      </c>
      <c r="M32" s="2"/>
      <c r="N32" s="7">
        <f t="shared" si="22"/>
        <v>0</v>
      </c>
      <c r="O32" s="11"/>
      <c r="P32" s="6">
        <v>417.62</v>
      </c>
      <c r="Q32" s="2"/>
      <c r="R32" s="7">
        <f t="shared" si="23"/>
        <v>5.4656938127801589E-3</v>
      </c>
      <c r="S32" s="2"/>
      <c r="T32" s="6">
        <v>830.67</v>
      </c>
      <c r="U32" s="2"/>
      <c r="V32" s="7">
        <f t="shared" si="24"/>
        <v>0.32115972735040416</v>
      </c>
      <c r="W32" s="2"/>
      <c r="X32" s="6">
        <f t="shared" si="25"/>
        <v>-413.04999999999995</v>
      </c>
      <c r="Y32" s="2"/>
      <c r="Z32" s="7">
        <f t="shared" si="26"/>
        <v>-0.49724920847027093</v>
      </c>
    </row>
    <row r="33" spans="1:26" s="24" customFormat="1" hidden="1" outlineLevel="2" x14ac:dyDescent="0.3">
      <c r="A33" s="28"/>
      <c r="B33" s="11" t="str">
        <f>CONCATENATE("          ", "6113", " - ", "GROUP INSURANCE")</f>
        <v xml:space="preserve">          6113 - GROUP INSURANCE</v>
      </c>
      <c r="C33" s="11"/>
      <c r="D33" s="6">
        <v>33.81</v>
      </c>
      <c r="E33" s="2"/>
      <c r="F33" s="7">
        <f t="shared" si="19"/>
        <v>2.7095210695115167E-3</v>
      </c>
      <c r="G33" s="2"/>
      <c r="H33" s="6">
        <v>2627.39</v>
      </c>
      <c r="I33" s="2"/>
      <c r="J33" s="7">
        <f t="shared" si="20"/>
        <v>0</v>
      </c>
      <c r="K33" s="2"/>
      <c r="L33" s="6">
        <f t="shared" si="21"/>
        <v>-2593.58</v>
      </c>
      <c r="M33" s="2"/>
      <c r="N33" s="7">
        <f t="shared" si="22"/>
        <v>-0.9871317162659522</v>
      </c>
      <c r="O33" s="11"/>
      <c r="P33" s="6">
        <v>33.81</v>
      </c>
      <c r="Q33" s="2"/>
      <c r="R33" s="7">
        <f t="shared" si="23"/>
        <v>4.4249582828910776E-4</v>
      </c>
      <c r="S33" s="2"/>
      <c r="T33" s="6">
        <v>18067.72</v>
      </c>
      <c r="U33" s="2"/>
      <c r="V33" s="7">
        <f t="shared" si="24"/>
        <v>6.9854744110699132</v>
      </c>
      <c r="W33" s="2"/>
      <c r="X33" s="6">
        <f t="shared" si="25"/>
        <v>-18033.91</v>
      </c>
      <c r="Y33" s="2"/>
      <c r="Z33" s="7">
        <f t="shared" si="26"/>
        <v>-0.9981287068871999</v>
      </c>
    </row>
    <row r="34" spans="1:26" s="24" customFormat="1" hidden="1" outlineLevel="2" x14ac:dyDescent="0.3">
      <c r="A34" s="28"/>
      <c r="B34" s="11" t="str">
        <f>CONCATENATE("          ", "6114", " - ", "STATE UNEMPLOYMENT INSURANCE")</f>
        <v xml:space="preserve">          6114 - STATE UNEMPLOYMENT INSURANCE</v>
      </c>
      <c r="C34" s="11"/>
      <c r="D34" s="6">
        <v>18.95</v>
      </c>
      <c r="E34" s="2"/>
      <c r="F34" s="7">
        <f t="shared" si="19"/>
        <v>1.5186460889453782E-3</v>
      </c>
      <c r="G34" s="2"/>
      <c r="H34" s="6"/>
      <c r="I34" s="2"/>
      <c r="J34" s="7">
        <f t="shared" si="20"/>
        <v>0</v>
      </c>
      <c r="K34" s="2"/>
      <c r="L34" s="6">
        <f t="shared" si="21"/>
        <v>18.95</v>
      </c>
      <c r="M34" s="2"/>
      <c r="N34" s="7">
        <f t="shared" si="22"/>
        <v>0</v>
      </c>
      <c r="O34" s="11"/>
      <c r="P34" s="6">
        <v>69.98</v>
      </c>
      <c r="Q34" s="2"/>
      <c r="R34" s="7">
        <f t="shared" si="23"/>
        <v>9.1587867683146291E-4</v>
      </c>
      <c r="S34" s="2"/>
      <c r="T34" s="6">
        <v>132.15</v>
      </c>
      <c r="U34" s="2"/>
      <c r="V34" s="7">
        <f t="shared" si="24"/>
        <v>5.1092802158927031E-2</v>
      </c>
      <c r="W34" s="2"/>
      <c r="X34" s="6">
        <f t="shared" si="25"/>
        <v>-62.17</v>
      </c>
      <c r="Y34" s="2"/>
      <c r="Z34" s="7">
        <f t="shared" si="26"/>
        <v>-0.47045024593265228</v>
      </c>
    </row>
    <row r="35" spans="1:26" s="24" customFormat="1" hidden="1" outlineLevel="2" x14ac:dyDescent="0.3">
      <c r="A35" s="28"/>
      <c r="B35" s="11" t="str">
        <f>CONCATENATE("          ", "6115", " - ", "P.E.R.S.")</f>
        <v xml:space="preserve">          6115 - P.E.R.S.</v>
      </c>
      <c r="C35" s="11"/>
      <c r="D35" s="6"/>
      <c r="E35" s="2"/>
      <c r="F35" s="7">
        <f t="shared" si="19"/>
        <v>0</v>
      </c>
      <c r="G35" s="2"/>
      <c r="H35" s="6"/>
      <c r="I35" s="2"/>
      <c r="J35" s="7">
        <f t="shared" si="20"/>
        <v>0</v>
      </c>
      <c r="K35" s="2"/>
      <c r="L35" s="6">
        <f t="shared" si="21"/>
        <v>0</v>
      </c>
      <c r="M35" s="2"/>
      <c r="N35" s="7">
        <f t="shared" si="22"/>
        <v>0</v>
      </c>
      <c r="O35" s="11"/>
      <c r="P35" s="6"/>
      <c r="Q35" s="2"/>
      <c r="R35" s="7">
        <f t="shared" si="23"/>
        <v>0</v>
      </c>
      <c r="S35" s="2"/>
      <c r="T35" s="6">
        <v>5525.49</v>
      </c>
      <c r="U35" s="2"/>
      <c r="V35" s="7">
        <f t="shared" si="24"/>
        <v>2.1363054665238721</v>
      </c>
      <c r="W35" s="2"/>
      <c r="X35" s="6">
        <f t="shared" si="25"/>
        <v>-5525.49</v>
      </c>
      <c r="Y35" s="2"/>
      <c r="Z35" s="7">
        <f t="shared" si="26"/>
        <v>-1</v>
      </c>
    </row>
    <row r="36" spans="1:26" s="24" customFormat="1" hidden="1" outlineLevel="2" x14ac:dyDescent="0.3">
      <c r="A36" s="28"/>
      <c r="B36" s="11" t="str">
        <f>CONCATENATE("          ", "6118", " - ", "VACATION")</f>
        <v xml:space="preserve">          6118 - VACATION</v>
      </c>
      <c r="C36" s="11"/>
      <c r="D36" s="6">
        <v>163.24</v>
      </c>
      <c r="E36" s="2"/>
      <c r="F36" s="7">
        <f t="shared" si="19"/>
        <v>1.3081994066461402E-2</v>
      </c>
      <c r="G36" s="2"/>
      <c r="H36" s="6"/>
      <c r="I36" s="2"/>
      <c r="J36" s="7">
        <f t="shared" si="20"/>
        <v>0</v>
      </c>
      <c r="K36" s="2"/>
      <c r="L36" s="6">
        <f t="shared" si="21"/>
        <v>163.24</v>
      </c>
      <c r="M36" s="2"/>
      <c r="N36" s="7">
        <f t="shared" si="22"/>
        <v>0</v>
      </c>
      <c r="O36" s="11"/>
      <c r="P36" s="6">
        <v>244.86</v>
      </c>
      <c r="Q36" s="2"/>
      <c r="R36" s="7">
        <f t="shared" si="23"/>
        <v>3.2046592284788798E-3</v>
      </c>
      <c r="S36" s="2"/>
      <c r="T36" s="6">
        <v>3386</v>
      </c>
      <c r="U36" s="2"/>
      <c r="V36" s="7">
        <f t="shared" si="24"/>
        <v>1.3091201521765183</v>
      </c>
      <c r="W36" s="2"/>
      <c r="X36" s="6">
        <f t="shared" si="25"/>
        <v>-3141.14</v>
      </c>
      <c r="Y36" s="2"/>
      <c r="Z36" s="7">
        <f t="shared" si="26"/>
        <v>-0.92768458357944472</v>
      </c>
    </row>
    <row r="37" spans="1:26" s="24" customFormat="1" hidden="1" outlineLevel="2" x14ac:dyDescent="0.3">
      <c r="A37" s="28"/>
      <c r="B37" s="11" t="str">
        <f>CONCATENATE("          ", "6119", " - ", "SICK LEAVE")</f>
        <v xml:space="preserve">          6119 - SICK LEAVE</v>
      </c>
      <c r="C37" s="11"/>
      <c r="D37" s="6">
        <v>195.58</v>
      </c>
      <c r="E37" s="2"/>
      <c r="F37" s="7">
        <f t="shared" si="19"/>
        <v>1.5673709872081113E-2</v>
      </c>
      <c r="G37" s="2"/>
      <c r="H37" s="6"/>
      <c r="I37" s="2"/>
      <c r="J37" s="7">
        <f t="shared" si="20"/>
        <v>0</v>
      </c>
      <c r="K37" s="2"/>
      <c r="L37" s="6">
        <f t="shared" si="21"/>
        <v>195.58</v>
      </c>
      <c r="M37" s="2"/>
      <c r="N37" s="7">
        <f t="shared" si="22"/>
        <v>0</v>
      </c>
      <c r="O37" s="11"/>
      <c r="P37" s="6">
        <v>293.37</v>
      </c>
      <c r="Q37" s="2"/>
      <c r="R37" s="7">
        <f t="shared" si="23"/>
        <v>3.8395445473284693E-3</v>
      </c>
      <c r="S37" s="2"/>
      <c r="T37" s="6">
        <v>2447.1799999999998</v>
      </c>
      <c r="U37" s="2"/>
      <c r="V37" s="7">
        <f t="shared" si="24"/>
        <v>0.94614667867788904</v>
      </c>
      <c r="W37" s="2"/>
      <c r="X37" s="6">
        <f t="shared" si="25"/>
        <v>-2153.81</v>
      </c>
      <c r="Y37" s="2"/>
      <c r="Z37" s="7">
        <f t="shared" si="26"/>
        <v>-0.88011915756094772</v>
      </c>
    </row>
    <row r="38" spans="1:26" s="24" customFormat="1" hidden="1" outlineLevel="2" x14ac:dyDescent="0.3">
      <c r="A38" s="28"/>
      <c r="B38" s="11" t="str">
        <f>CONCATENATE("          ", "6156", " - ", "EMPLOYEE MEALS")</f>
        <v xml:space="preserve">          6156 - EMPLOYEE MEALS</v>
      </c>
      <c r="C38" s="11"/>
      <c r="D38" s="6">
        <v>207.17</v>
      </c>
      <c r="E38" s="2"/>
      <c r="F38" s="7">
        <f t="shared" si="19"/>
        <v>1.6602528245214458E-2</v>
      </c>
      <c r="G38" s="2"/>
      <c r="H38" s="6"/>
      <c r="I38" s="2"/>
      <c r="J38" s="7">
        <f t="shared" si="20"/>
        <v>0</v>
      </c>
      <c r="K38" s="2"/>
      <c r="L38" s="6">
        <f t="shared" si="21"/>
        <v>207.17</v>
      </c>
      <c r="M38" s="2"/>
      <c r="N38" s="7">
        <f t="shared" si="22"/>
        <v>0</v>
      </c>
      <c r="O38" s="11"/>
      <c r="P38" s="6">
        <v>345.25</v>
      </c>
      <c r="Q38" s="2"/>
      <c r="R38" s="7">
        <f t="shared" si="23"/>
        <v>4.5185354840820598E-3</v>
      </c>
      <c r="S38" s="2"/>
      <c r="T38" s="6">
        <v>726.37</v>
      </c>
      <c r="U38" s="2"/>
      <c r="V38" s="7">
        <f t="shared" si="24"/>
        <v>0.28083449643722908</v>
      </c>
      <c r="W38" s="2"/>
      <c r="X38" s="6">
        <f t="shared" si="25"/>
        <v>-381.12</v>
      </c>
      <c r="Y38" s="2"/>
      <c r="Z38" s="7">
        <f t="shared" si="26"/>
        <v>-0.52469127304266416</v>
      </c>
    </row>
    <row r="39" spans="1:26" s="29" customFormat="1" outlineLevel="1" collapsed="1" x14ac:dyDescent="0.3">
      <c r="A39" s="27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7011.78</v>
      </c>
      <c r="E39" s="1"/>
      <c r="F39" s="5">
        <f t="shared" ref="F39:F43" si="27">IF(D$12=0,0,D39/D$12)</f>
        <v>0.56192149200767405</v>
      </c>
      <c r="G39" s="1"/>
      <c r="H39" s="1">
        <f>SUM(OSRRefH22_1x_0)</f>
        <v>0</v>
      </c>
      <c r="I39" s="1"/>
      <c r="J39" s="5">
        <f t="shared" ref="J39:J43" si="28">IF(H$12=0,0,H39/H$12)</f>
        <v>0</v>
      </c>
      <c r="K39" s="1"/>
      <c r="L39" s="1">
        <f t="shared" ref="L39:L43" si="29">+D39-H39</f>
        <v>7011.78</v>
      </c>
      <c r="M39" s="1"/>
      <c r="N39" s="5">
        <f t="shared" ref="N39:N43" si="30">IF(H39=0,0,L39/H39)</f>
        <v>0</v>
      </c>
      <c r="O39" s="14"/>
      <c r="P39" s="1">
        <f>SUM(OSRRefP22_1x_0)</f>
        <v>25569.800000000003</v>
      </c>
      <c r="Q39" s="1"/>
      <c r="R39" s="5">
        <f t="shared" ref="R39:R43" si="31">IF(P$12=0,0,P39/P$12)</f>
        <v>0.33465039426757848</v>
      </c>
      <c r="S39" s="1"/>
      <c r="T39" s="1">
        <f>SUM(OSRRefT22_1x_0)</f>
        <v>41960.38</v>
      </c>
      <c r="U39" s="1"/>
      <c r="V39" s="5">
        <f t="shared" ref="V39:V43" si="32">IF(T$12=0,0,T39/T$12)</f>
        <v>16.223029843763893</v>
      </c>
      <c r="W39" s="1"/>
      <c r="X39" s="1">
        <f t="shared" ref="X39:X43" si="33">+P39-T39</f>
        <v>-16390.579999999994</v>
      </c>
      <c r="Y39" s="1"/>
      <c r="Z39" s="5">
        <f t="shared" ref="Z39:Z43" si="34">IF(T39=0,0,X39/T39)</f>
        <v>-0.39062038999646798</v>
      </c>
    </row>
    <row r="40" spans="1:26" s="24" customFormat="1" hidden="1" outlineLevel="2" x14ac:dyDescent="0.3">
      <c r="A40" s="28"/>
      <c r="B40" s="11" t="str">
        <f>CONCATENATE("          ", "6002", " - ", "STAFF SALARIES")</f>
        <v xml:space="preserve">          6002 - STAFF SALARIES</v>
      </c>
      <c r="C40" s="11"/>
      <c r="D40" s="6"/>
      <c r="E40" s="2"/>
      <c r="F40" s="7">
        <f t="shared" si="27"/>
        <v>0</v>
      </c>
      <c r="G40" s="2"/>
      <c r="H40" s="6"/>
      <c r="I40" s="2"/>
      <c r="J40" s="7">
        <f t="shared" si="28"/>
        <v>0</v>
      </c>
      <c r="K40" s="2"/>
      <c r="L40" s="6">
        <f t="shared" si="29"/>
        <v>0</v>
      </c>
      <c r="M40" s="2"/>
      <c r="N40" s="7">
        <f t="shared" si="30"/>
        <v>0</v>
      </c>
      <c r="O40" s="11"/>
      <c r="P40" s="6"/>
      <c r="Q40" s="2"/>
      <c r="R40" s="7">
        <f t="shared" si="31"/>
        <v>0</v>
      </c>
      <c r="S40" s="2"/>
      <c r="T40" s="6">
        <v>39828.42</v>
      </c>
      <c r="U40" s="2"/>
      <c r="V40" s="7">
        <f t="shared" si="32"/>
        <v>15.398755833239896</v>
      </c>
      <c r="W40" s="2"/>
      <c r="X40" s="6">
        <f t="shared" si="33"/>
        <v>-39828.42</v>
      </c>
      <c r="Y40" s="2"/>
      <c r="Z40" s="7">
        <f t="shared" si="34"/>
        <v>-1</v>
      </c>
    </row>
    <row r="41" spans="1:26" s="24" customFormat="1" hidden="1" outlineLevel="2" x14ac:dyDescent="0.3">
      <c r="A41" s="28"/>
      <c r="B41" s="11" t="str">
        <f>CONCATENATE("          ", "6004", " - ", "STAFF HOURLY")</f>
        <v xml:space="preserve">          6004 - STAFF HOURLY</v>
      </c>
      <c r="C41" s="11"/>
      <c r="D41" s="6">
        <v>3071.88</v>
      </c>
      <c r="E41" s="2"/>
      <c r="F41" s="7">
        <f t="shared" si="27"/>
        <v>0.24617934288704638</v>
      </c>
      <c r="G41" s="2"/>
      <c r="H41" s="6"/>
      <c r="I41" s="2"/>
      <c r="J41" s="7">
        <f t="shared" si="28"/>
        <v>0</v>
      </c>
      <c r="K41" s="2"/>
      <c r="L41" s="6">
        <f t="shared" si="29"/>
        <v>3071.88</v>
      </c>
      <c r="M41" s="2"/>
      <c r="N41" s="7">
        <f t="shared" si="30"/>
        <v>0</v>
      </c>
      <c r="O41" s="11"/>
      <c r="P41" s="6">
        <v>3538.81</v>
      </c>
      <c r="Q41" s="2"/>
      <c r="R41" s="7">
        <f t="shared" si="31"/>
        <v>4.631495599254E-2</v>
      </c>
      <c r="S41" s="2"/>
      <c r="T41" s="6"/>
      <c r="U41" s="2"/>
      <c r="V41" s="7">
        <f t="shared" si="32"/>
        <v>0</v>
      </c>
      <c r="W41" s="2"/>
      <c r="X41" s="6">
        <f t="shared" si="33"/>
        <v>3538.81</v>
      </c>
      <c r="Y41" s="2"/>
      <c r="Z41" s="7">
        <f t="shared" si="34"/>
        <v>0</v>
      </c>
    </row>
    <row r="42" spans="1:26" s="24" customFormat="1" hidden="1" outlineLevel="2" x14ac:dyDescent="0.3">
      <c r="A42" s="28"/>
      <c r="B42" s="11" t="str">
        <f>CONCATENATE("          ", "6005", " - ", "TEMPORARY WAGES-HOURLY")</f>
        <v xml:space="preserve">          6005 - TEMPORARY WAGES-HOURLY</v>
      </c>
      <c r="C42" s="11"/>
      <c r="D42" s="6">
        <v>2741.1</v>
      </c>
      <c r="E42" s="2"/>
      <c r="F42" s="7">
        <f t="shared" si="27"/>
        <v>0.21967075432233121</v>
      </c>
      <c r="G42" s="2"/>
      <c r="H42" s="6"/>
      <c r="I42" s="2"/>
      <c r="J42" s="7">
        <f t="shared" si="28"/>
        <v>0</v>
      </c>
      <c r="K42" s="2"/>
      <c r="L42" s="6">
        <f t="shared" si="29"/>
        <v>2741.1</v>
      </c>
      <c r="M42" s="2"/>
      <c r="N42" s="7">
        <f t="shared" si="30"/>
        <v>0</v>
      </c>
      <c r="O42" s="11"/>
      <c r="P42" s="6">
        <v>13204.95</v>
      </c>
      <c r="Q42" s="2"/>
      <c r="R42" s="7">
        <f t="shared" si="31"/>
        <v>0.17282269410725387</v>
      </c>
      <c r="S42" s="2"/>
      <c r="T42" s="6">
        <v>2131.96</v>
      </c>
      <c r="U42" s="2"/>
      <c r="V42" s="7">
        <f t="shared" si="32"/>
        <v>0.82427401052399596</v>
      </c>
      <c r="W42" s="2"/>
      <c r="X42" s="6">
        <f t="shared" si="33"/>
        <v>11072.990000000002</v>
      </c>
      <c r="Y42" s="2"/>
      <c r="Z42" s="7">
        <f t="shared" si="34"/>
        <v>5.1938075761271323</v>
      </c>
    </row>
    <row r="43" spans="1:26" s="24" customFormat="1" hidden="1" outlineLevel="2" x14ac:dyDescent="0.3">
      <c r="A43" s="28"/>
      <c r="B43" s="11" t="str">
        <f>CONCATENATE("          ", "6007", " - ", "STUDENT HOURLY")</f>
        <v xml:space="preserve">          6007 - STUDENT HOURLY</v>
      </c>
      <c r="C43" s="11"/>
      <c r="D43" s="6">
        <v>1198.8</v>
      </c>
      <c r="E43" s="2"/>
      <c r="F43" s="7">
        <f t="shared" si="27"/>
        <v>9.6071394798296544E-2</v>
      </c>
      <c r="G43" s="2"/>
      <c r="H43" s="6"/>
      <c r="I43" s="2"/>
      <c r="J43" s="7">
        <f t="shared" si="28"/>
        <v>0</v>
      </c>
      <c r="K43" s="2"/>
      <c r="L43" s="6">
        <f t="shared" si="29"/>
        <v>1198.8</v>
      </c>
      <c r="M43" s="2"/>
      <c r="N43" s="7">
        <f t="shared" si="30"/>
        <v>0</v>
      </c>
      <c r="O43" s="11"/>
      <c r="P43" s="6">
        <v>8826.0400000000009</v>
      </c>
      <c r="Q43" s="2"/>
      <c r="R43" s="7">
        <f t="shared" si="31"/>
        <v>0.11551274416778459</v>
      </c>
      <c r="S43" s="2"/>
      <c r="T43" s="6">
        <v>0</v>
      </c>
      <c r="U43" s="2"/>
      <c r="V43" s="7">
        <f t="shared" si="32"/>
        <v>0</v>
      </c>
      <c r="W43" s="2"/>
      <c r="X43" s="6">
        <f t="shared" si="33"/>
        <v>8826.0400000000009</v>
      </c>
      <c r="Y43" s="2"/>
      <c r="Z43" s="7">
        <f t="shared" si="34"/>
        <v>0</v>
      </c>
    </row>
    <row r="44" spans="1:26" s="29" customFormat="1" outlineLevel="1" collapsed="1" x14ac:dyDescent="0.3">
      <c r="A44" s="27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2" si="35">IF(D$12=0,0,D44/D$12)</f>
        <v>0</v>
      </c>
      <c r="G44" s="1"/>
      <c r="H44" s="1">
        <f>SUM(OSRRefH22_2x_0)</f>
        <v>0</v>
      </c>
      <c r="I44" s="1"/>
      <c r="J44" s="5">
        <f t="shared" ref="J44:J52" si="36">IF(H$12=0,0,H44/H$12)</f>
        <v>0</v>
      </c>
      <c r="K44" s="1"/>
      <c r="L44" s="1">
        <f t="shared" ref="L44:L52" si="37">+D44-H44</f>
        <v>0</v>
      </c>
      <c r="M44" s="1"/>
      <c r="N44" s="5">
        <f t="shared" ref="N44:N52" si="38">IF(H44=0,0,L44/H44)</f>
        <v>0</v>
      </c>
      <c r="O44" s="14"/>
      <c r="P44" s="1">
        <f>SUM(OSRRefP22_2x_0)</f>
        <v>91.22</v>
      </c>
      <c r="Q44" s="1"/>
      <c r="R44" s="5">
        <f t="shared" ref="R44:R52" si="39">IF(P$12=0,0,P44/P$12)</f>
        <v>1.1938618591106893E-3</v>
      </c>
      <c r="S44" s="1"/>
      <c r="T44" s="1">
        <f>SUM(OSRRefT22_2x_0)</f>
        <v>0</v>
      </c>
      <c r="U44" s="1"/>
      <c r="V44" s="5">
        <f t="shared" ref="V44:V52" si="40">IF(T$12=0,0,T44/T$12)</f>
        <v>0</v>
      </c>
      <c r="W44" s="1"/>
      <c r="X44" s="1">
        <f t="shared" ref="X44:X52" si="41">+P44-T44</f>
        <v>91.22</v>
      </c>
      <c r="Y44" s="1"/>
      <c r="Z44" s="5">
        <f t="shared" ref="Z44:Z52" si="42">IF(T44=0,0,X44/T44)</f>
        <v>0</v>
      </c>
    </row>
    <row r="45" spans="1:26" s="24" customFormat="1" hidden="1" outlineLevel="2" x14ac:dyDescent="0.3">
      <c r="A45" s="28"/>
      <c r="B45" s="11" t="str">
        <f>CONCATENATE("          ", "6362", " - ", "ADVERTISING EXPENSE")</f>
        <v xml:space="preserve">          6362 - ADVERTISING EXPENSE</v>
      </c>
      <c r="C45" s="11"/>
      <c r="D45" s="6"/>
      <c r="E45" s="2"/>
      <c r="F45" s="7">
        <f t="shared" si="35"/>
        <v>0</v>
      </c>
      <c r="G45" s="2"/>
      <c r="H45" s="6"/>
      <c r="I45" s="2"/>
      <c r="J45" s="7">
        <f t="shared" si="36"/>
        <v>0</v>
      </c>
      <c r="K45" s="2"/>
      <c r="L45" s="6">
        <f t="shared" si="37"/>
        <v>0</v>
      </c>
      <c r="M45" s="2"/>
      <c r="N45" s="7">
        <f t="shared" si="38"/>
        <v>0</v>
      </c>
      <c r="O45" s="11"/>
      <c r="P45" s="6">
        <v>91.22</v>
      </c>
      <c r="Q45" s="2"/>
      <c r="R45" s="7">
        <f t="shared" si="39"/>
        <v>1.1938618591106893E-3</v>
      </c>
      <c r="S45" s="2"/>
      <c r="T45" s="6"/>
      <c r="U45" s="2"/>
      <c r="V45" s="7">
        <f t="shared" si="40"/>
        <v>0</v>
      </c>
      <c r="W45" s="2"/>
      <c r="X45" s="6">
        <f t="shared" si="41"/>
        <v>91.22</v>
      </c>
      <c r="Y45" s="2"/>
      <c r="Z45" s="7">
        <f t="shared" si="42"/>
        <v>0</v>
      </c>
    </row>
    <row r="46" spans="1:26" s="29" customFormat="1" outlineLevel="1" collapsed="1" x14ac:dyDescent="0.3">
      <c r="A46" s="27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19.600000000000001</v>
      </c>
      <c r="E46" s="1"/>
      <c r="F46" s="5">
        <f t="shared" si="35"/>
        <v>1.5707368518907345E-3</v>
      </c>
      <c r="G46" s="1"/>
      <c r="H46" s="1">
        <f>SUM(OSRRefH22_3x_0)</f>
        <v>0</v>
      </c>
      <c r="I46" s="1"/>
      <c r="J46" s="5">
        <f t="shared" si="36"/>
        <v>0</v>
      </c>
      <c r="K46" s="1"/>
      <c r="L46" s="1">
        <f t="shared" si="37"/>
        <v>19.600000000000001</v>
      </c>
      <c r="M46" s="1"/>
      <c r="N46" s="5">
        <f t="shared" si="38"/>
        <v>0</v>
      </c>
      <c r="O46" s="14"/>
      <c r="P46" s="1">
        <f>SUM(OSRRefP22_3x_0)</f>
        <v>28.84</v>
      </c>
      <c r="Q46" s="1"/>
      <c r="R46" s="5">
        <f t="shared" si="39"/>
        <v>3.7744985767104017E-4</v>
      </c>
      <c r="S46" s="1"/>
      <c r="T46" s="1">
        <f>SUM(OSRRefT22_3x_0)</f>
        <v>3.31</v>
      </c>
      <c r="U46" s="1"/>
      <c r="V46" s="5">
        <f t="shared" si="40"/>
        <v>1.2797364748092959E-3</v>
      </c>
      <c r="W46" s="1"/>
      <c r="X46" s="1">
        <f t="shared" si="41"/>
        <v>25.53</v>
      </c>
      <c r="Y46" s="1"/>
      <c r="Z46" s="5">
        <f t="shared" si="42"/>
        <v>7.7129909365558911</v>
      </c>
    </row>
    <row r="47" spans="1:26" s="24" customFormat="1" hidden="1" outlineLevel="2" x14ac:dyDescent="0.3">
      <c r="A47" s="28"/>
      <c r="B47" s="11" t="str">
        <f>CONCATENATE("          ", "6272", " - ", "CASH (OVER/SHORT)")</f>
        <v xml:space="preserve">          6272 - CASH (OVER/SHORT)</v>
      </c>
      <c r="C47" s="11"/>
      <c r="D47" s="6">
        <v>19.600000000000001</v>
      </c>
      <c r="E47" s="2"/>
      <c r="F47" s="7">
        <f t="shared" si="35"/>
        <v>1.5707368518907345E-3</v>
      </c>
      <c r="G47" s="2"/>
      <c r="H47" s="6"/>
      <c r="I47" s="2"/>
      <c r="J47" s="7">
        <f t="shared" si="36"/>
        <v>0</v>
      </c>
      <c r="K47" s="2"/>
      <c r="L47" s="6">
        <f t="shared" si="37"/>
        <v>19.600000000000001</v>
      </c>
      <c r="M47" s="2"/>
      <c r="N47" s="7">
        <f t="shared" si="38"/>
        <v>0</v>
      </c>
      <c r="O47" s="11"/>
      <c r="P47" s="6">
        <v>28.84</v>
      </c>
      <c r="Q47" s="2"/>
      <c r="R47" s="7">
        <f t="shared" si="39"/>
        <v>3.7744985767104017E-4</v>
      </c>
      <c r="S47" s="2"/>
      <c r="T47" s="6">
        <v>3.31</v>
      </c>
      <c r="U47" s="2"/>
      <c r="V47" s="7">
        <f t="shared" si="40"/>
        <v>1.2797364748092959E-3</v>
      </c>
      <c r="W47" s="2"/>
      <c r="X47" s="6">
        <f t="shared" si="41"/>
        <v>25.53</v>
      </c>
      <c r="Y47" s="2"/>
      <c r="Z47" s="7">
        <f t="shared" si="42"/>
        <v>7.7129909365558911</v>
      </c>
    </row>
    <row r="48" spans="1:26" s="29" customFormat="1" outlineLevel="1" collapsed="1" x14ac:dyDescent="0.3">
      <c r="A48" s="27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599.38</v>
      </c>
      <c r="E48" s="1"/>
      <c r="F48" s="5">
        <f t="shared" si="35"/>
        <v>4.8034094606442257E-2</v>
      </c>
      <c r="G48" s="1"/>
      <c r="H48" s="1">
        <f>SUM(OSRRefH22_4x_0)</f>
        <v>274</v>
      </c>
      <c r="I48" s="1"/>
      <c r="J48" s="5">
        <f t="shared" si="36"/>
        <v>0</v>
      </c>
      <c r="K48" s="1"/>
      <c r="L48" s="1">
        <f t="shared" si="37"/>
        <v>325.38</v>
      </c>
      <c r="M48" s="1"/>
      <c r="N48" s="5">
        <f t="shared" si="38"/>
        <v>1.1875182481751825</v>
      </c>
      <c r="O48" s="14"/>
      <c r="P48" s="1">
        <f>SUM(OSRRefP22_4x_0)</f>
        <v>3969.99</v>
      </c>
      <c r="Q48" s="1"/>
      <c r="R48" s="5">
        <f t="shared" si="39"/>
        <v>5.1958119294571864E-2</v>
      </c>
      <c r="S48" s="1"/>
      <c r="T48" s="1">
        <f>SUM(OSRRefT22_4x_0)</f>
        <v>913.33</v>
      </c>
      <c r="U48" s="1"/>
      <c r="V48" s="5">
        <f t="shared" si="40"/>
        <v>0.35311834276059645</v>
      </c>
      <c r="W48" s="1"/>
      <c r="X48" s="1">
        <f t="shared" si="41"/>
        <v>3056.66</v>
      </c>
      <c r="Y48" s="1"/>
      <c r="Z48" s="5">
        <f t="shared" si="42"/>
        <v>3.3467202435045382</v>
      </c>
    </row>
    <row r="49" spans="1:26" s="24" customFormat="1" hidden="1" outlineLevel="2" x14ac:dyDescent="0.3">
      <c r="A49" s="28"/>
      <c r="B49" s="11" t="str">
        <f>CONCATENATE("          ", "6381", " - ", "BANK/CREDIT CARD FEES")</f>
        <v xml:space="preserve">          6381 - BANK/CREDIT CARD FEES</v>
      </c>
      <c r="C49" s="11"/>
      <c r="D49" s="6">
        <v>599.38</v>
      </c>
      <c r="E49" s="2"/>
      <c r="F49" s="7">
        <f t="shared" si="35"/>
        <v>4.8034094606442257E-2</v>
      </c>
      <c r="G49" s="2"/>
      <c r="H49" s="6">
        <v>274</v>
      </c>
      <c r="I49" s="2"/>
      <c r="J49" s="7">
        <f t="shared" si="36"/>
        <v>0</v>
      </c>
      <c r="K49" s="2"/>
      <c r="L49" s="6">
        <f t="shared" si="37"/>
        <v>325.38</v>
      </c>
      <c r="M49" s="2"/>
      <c r="N49" s="7">
        <f t="shared" si="38"/>
        <v>1.1875182481751825</v>
      </c>
      <c r="O49" s="11"/>
      <c r="P49" s="6">
        <v>3969.99</v>
      </c>
      <c r="Q49" s="2"/>
      <c r="R49" s="7">
        <f t="shared" si="39"/>
        <v>5.1958119294571864E-2</v>
      </c>
      <c r="S49" s="2"/>
      <c r="T49" s="6">
        <v>913.33</v>
      </c>
      <c r="U49" s="2"/>
      <c r="V49" s="7">
        <f t="shared" si="40"/>
        <v>0.35311834276059645</v>
      </c>
      <c r="W49" s="2"/>
      <c r="X49" s="6">
        <f t="shared" si="41"/>
        <v>3056.66</v>
      </c>
      <c r="Y49" s="2"/>
      <c r="Z49" s="7">
        <f t="shared" si="42"/>
        <v>3.3467202435045382</v>
      </c>
    </row>
    <row r="50" spans="1:26" s="29" customFormat="1" outlineLevel="1" collapsed="1" x14ac:dyDescent="0.3">
      <c r="A50" s="27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6324.75</v>
      </c>
      <c r="E50" s="1"/>
      <c r="F50" s="5">
        <f t="shared" si="35"/>
        <v>0.50686315836713891</v>
      </c>
      <c r="G50" s="1"/>
      <c r="H50" s="1">
        <f>SUM(OSRRefH22_5x_0)</f>
        <v>9152.09</v>
      </c>
      <c r="I50" s="1"/>
      <c r="J50" s="5">
        <f t="shared" si="36"/>
        <v>0</v>
      </c>
      <c r="K50" s="1"/>
      <c r="L50" s="1">
        <f t="shared" si="37"/>
        <v>-2827.34</v>
      </c>
      <c r="M50" s="1"/>
      <c r="N50" s="5">
        <f t="shared" si="38"/>
        <v>-0.30892834314347872</v>
      </c>
      <c r="O50" s="14"/>
      <c r="P50" s="1">
        <f>SUM(OSRRefP22_5x_0)</f>
        <v>40380.86</v>
      </c>
      <c r="Q50" s="1"/>
      <c r="R50" s="5">
        <f t="shared" si="39"/>
        <v>0.52849340706082515</v>
      </c>
      <c r="S50" s="1"/>
      <c r="T50" s="1">
        <f>SUM(OSRRefT22_5x_0)</f>
        <v>55093.82</v>
      </c>
      <c r="U50" s="1"/>
      <c r="V50" s="5">
        <f t="shared" si="40"/>
        <v>21.300776734313562</v>
      </c>
      <c r="W50" s="1"/>
      <c r="X50" s="1">
        <f t="shared" si="41"/>
        <v>-14712.96</v>
      </c>
      <c r="Y50" s="1"/>
      <c r="Z50" s="5">
        <f t="shared" si="42"/>
        <v>-0.26705282008036474</v>
      </c>
    </row>
    <row r="51" spans="1:26" s="24" customFormat="1" hidden="1" outlineLevel="2" x14ac:dyDescent="0.3">
      <c r="A51" s="28"/>
      <c r="B51" s="11" t="str">
        <f>CONCATENATE("          ", "6321", " - ", "BUILDING DEPRECIATION")</f>
        <v xml:space="preserve">          6321 - BUILDING DEPRECIATION</v>
      </c>
      <c r="C51" s="11"/>
      <c r="D51" s="6">
        <v>5080.51</v>
      </c>
      <c r="E51" s="2"/>
      <c r="F51" s="7">
        <f t="shared" si="35"/>
        <v>0.40715021854078542</v>
      </c>
      <c r="G51" s="2"/>
      <c r="H51" s="6">
        <v>5080.51</v>
      </c>
      <c r="I51" s="2"/>
      <c r="J51" s="7">
        <f t="shared" si="36"/>
        <v>0</v>
      </c>
      <c r="K51" s="2"/>
      <c r="L51" s="6">
        <f t="shared" si="37"/>
        <v>0</v>
      </c>
      <c r="M51" s="2"/>
      <c r="N51" s="7">
        <f t="shared" si="38"/>
        <v>0</v>
      </c>
      <c r="O51" s="11"/>
      <c r="P51" s="6">
        <v>30483.06</v>
      </c>
      <c r="Q51" s="2"/>
      <c r="R51" s="7">
        <f t="shared" si="39"/>
        <v>0.39895376762752349</v>
      </c>
      <c r="S51" s="2"/>
      <c r="T51" s="6">
        <v>30483.06</v>
      </c>
      <c r="U51" s="2"/>
      <c r="V51" s="7">
        <f t="shared" si="40"/>
        <v>11.785584213232706</v>
      </c>
      <c r="W51" s="2"/>
      <c r="X51" s="6">
        <f t="shared" si="41"/>
        <v>0</v>
      </c>
      <c r="Y51" s="2"/>
      <c r="Z51" s="7">
        <f t="shared" si="42"/>
        <v>0</v>
      </c>
    </row>
    <row r="52" spans="1:26" s="24" customFormat="1" hidden="1" outlineLevel="2" x14ac:dyDescent="0.3">
      <c r="A52" s="28"/>
      <c r="B52" s="11" t="str">
        <f>CONCATENATE("          ", "6322", " - ", "EQUIPMENT DEPRECIATION EXPENSE")</f>
        <v xml:space="preserve">          6322 - EQUIPMENT DEPRECIATION EXPENSE</v>
      </c>
      <c r="C52" s="11"/>
      <c r="D52" s="6">
        <v>1244.24</v>
      </c>
      <c r="E52" s="2"/>
      <c r="F52" s="7">
        <f t="shared" si="35"/>
        <v>9.9712939826353431E-2</v>
      </c>
      <c r="G52" s="2"/>
      <c r="H52" s="6">
        <v>4071.58</v>
      </c>
      <c r="I52" s="2"/>
      <c r="J52" s="7">
        <f t="shared" si="36"/>
        <v>0</v>
      </c>
      <c r="K52" s="2"/>
      <c r="L52" s="6">
        <f t="shared" si="37"/>
        <v>-2827.34</v>
      </c>
      <c r="M52" s="2"/>
      <c r="N52" s="7">
        <f t="shared" si="38"/>
        <v>-0.69440855883956598</v>
      </c>
      <c r="O52" s="11"/>
      <c r="P52" s="6">
        <v>9897.7999999999993</v>
      </c>
      <c r="Q52" s="2"/>
      <c r="R52" s="7">
        <f t="shared" si="39"/>
        <v>0.12953963943330168</v>
      </c>
      <c r="S52" s="2"/>
      <c r="T52" s="6">
        <v>24610.76</v>
      </c>
      <c r="U52" s="2"/>
      <c r="V52" s="7">
        <f t="shared" si="40"/>
        <v>9.5151925210808539</v>
      </c>
      <c r="W52" s="2"/>
      <c r="X52" s="6">
        <f t="shared" si="41"/>
        <v>-14712.96</v>
      </c>
      <c r="Y52" s="2"/>
      <c r="Z52" s="7">
        <f t="shared" si="42"/>
        <v>-0.5978263166192348</v>
      </c>
    </row>
    <row r="53" spans="1:26" s="29" customFormat="1" outlineLevel="1" collapsed="1" x14ac:dyDescent="0.3">
      <c r="A53" s="27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SUM(OSRRefD22_6x_0)</f>
        <v>30</v>
      </c>
      <c r="E53" s="1"/>
      <c r="F53" s="5">
        <f t="shared" ref="F53:F65" si="43">IF(D$12=0,0,D53/D$12)</f>
        <v>2.4041890590164299E-3</v>
      </c>
      <c r="G53" s="1"/>
      <c r="H53" s="1">
        <f>SUM(OSRRefH22_6x_0)</f>
        <v>88.15</v>
      </c>
      <c r="I53" s="1"/>
      <c r="J53" s="5">
        <f t="shared" ref="J53:J65" si="44">IF(H$12=0,0,H53/H$12)</f>
        <v>0</v>
      </c>
      <c r="K53" s="1"/>
      <c r="L53" s="1">
        <f t="shared" ref="L53:L65" si="45">+D53-H53</f>
        <v>-58.150000000000006</v>
      </c>
      <c r="M53" s="1"/>
      <c r="N53" s="5">
        <f t="shared" ref="N53:N65" si="46">IF(H53=0,0,L53/H53)</f>
        <v>-0.65967101531480432</v>
      </c>
      <c r="O53" s="14"/>
      <c r="P53" s="1">
        <f>SUM(OSRRefP22_6x_0)</f>
        <v>30</v>
      </c>
      <c r="Q53" s="1"/>
      <c r="R53" s="5">
        <f t="shared" ref="R53:R65" si="47">IF(P$12=0,0,P53/P$12)</f>
        <v>3.9263161338873802E-4</v>
      </c>
      <c r="S53" s="1"/>
      <c r="T53" s="1">
        <f>SUM(OSRRefT22_6x_0)</f>
        <v>88.15</v>
      </c>
      <c r="U53" s="1"/>
      <c r="V53" s="5">
        <f t="shared" ref="V53:V65" si="48">IF(T$12=0,0,T53/T$12)</f>
        <v>3.4081199472640315E-2</v>
      </c>
      <c r="W53" s="1"/>
      <c r="X53" s="1">
        <f t="shared" ref="X53:X65" si="49">+P53-T53</f>
        <v>-58.150000000000006</v>
      </c>
      <c r="Y53" s="1"/>
      <c r="Z53" s="5">
        <f t="shared" ref="Z53:Z65" si="50">IF(T53=0,0,X53/T53)</f>
        <v>-0.65967101531480432</v>
      </c>
    </row>
    <row r="54" spans="1:26" s="24" customFormat="1" hidden="1" outlineLevel="2" x14ac:dyDescent="0.3">
      <c r="A54" s="28"/>
      <c r="B54" s="11" t="str">
        <f>CONCATENATE("          ", "6351", " - ", "EQUIPMENT RENTAL")</f>
        <v xml:space="preserve">          6351 - EQUIPMENT RENTAL</v>
      </c>
      <c r="C54" s="11"/>
      <c r="D54" s="6">
        <v>30</v>
      </c>
      <c r="E54" s="2"/>
      <c r="F54" s="7">
        <f t="shared" si="43"/>
        <v>2.4041890590164299E-3</v>
      </c>
      <c r="G54" s="2"/>
      <c r="H54" s="6">
        <v>88.15</v>
      </c>
      <c r="I54" s="2"/>
      <c r="J54" s="7">
        <f t="shared" si="44"/>
        <v>0</v>
      </c>
      <c r="K54" s="2"/>
      <c r="L54" s="6">
        <f t="shared" si="45"/>
        <v>-58.150000000000006</v>
      </c>
      <c r="M54" s="2"/>
      <c r="N54" s="7">
        <f t="shared" si="46"/>
        <v>-0.65967101531480432</v>
      </c>
      <c r="O54" s="11"/>
      <c r="P54" s="6">
        <v>30</v>
      </c>
      <c r="Q54" s="2"/>
      <c r="R54" s="7">
        <f t="shared" si="47"/>
        <v>3.9263161338873802E-4</v>
      </c>
      <c r="S54" s="2"/>
      <c r="T54" s="6">
        <v>88.15</v>
      </c>
      <c r="U54" s="2"/>
      <c r="V54" s="7">
        <f t="shared" si="48"/>
        <v>3.4081199472640315E-2</v>
      </c>
      <c r="W54" s="2"/>
      <c r="X54" s="6">
        <f t="shared" si="49"/>
        <v>-58.150000000000006</v>
      </c>
      <c r="Y54" s="2"/>
      <c r="Z54" s="7">
        <f t="shared" si="50"/>
        <v>-0.65967101531480432</v>
      </c>
    </row>
    <row r="55" spans="1:26" s="29" customFormat="1" outlineLevel="1" collapsed="1" x14ac:dyDescent="0.3">
      <c r="A55" s="27"/>
      <c r="B55" s="14" t="str">
        <f>CONCATENATE("     ","Freight out/Postage                               ")</f>
        <v xml:space="preserve">     Freight out/Postage                               </v>
      </c>
      <c r="C55" s="14"/>
      <c r="D55" s="1">
        <f>SUM(OSRRefD22_7x_0)</f>
        <v>0</v>
      </c>
      <c r="E55" s="1"/>
      <c r="F55" s="5">
        <f t="shared" si="43"/>
        <v>0</v>
      </c>
      <c r="G55" s="1"/>
      <c r="H55" s="1">
        <f>SUM(OSRRefH22_7x_0)</f>
        <v>3.93</v>
      </c>
      <c r="I55" s="1"/>
      <c r="J55" s="5">
        <f t="shared" si="44"/>
        <v>0</v>
      </c>
      <c r="K55" s="1"/>
      <c r="L55" s="1">
        <f t="shared" si="45"/>
        <v>-3.93</v>
      </c>
      <c r="M55" s="1"/>
      <c r="N55" s="5">
        <f t="shared" si="46"/>
        <v>-1</v>
      </c>
      <c r="O55" s="14"/>
      <c r="P55" s="1">
        <f>SUM(OSRRefP22_7x_0)</f>
        <v>0</v>
      </c>
      <c r="Q55" s="1"/>
      <c r="R55" s="5">
        <f t="shared" si="47"/>
        <v>0</v>
      </c>
      <c r="S55" s="1"/>
      <c r="T55" s="1">
        <f>SUM(OSRRefT22_7x_0)</f>
        <v>109.26</v>
      </c>
      <c r="U55" s="1"/>
      <c r="V55" s="5">
        <f t="shared" si="48"/>
        <v>4.2242902488720147E-2</v>
      </c>
      <c r="W55" s="1"/>
      <c r="X55" s="1">
        <f t="shared" si="49"/>
        <v>-109.26</v>
      </c>
      <c r="Y55" s="1"/>
      <c r="Z55" s="5">
        <f t="shared" si="50"/>
        <v>-1</v>
      </c>
    </row>
    <row r="56" spans="1:26" s="24" customFormat="1" hidden="1" outlineLevel="2" x14ac:dyDescent="0.3">
      <c r="A56" s="28"/>
      <c r="B56" s="11" t="str">
        <f>CONCATENATE("          ", "6305", " - ", "FREIGHT OUT")</f>
        <v xml:space="preserve">          6305 - FREIGHT OUT</v>
      </c>
      <c r="C56" s="11"/>
      <c r="D56" s="6"/>
      <c r="E56" s="2"/>
      <c r="F56" s="7">
        <f t="shared" si="43"/>
        <v>0</v>
      </c>
      <c r="G56" s="2"/>
      <c r="H56" s="6">
        <v>3.93</v>
      </c>
      <c r="I56" s="2"/>
      <c r="J56" s="7">
        <f t="shared" si="44"/>
        <v>0</v>
      </c>
      <c r="K56" s="2"/>
      <c r="L56" s="6">
        <f t="shared" si="45"/>
        <v>-3.93</v>
      </c>
      <c r="M56" s="2"/>
      <c r="N56" s="7">
        <f t="shared" si="46"/>
        <v>-1</v>
      </c>
      <c r="O56" s="11"/>
      <c r="P56" s="6"/>
      <c r="Q56" s="2"/>
      <c r="R56" s="7">
        <f t="shared" si="47"/>
        <v>0</v>
      </c>
      <c r="S56" s="2"/>
      <c r="T56" s="6">
        <v>109.26</v>
      </c>
      <c r="U56" s="2"/>
      <c r="V56" s="7">
        <f t="shared" si="48"/>
        <v>4.2242902488720147E-2</v>
      </c>
      <c r="W56" s="2"/>
      <c r="X56" s="6">
        <f t="shared" si="49"/>
        <v>-109.26</v>
      </c>
      <c r="Y56" s="2"/>
      <c r="Z56" s="7">
        <f t="shared" si="50"/>
        <v>-1</v>
      </c>
    </row>
    <row r="57" spans="1:26" s="29" customFormat="1" outlineLevel="1" collapsed="1" x14ac:dyDescent="0.3">
      <c r="A57" s="27"/>
      <c r="B57" s="14" t="str">
        <f>CONCATENATE("     ","General                                           ")</f>
        <v xml:space="preserve">     General                                           </v>
      </c>
      <c r="C57" s="14"/>
      <c r="D57" s="1">
        <f>SUM(OSRRefD22_8x_0)</f>
        <v>432.19</v>
      </c>
      <c r="E57" s="1"/>
      <c r="F57" s="5">
        <f t="shared" si="43"/>
        <v>3.4635548980543697E-2</v>
      </c>
      <c r="G57" s="1"/>
      <c r="H57" s="1">
        <f>SUM(OSRRefH22_8x_0)</f>
        <v>1286.3800000000001</v>
      </c>
      <c r="I57" s="1"/>
      <c r="J57" s="5">
        <f t="shared" si="44"/>
        <v>0</v>
      </c>
      <c r="K57" s="1"/>
      <c r="L57" s="1">
        <f t="shared" si="45"/>
        <v>-854.19</v>
      </c>
      <c r="M57" s="1"/>
      <c r="N57" s="5">
        <f t="shared" si="46"/>
        <v>-0.66402618199909824</v>
      </c>
      <c r="O57" s="14"/>
      <c r="P57" s="1">
        <f>SUM(OSRRefP22_8x_0)</f>
        <v>2591.38</v>
      </c>
      <c r="Q57" s="1"/>
      <c r="R57" s="5">
        <f t="shared" si="47"/>
        <v>3.3915257010110264E-2</v>
      </c>
      <c r="S57" s="1"/>
      <c r="T57" s="1">
        <f>SUM(OSRRefT22_8x_0)</f>
        <v>3210.48</v>
      </c>
      <c r="U57" s="1"/>
      <c r="V57" s="5">
        <f t="shared" si="48"/>
        <v>1.2412593225515856</v>
      </c>
      <c r="W57" s="1"/>
      <c r="X57" s="1">
        <f t="shared" si="49"/>
        <v>-619.09999999999991</v>
      </c>
      <c r="Y57" s="1"/>
      <c r="Z57" s="5">
        <f t="shared" si="50"/>
        <v>-0.19283720814333055</v>
      </c>
    </row>
    <row r="58" spans="1:26" s="24" customFormat="1" hidden="1" outlineLevel="2" x14ac:dyDescent="0.3">
      <c r="A58" s="28"/>
      <c r="B58" s="11" t="str">
        <f>CONCATENATE("          ", "6279", " - ", "GENERAL EXPENSE")</f>
        <v xml:space="preserve">          6279 - GENERAL EXPENSE</v>
      </c>
      <c r="C58" s="11"/>
      <c r="D58" s="6">
        <v>432.19</v>
      </c>
      <c r="E58" s="2"/>
      <c r="F58" s="7">
        <f t="shared" si="43"/>
        <v>3.4635548980543697E-2</v>
      </c>
      <c r="G58" s="2"/>
      <c r="H58" s="6">
        <v>1286.3800000000001</v>
      </c>
      <c r="I58" s="2"/>
      <c r="J58" s="7">
        <f t="shared" si="44"/>
        <v>0</v>
      </c>
      <c r="K58" s="2"/>
      <c r="L58" s="6">
        <f t="shared" si="45"/>
        <v>-854.19</v>
      </c>
      <c r="M58" s="2"/>
      <c r="N58" s="7">
        <f t="shared" si="46"/>
        <v>-0.66402618199909824</v>
      </c>
      <c r="O58" s="11"/>
      <c r="P58" s="6">
        <v>2591.38</v>
      </c>
      <c r="Q58" s="2"/>
      <c r="R58" s="7">
        <f t="shared" si="47"/>
        <v>3.3915257010110264E-2</v>
      </c>
      <c r="S58" s="2"/>
      <c r="T58" s="6">
        <v>3210.48</v>
      </c>
      <c r="U58" s="2"/>
      <c r="V58" s="7">
        <f t="shared" si="48"/>
        <v>1.2412593225515856</v>
      </c>
      <c r="W58" s="2"/>
      <c r="X58" s="6">
        <f t="shared" si="49"/>
        <v>-619.09999999999991</v>
      </c>
      <c r="Y58" s="2"/>
      <c r="Z58" s="7">
        <f t="shared" si="50"/>
        <v>-0.19283720814333055</v>
      </c>
    </row>
    <row r="59" spans="1:26" s="29" customFormat="1" outlineLevel="1" collapsed="1" x14ac:dyDescent="0.3">
      <c r="A59" s="27"/>
      <c r="B59" s="14" t="str">
        <f>CONCATENATE("     ","Insurance                                         ")</f>
        <v xml:space="preserve">     Insurance                                         </v>
      </c>
      <c r="C59" s="14"/>
      <c r="D59" s="1">
        <f>SUM(OSRRefD22_9x_0)</f>
        <v>331.01</v>
      </c>
      <c r="E59" s="1"/>
      <c r="F59" s="5">
        <f t="shared" si="43"/>
        <v>2.6527020680834283E-2</v>
      </c>
      <c r="G59" s="1"/>
      <c r="H59" s="1">
        <f>SUM(OSRRefH22_9x_0)</f>
        <v>243.54</v>
      </c>
      <c r="I59" s="1"/>
      <c r="J59" s="5">
        <f t="shared" si="44"/>
        <v>0</v>
      </c>
      <c r="K59" s="1"/>
      <c r="L59" s="1">
        <f t="shared" si="45"/>
        <v>87.47</v>
      </c>
      <c r="M59" s="1"/>
      <c r="N59" s="5">
        <f t="shared" si="46"/>
        <v>0.35916071281924944</v>
      </c>
      <c r="O59" s="14"/>
      <c r="P59" s="1">
        <f>SUM(OSRRefP22_9x_0)</f>
        <v>1986.06</v>
      </c>
      <c r="Q59" s="1"/>
      <c r="R59" s="5">
        <f t="shared" si="47"/>
        <v>2.5992998069561235E-2</v>
      </c>
      <c r="S59" s="1"/>
      <c r="T59" s="1">
        <f>SUM(OSRRefT22_9x_0)</f>
        <v>1461.24</v>
      </c>
      <c r="U59" s="1"/>
      <c r="V59" s="5">
        <f t="shared" si="48"/>
        <v>0.56495532521158176</v>
      </c>
      <c r="W59" s="1"/>
      <c r="X59" s="1">
        <f t="shared" si="49"/>
        <v>524.81999999999994</v>
      </c>
      <c r="Y59" s="1"/>
      <c r="Z59" s="5">
        <f t="shared" si="50"/>
        <v>0.35916071281924938</v>
      </c>
    </row>
    <row r="60" spans="1:26" s="24" customFormat="1" hidden="1" outlineLevel="2" x14ac:dyDescent="0.3">
      <c r="A60" s="28"/>
      <c r="B60" s="11" t="str">
        <f>CONCATENATE("          ", "6314", " - ", "LIABILITY INSURANCE")</f>
        <v xml:space="preserve">          6314 - LIABILITY INSURANCE</v>
      </c>
      <c r="C60" s="11"/>
      <c r="D60" s="6">
        <v>331.01</v>
      </c>
      <c r="E60" s="2"/>
      <c r="F60" s="7">
        <f t="shared" si="43"/>
        <v>2.6527020680834283E-2</v>
      </c>
      <c r="G60" s="2"/>
      <c r="H60" s="6">
        <v>243.54</v>
      </c>
      <c r="I60" s="2"/>
      <c r="J60" s="7">
        <f t="shared" si="44"/>
        <v>0</v>
      </c>
      <c r="K60" s="2"/>
      <c r="L60" s="6">
        <f t="shared" si="45"/>
        <v>87.47</v>
      </c>
      <c r="M60" s="2"/>
      <c r="N60" s="7">
        <f t="shared" si="46"/>
        <v>0.35916071281924944</v>
      </c>
      <c r="O60" s="11"/>
      <c r="P60" s="6">
        <v>1986.06</v>
      </c>
      <c r="Q60" s="2"/>
      <c r="R60" s="7">
        <f t="shared" si="47"/>
        <v>2.5992998069561235E-2</v>
      </c>
      <c r="S60" s="2"/>
      <c r="T60" s="6">
        <v>1461.24</v>
      </c>
      <c r="U60" s="2"/>
      <c r="V60" s="7">
        <f t="shared" si="48"/>
        <v>0.56495532521158176</v>
      </c>
      <c r="W60" s="2"/>
      <c r="X60" s="6">
        <f t="shared" si="49"/>
        <v>524.81999999999994</v>
      </c>
      <c r="Y60" s="2"/>
      <c r="Z60" s="7">
        <f t="shared" si="50"/>
        <v>0.35916071281924938</v>
      </c>
    </row>
    <row r="61" spans="1:26" s="29" customFormat="1" outlineLevel="1" collapsed="1" x14ac:dyDescent="0.3">
      <c r="A61" s="27"/>
      <c r="B61" s="14" t="str">
        <f>CONCATENATE("     ","Interest                                          ")</f>
        <v xml:space="preserve">     Interest                                          </v>
      </c>
      <c r="C61" s="14"/>
      <c r="D61" s="1">
        <f>SUM(OSRRefD22_10x_0)</f>
        <v>3905</v>
      </c>
      <c r="E61" s="1"/>
      <c r="F61" s="5">
        <f t="shared" si="43"/>
        <v>0.31294527584863863</v>
      </c>
      <c r="G61" s="1"/>
      <c r="H61" s="1">
        <f>SUM(OSRRefH22_10x_0)</f>
        <v>4044</v>
      </c>
      <c r="I61" s="1"/>
      <c r="J61" s="5">
        <f t="shared" si="44"/>
        <v>0</v>
      </c>
      <c r="K61" s="1"/>
      <c r="L61" s="1">
        <f t="shared" si="45"/>
        <v>-139</v>
      </c>
      <c r="M61" s="1"/>
      <c r="N61" s="5">
        <f t="shared" si="46"/>
        <v>-3.4371909000989118E-2</v>
      </c>
      <c r="O61" s="14"/>
      <c r="P61" s="1">
        <f>SUM(OSRRefP22_10x_0)</f>
        <v>23154</v>
      </c>
      <c r="Q61" s="1"/>
      <c r="R61" s="5">
        <f t="shared" si="47"/>
        <v>0.30303307921342798</v>
      </c>
      <c r="S61" s="1"/>
      <c r="T61" s="1">
        <f>SUM(OSRRefT22_10x_0)</f>
        <v>24001.85</v>
      </c>
      <c r="U61" s="1"/>
      <c r="V61" s="5">
        <f t="shared" si="48"/>
        <v>9.2797712712693343</v>
      </c>
      <c r="W61" s="1"/>
      <c r="X61" s="1">
        <f t="shared" si="49"/>
        <v>-847.84999999999854</v>
      </c>
      <c r="Y61" s="1"/>
      <c r="Z61" s="5">
        <f t="shared" si="50"/>
        <v>-3.5324360413884703E-2</v>
      </c>
    </row>
    <row r="62" spans="1:26" s="24" customFormat="1" hidden="1" outlineLevel="2" x14ac:dyDescent="0.3">
      <c r="A62" s="28"/>
      <c r="B62" s="11" t="str">
        <f>CONCATENATE("          ", "6401", " - ", "INTEREST EXPENSE")</f>
        <v xml:space="preserve">          6401 - INTEREST EXPENSE</v>
      </c>
      <c r="C62" s="11"/>
      <c r="D62" s="6">
        <v>3905</v>
      </c>
      <c r="E62" s="2"/>
      <c r="F62" s="7">
        <f t="shared" si="43"/>
        <v>0.31294527584863863</v>
      </c>
      <c r="G62" s="2"/>
      <c r="H62" s="6">
        <v>4044</v>
      </c>
      <c r="I62" s="2"/>
      <c r="J62" s="7">
        <f t="shared" si="44"/>
        <v>0</v>
      </c>
      <c r="K62" s="2"/>
      <c r="L62" s="6">
        <f t="shared" si="45"/>
        <v>-139</v>
      </c>
      <c r="M62" s="2"/>
      <c r="N62" s="7">
        <f t="shared" si="46"/>
        <v>-3.4371909000989118E-2</v>
      </c>
      <c r="O62" s="11"/>
      <c r="P62" s="6">
        <v>23154</v>
      </c>
      <c r="Q62" s="2"/>
      <c r="R62" s="7">
        <f t="shared" si="47"/>
        <v>0.30303307921342798</v>
      </c>
      <c r="S62" s="2"/>
      <c r="T62" s="6">
        <v>24001.85</v>
      </c>
      <c r="U62" s="2"/>
      <c r="V62" s="7">
        <f t="shared" si="48"/>
        <v>9.2797712712693343</v>
      </c>
      <c r="W62" s="2"/>
      <c r="X62" s="6">
        <f t="shared" si="49"/>
        <v>-847.84999999999854</v>
      </c>
      <c r="Y62" s="2"/>
      <c r="Z62" s="7">
        <f t="shared" si="50"/>
        <v>-3.5324360413884703E-2</v>
      </c>
    </row>
    <row r="63" spans="1:26" s="29" customFormat="1" outlineLevel="1" collapsed="1" x14ac:dyDescent="0.3">
      <c r="A63" s="27"/>
      <c r="B63" s="14" t="str">
        <f>CONCATENATE("     ","Repair and Maintenance                            ")</f>
        <v xml:space="preserve">     Repair and Maintenance                            </v>
      </c>
      <c r="C63" s="14"/>
      <c r="D63" s="1">
        <f>SUM(OSRRefD22_11x_0)</f>
        <v>613.41999999999996</v>
      </c>
      <c r="E63" s="1"/>
      <c r="F63" s="5">
        <f t="shared" si="43"/>
        <v>4.9159255086061948E-2</v>
      </c>
      <c r="G63" s="1"/>
      <c r="H63" s="1">
        <f>SUM(OSRRefH22_11x_0)</f>
        <v>301.45</v>
      </c>
      <c r="I63" s="1"/>
      <c r="J63" s="5">
        <f t="shared" si="44"/>
        <v>0</v>
      </c>
      <c r="K63" s="1"/>
      <c r="L63" s="1">
        <f t="shared" si="45"/>
        <v>311.96999999999997</v>
      </c>
      <c r="M63" s="1"/>
      <c r="N63" s="5">
        <f t="shared" si="46"/>
        <v>1.0348979930336706</v>
      </c>
      <c r="O63" s="14"/>
      <c r="P63" s="1">
        <f>SUM(OSRRefP22_11x_0)</f>
        <v>2978.25</v>
      </c>
      <c r="Q63" s="1"/>
      <c r="R63" s="5">
        <f t="shared" si="47"/>
        <v>3.897850341916697E-2</v>
      </c>
      <c r="S63" s="1"/>
      <c r="T63" s="1">
        <f>SUM(OSRRefT22_11x_0)</f>
        <v>2291.85</v>
      </c>
      <c r="U63" s="1"/>
      <c r="V63" s="5">
        <f t="shared" si="48"/>
        <v>0.88609185492195919</v>
      </c>
      <c r="W63" s="1"/>
      <c r="X63" s="1">
        <f t="shared" si="49"/>
        <v>686.40000000000009</v>
      </c>
      <c r="Y63" s="1"/>
      <c r="Z63" s="5">
        <f t="shared" si="50"/>
        <v>0.29949604031677474</v>
      </c>
    </row>
    <row r="64" spans="1:26" s="24" customFormat="1" hidden="1" outlineLevel="2" x14ac:dyDescent="0.3">
      <c r="A64" s="28"/>
      <c r="B64" s="11" t="str">
        <f>CONCATENATE("          ", "6373", " - ", "MAINTENANCE CONTRACTS")</f>
        <v xml:space="preserve">          6373 - MAINTENANCE CONTRACTS</v>
      </c>
      <c r="C64" s="11"/>
      <c r="D64" s="6">
        <v>613.41999999999996</v>
      </c>
      <c r="E64" s="2"/>
      <c r="F64" s="7">
        <f t="shared" si="43"/>
        <v>4.9159255086061948E-2</v>
      </c>
      <c r="G64" s="2"/>
      <c r="H64" s="6">
        <v>301.45</v>
      </c>
      <c r="I64" s="2"/>
      <c r="J64" s="7">
        <f t="shared" si="44"/>
        <v>0</v>
      </c>
      <c r="K64" s="2"/>
      <c r="L64" s="6">
        <f t="shared" si="45"/>
        <v>311.96999999999997</v>
      </c>
      <c r="M64" s="2"/>
      <c r="N64" s="7">
        <f t="shared" si="46"/>
        <v>1.0348979930336706</v>
      </c>
      <c r="O64" s="11"/>
      <c r="P64" s="6">
        <v>817</v>
      </c>
      <c r="Q64" s="2"/>
      <c r="R64" s="7">
        <f t="shared" si="47"/>
        <v>1.0692667604619965E-2</v>
      </c>
      <c r="S64" s="2"/>
      <c r="T64" s="6">
        <v>956.6</v>
      </c>
      <c r="U64" s="2"/>
      <c r="V64" s="7">
        <f t="shared" si="48"/>
        <v>0.36984770749322432</v>
      </c>
      <c r="W64" s="2"/>
      <c r="X64" s="6">
        <f t="shared" si="49"/>
        <v>-139.60000000000002</v>
      </c>
      <c r="Y64" s="2"/>
      <c r="Z64" s="7">
        <f t="shared" si="50"/>
        <v>-0.14593351453062933</v>
      </c>
    </row>
    <row r="65" spans="1:26" s="24" customFormat="1" hidden="1" outlineLevel="2" x14ac:dyDescent="0.3">
      <c r="A65" s="28"/>
      <c r="B65" s="11" t="str">
        <f>CONCATENATE("          ", "6375", " - ", "OUTSIDE REPAIRS &amp; MAINTENANCE")</f>
        <v xml:space="preserve">          6375 - OUTSIDE REPAIRS &amp; MAINTENANCE</v>
      </c>
      <c r="C65" s="11"/>
      <c r="D65" s="6"/>
      <c r="E65" s="2"/>
      <c r="F65" s="7">
        <f t="shared" si="43"/>
        <v>0</v>
      </c>
      <c r="G65" s="2"/>
      <c r="H65" s="6"/>
      <c r="I65" s="2"/>
      <c r="J65" s="7">
        <f t="shared" si="44"/>
        <v>0</v>
      </c>
      <c r="K65" s="2"/>
      <c r="L65" s="6">
        <f t="shared" si="45"/>
        <v>0</v>
      </c>
      <c r="M65" s="2"/>
      <c r="N65" s="7">
        <f t="shared" si="46"/>
        <v>0</v>
      </c>
      <c r="O65" s="11"/>
      <c r="P65" s="6">
        <v>2161.25</v>
      </c>
      <c r="Q65" s="2"/>
      <c r="R65" s="7">
        <f t="shared" si="47"/>
        <v>2.8285835814547002E-2</v>
      </c>
      <c r="S65" s="2"/>
      <c r="T65" s="6">
        <v>1335.25</v>
      </c>
      <c r="U65" s="2"/>
      <c r="V65" s="7">
        <f t="shared" si="48"/>
        <v>0.51624414742873481</v>
      </c>
      <c r="W65" s="2"/>
      <c r="X65" s="6">
        <f t="shared" si="49"/>
        <v>826</v>
      </c>
      <c r="Y65" s="2"/>
      <c r="Z65" s="7">
        <f t="shared" si="50"/>
        <v>0.61861074705111407</v>
      </c>
    </row>
    <row r="66" spans="1:26" s="29" customFormat="1" outlineLevel="1" collapsed="1" x14ac:dyDescent="0.3">
      <c r="A66" s="27"/>
      <c r="B66" s="14" t="str">
        <f>CONCATENATE("     ","Royalty &amp; Commissions                             ")</f>
        <v xml:space="preserve">     Royalty &amp; Commissions                             </v>
      </c>
      <c r="C66" s="14"/>
      <c r="D66" s="1">
        <f>SUM(OSRRefD22_12x_0)</f>
        <v>0</v>
      </c>
      <c r="E66" s="1"/>
      <c r="F66" s="5">
        <f t="shared" ref="F66:F72" si="51">IF(D$12=0,0,D66/D$12)</f>
        <v>0</v>
      </c>
      <c r="G66" s="1"/>
      <c r="H66" s="1">
        <f>SUM(OSRRefH22_12x_0)</f>
        <v>0</v>
      </c>
      <c r="I66" s="1"/>
      <c r="J66" s="5">
        <f t="shared" ref="J66:J72" si="52">IF(H$12=0,0,H66/H$12)</f>
        <v>0</v>
      </c>
      <c r="K66" s="1"/>
      <c r="L66" s="1">
        <f t="shared" ref="L66:L72" si="53">+D66-H66</f>
        <v>0</v>
      </c>
      <c r="M66" s="1"/>
      <c r="N66" s="5">
        <f t="shared" ref="N66:N72" si="54">IF(H66=0,0,L66/H66)</f>
        <v>0</v>
      </c>
      <c r="O66" s="14"/>
      <c r="P66" s="1">
        <f>SUM(OSRRefP22_12x_0)</f>
        <v>0</v>
      </c>
      <c r="Q66" s="1"/>
      <c r="R66" s="5">
        <f t="shared" ref="R66:R72" si="55">IF(P$12=0,0,P66/P$12)</f>
        <v>0</v>
      </c>
      <c r="S66" s="1"/>
      <c r="T66" s="1">
        <f>SUM(OSRRefT22_12x_0)</f>
        <v>185.7</v>
      </c>
      <c r="U66" s="1"/>
      <c r="V66" s="5">
        <f t="shared" ref="V66:V72" si="56">IF(T$12=0,0,T66/T$12)</f>
        <v>7.1796695882805517E-2</v>
      </c>
      <c r="W66" s="1"/>
      <c r="X66" s="1">
        <f t="shared" ref="X66:X72" si="57">+P66-T66</f>
        <v>-185.7</v>
      </c>
      <c r="Y66" s="1"/>
      <c r="Z66" s="5">
        <f t="shared" ref="Z66:Z72" si="58">IF(T66=0,0,X66/T66)</f>
        <v>-1</v>
      </c>
    </row>
    <row r="67" spans="1:26" s="24" customFormat="1" hidden="1" outlineLevel="2" x14ac:dyDescent="0.3">
      <c r="A67" s="28"/>
      <c r="B67" s="11" t="str">
        <f>CONCATENATE("          ", "6254", " - ", "ROYALTY &amp; COMMISSIONS")</f>
        <v xml:space="preserve">          6254 - ROYALTY &amp; COMMISSIONS</v>
      </c>
      <c r="C67" s="11"/>
      <c r="D67" s="6"/>
      <c r="E67" s="2"/>
      <c r="F67" s="7">
        <f t="shared" si="51"/>
        <v>0</v>
      </c>
      <c r="G67" s="2"/>
      <c r="H67" s="6"/>
      <c r="I67" s="2"/>
      <c r="J67" s="7">
        <f t="shared" si="52"/>
        <v>0</v>
      </c>
      <c r="K67" s="2"/>
      <c r="L67" s="6">
        <f t="shared" si="53"/>
        <v>0</v>
      </c>
      <c r="M67" s="2"/>
      <c r="N67" s="7">
        <f t="shared" si="54"/>
        <v>0</v>
      </c>
      <c r="O67" s="11"/>
      <c r="P67" s="6"/>
      <c r="Q67" s="2"/>
      <c r="R67" s="7">
        <f t="shared" si="55"/>
        <v>0</v>
      </c>
      <c r="S67" s="2"/>
      <c r="T67" s="6">
        <v>185.7</v>
      </c>
      <c r="U67" s="2"/>
      <c r="V67" s="7">
        <f t="shared" si="56"/>
        <v>7.1796695882805517E-2</v>
      </c>
      <c r="W67" s="2"/>
      <c r="X67" s="6">
        <f t="shared" si="57"/>
        <v>-185.7</v>
      </c>
      <c r="Y67" s="2"/>
      <c r="Z67" s="7">
        <f t="shared" si="58"/>
        <v>-1</v>
      </c>
    </row>
    <row r="68" spans="1:26" s="29" customFormat="1" outlineLevel="1" collapsed="1" x14ac:dyDescent="0.3">
      <c r="A68" s="27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SUM(OSRRefD22_13x_0)</f>
        <v>434.40999999999997</v>
      </c>
      <c r="E68" s="1"/>
      <c r="F68" s="5">
        <f t="shared" si="51"/>
        <v>3.4813458970910913E-2</v>
      </c>
      <c r="G68" s="1"/>
      <c r="H68" s="1">
        <f>SUM(OSRRefH22_13x_0)</f>
        <v>998.65</v>
      </c>
      <c r="I68" s="1"/>
      <c r="J68" s="5">
        <f t="shared" si="52"/>
        <v>0</v>
      </c>
      <c r="K68" s="1"/>
      <c r="L68" s="1">
        <f t="shared" si="53"/>
        <v>-564.24</v>
      </c>
      <c r="M68" s="1"/>
      <c r="N68" s="5">
        <f t="shared" si="54"/>
        <v>-0.56500275371751862</v>
      </c>
      <c r="O68" s="14"/>
      <c r="P68" s="1">
        <f>SUM(OSRRefP22_13x_0)</f>
        <v>9802.9399999999987</v>
      </c>
      <c r="Q68" s="1"/>
      <c r="R68" s="5">
        <f t="shared" si="55"/>
        <v>0.1282981382717665</v>
      </c>
      <c r="S68" s="1"/>
      <c r="T68" s="1">
        <f>SUM(OSRRefT22_13x_0)</f>
        <v>353.89</v>
      </c>
      <c r="U68" s="1"/>
      <c r="V68" s="5">
        <f t="shared" si="56"/>
        <v>0.13682354715113648</v>
      </c>
      <c r="W68" s="1"/>
      <c r="X68" s="1">
        <f t="shared" si="57"/>
        <v>9449.0499999999993</v>
      </c>
      <c r="Y68" s="1"/>
      <c r="Z68" s="5">
        <f t="shared" si="58"/>
        <v>26.700528412783633</v>
      </c>
    </row>
    <row r="69" spans="1:26" s="24" customFormat="1" hidden="1" outlineLevel="2" x14ac:dyDescent="0.3">
      <c r="A69" s="28"/>
      <c r="B69" s="11" t="str">
        <f>CONCATENATE("          ", "6282", " - ", "JANITORIAL/EXTERMINATOR EXPENS")</f>
        <v xml:space="preserve">          6282 - JANITORIAL/EXTERMINATOR EXPENS</v>
      </c>
      <c r="C69" s="11"/>
      <c r="D69" s="6">
        <v>320.25</v>
      </c>
      <c r="E69" s="2"/>
      <c r="F69" s="7">
        <f t="shared" si="51"/>
        <v>2.5664718205000391E-2</v>
      </c>
      <c r="G69" s="2"/>
      <c r="H69" s="6">
        <v>709.65</v>
      </c>
      <c r="I69" s="2"/>
      <c r="J69" s="7">
        <f t="shared" si="52"/>
        <v>0</v>
      </c>
      <c r="K69" s="2"/>
      <c r="L69" s="6">
        <f t="shared" si="53"/>
        <v>-389.4</v>
      </c>
      <c r="M69" s="2"/>
      <c r="N69" s="7">
        <f t="shared" si="54"/>
        <v>-0.54872120059184104</v>
      </c>
      <c r="O69" s="11"/>
      <c r="P69" s="6">
        <v>1921.5</v>
      </c>
      <c r="Q69" s="2"/>
      <c r="R69" s="7">
        <f t="shared" si="55"/>
        <v>2.5148054837548669E-2</v>
      </c>
      <c r="S69" s="2"/>
      <c r="T69" s="6">
        <v>580.49</v>
      </c>
      <c r="U69" s="2"/>
      <c r="V69" s="7">
        <f t="shared" si="56"/>
        <v>0.22443330098551306</v>
      </c>
      <c r="W69" s="2"/>
      <c r="X69" s="6">
        <f t="shared" si="57"/>
        <v>1341.01</v>
      </c>
      <c r="Y69" s="2"/>
      <c r="Z69" s="7">
        <f t="shared" si="58"/>
        <v>2.3101345415080363</v>
      </c>
    </row>
    <row r="70" spans="1:26" s="24" customFormat="1" hidden="1" outlineLevel="2" x14ac:dyDescent="0.3">
      <c r="A70" s="28"/>
      <c r="B70" s="11" t="str">
        <f>CONCATENATE("          ", "6284", " - ", "TRASH REMOVAL EXPENSE")</f>
        <v xml:space="preserve">          6284 - TRASH REMOVAL EXPENSE</v>
      </c>
      <c r="C70" s="11"/>
      <c r="D70" s="6"/>
      <c r="E70" s="2"/>
      <c r="F70" s="7">
        <f t="shared" si="51"/>
        <v>0</v>
      </c>
      <c r="G70" s="2"/>
      <c r="H70" s="6">
        <v>289</v>
      </c>
      <c r="I70" s="2"/>
      <c r="J70" s="7">
        <f t="shared" si="52"/>
        <v>0</v>
      </c>
      <c r="K70" s="2"/>
      <c r="L70" s="6">
        <f t="shared" si="53"/>
        <v>-289</v>
      </c>
      <c r="M70" s="2"/>
      <c r="N70" s="7">
        <f t="shared" si="54"/>
        <v>-1</v>
      </c>
      <c r="O70" s="11"/>
      <c r="P70" s="6"/>
      <c r="Q70" s="2"/>
      <c r="R70" s="7">
        <f t="shared" si="55"/>
        <v>0</v>
      </c>
      <c r="S70" s="2"/>
      <c r="T70" s="6">
        <v>578</v>
      </c>
      <c r="U70" s="2"/>
      <c r="V70" s="7">
        <f t="shared" si="56"/>
        <v>0.22347059892440274</v>
      </c>
      <c r="W70" s="2"/>
      <c r="X70" s="6">
        <f t="shared" si="57"/>
        <v>-578</v>
      </c>
      <c r="Y70" s="2"/>
      <c r="Z70" s="7">
        <f t="shared" si="58"/>
        <v>-1</v>
      </c>
    </row>
    <row r="71" spans="1:26" s="24" customFormat="1" hidden="1" outlineLevel="2" x14ac:dyDescent="0.3">
      <c r="A71" s="28"/>
      <c r="B71" s="11" t="str">
        <f>CONCATENATE("          ", "6285", " - ", "JANITORIAL SERVICES")</f>
        <v xml:space="preserve">          6285 - JANITORIAL SERVICES</v>
      </c>
      <c r="C71" s="11"/>
      <c r="D71" s="6"/>
      <c r="E71" s="2"/>
      <c r="F71" s="7">
        <f t="shared" si="51"/>
        <v>0</v>
      </c>
      <c r="G71" s="2"/>
      <c r="H71" s="6"/>
      <c r="I71" s="2"/>
      <c r="J71" s="7">
        <f t="shared" si="52"/>
        <v>0</v>
      </c>
      <c r="K71" s="2"/>
      <c r="L71" s="6">
        <f t="shared" si="53"/>
        <v>0</v>
      </c>
      <c r="M71" s="2"/>
      <c r="N71" s="7">
        <f t="shared" si="54"/>
        <v>0</v>
      </c>
      <c r="O71" s="11"/>
      <c r="P71" s="6">
        <v>7455.64</v>
      </c>
      <c r="Q71" s="2"/>
      <c r="R71" s="7">
        <f t="shared" si="55"/>
        <v>9.7577332068187028E-2</v>
      </c>
      <c r="S71" s="2"/>
      <c r="T71" s="6">
        <v>-804.6</v>
      </c>
      <c r="U71" s="2"/>
      <c r="V71" s="7">
        <f t="shared" si="56"/>
        <v>-0.31108035275877932</v>
      </c>
      <c r="W71" s="2"/>
      <c r="X71" s="6">
        <f t="shared" si="57"/>
        <v>8260.24</v>
      </c>
      <c r="Y71" s="2"/>
      <c r="Z71" s="7">
        <f t="shared" si="58"/>
        <v>-10.266268953517276</v>
      </c>
    </row>
    <row r="72" spans="1:26" s="24" customFormat="1" hidden="1" outlineLevel="2" x14ac:dyDescent="0.3">
      <c r="A72" s="28"/>
      <c r="B72" s="11" t="str">
        <f>CONCATENATE("          ", "6286", " - ", "LAUNDRY EXPENSE")</f>
        <v xml:space="preserve">          6286 - LAUNDRY EXPENSE</v>
      </c>
      <c r="C72" s="11"/>
      <c r="D72" s="6">
        <v>114.16</v>
      </c>
      <c r="E72" s="2"/>
      <c r="F72" s="7">
        <f t="shared" si="51"/>
        <v>9.1487407659105215E-3</v>
      </c>
      <c r="G72" s="2"/>
      <c r="H72" s="6"/>
      <c r="I72" s="2"/>
      <c r="J72" s="7">
        <f t="shared" si="52"/>
        <v>0</v>
      </c>
      <c r="K72" s="2"/>
      <c r="L72" s="6">
        <f t="shared" si="53"/>
        <v>114.16</v>
      </c>
      <c r="M72" s="2"/>
      <c r="N72" s="7">
        <f t="shared" si="54"/>
        <v>0</v>
      </c>
      <c r="O72" s="11"/>
      <c r="P72" s="6">
        <v>425.8</v>
      </c>
      <c r="Q72" s="2"/>
      <c r="R72" s="7">
        <f t="shared" si="55"/>
        <v>5.5727513660308219E-3</v>
      </c>
      <c r="S72" s="2"/>
      <c r="T72" s="6"/>
      <c r="U72" s="2"/>
      <c r="V72" s="7">
        <f t="shared" si="56"/>
        <v>0</v>
      </c>
      <c r="W72" s="2"/>
      <c r="X72" s="6">
        <f t="shared" si="57"/>
        <v>425.8</v>
      </c>
      <c r="Y72" s="2"/>
      <c r="Z72" s="7">
        <f t="shared" si="58"/>
        <v>0</v>
      </c>
    </row>
    <row r="73" spans="1:26" s="29" customFormat="1" outlineLevel="1" collapsed="1" x14ac:dyDescent="0.3">
      <c r="A73" s="27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SUM(OSRRefD22_14x_0)</f>
        <v>179.59</v>
      </c>
      <c r="E73" s="1"/>
      <c r="F73" s="5">
        <f t="shared" ref="F73:F78" si="59">IF(D$12=0,0,D73/D$12)</f>
        <v>1.4392277103625355E-2</v>
      </c>
      <c r="G73" s="1"/>
      <c r="H73" s="1">
        <f>SUM(OSRRefH22_14x_0)</f>
        <v>0</v>
      </c>
      <c r="I73" s="1"/>
      <c r="J73" s="5">
        <f t="shared" ref="J73:J78" si="60">IF(H$12=0,0,H73/H$12)</f>
        <v>0</v>
      </c>
      <c r="K73" s="1"/>
      <c r="L73" s="1">
        <f t="shared" ref="L73:L78" si="61">+D73-H73</f>
        <v>179.59</v>
      </c>
      <c r="M73" s="1"/>
      <c r="N73" s="5">
        <f t="shared" ref="N73:N78" si="62">IF(H73=0,0,L73/H73)</f>
        <v>0</v>
      </c>
      <c r="O73" s="14"/>
      <c r="P73" s="1">
        <f>SUM(OSRRefP22_14x_0)</f>
        <v>2764.29</v>
      </c>
      <c r="Q73" s="1"/>
      <c r="R73" s="5">
        <f t="shared" ref="R73:R78" si="63">IF(P$12=0,0,P73/P$12)</f>
        <v>3.6178254752478489E-2</v>
      </c>
      <c r="S73" s="1"/>
      <c r="T73" s="1">
        <f>SUM(OSRRefT22_14x_0)</f>
        <v>1094.0899999999999</v>
      </c>
      <c r="U73" s="1"/>
      <c r="V73" s="5">
        <f t="shared" ref="V73:V78" si="64">IF(T$12=0,0,T73/T$12)</f>
        <v>0.42300509961453248</v>
      </c>
      <c r="W73" s="1"/>
      <c r="X73" s="1">
        <f t="shared" ref="X73:X78" si="65">+P73-T73</f>
        <v>1670.2</v>
      </c>
      <c r="Y73" s="1"/>
      <c r="Z73" s="5">
        <f t="shared" ref="Z73:Z78" si="66">IF(T73=0,0,X73/T73)</f>
        <v>1.5265654562238939</v>
      </c>
    </row>
    <row r="74" spans="1:26" s="24" customFormat="1" hidden="1" outlineLevel="2" x14ac:dyDescent="0.3">
      <c r="A74" s="28"/>
      <c r="B74" s="11" t="str">
        <f>CONCATENATE("          ", "6234", " - ", "EXPENDABLE SUPPLIES &amp; EQUIPMEN")</f>
        <v xml:space="preserve">          6234 - EXPENDABLE SUPPLIES &amp; EQUIPMEN</v>
      </c>
      <c r="C74" s="11"/>
      <c r="D74" s="6"/>
      <c r="E74" s="2"/>
      <c r="F74" s="7">
        <f t="shared" si="59"/>
        <v>0</v>
      </c>
      <c r="G74" s="2"/>
      <c r="H74" s="6"/>
      <c r="I74" s="2"/>
      <c r="J74" s="7">
        <f t="shared" si="60"/>
        <v>0</v>
      </c>
      <c r="K74" s="2"/>
      <c r="L74" s="6">
        <f t="shared" si="61"/>
        <v>0</v>
      </c>
      <c r="M74" s="2"/>
      <c r="N74" s="7">
        <f t="shared" si="62"/>
        <v>0</v>
      </c>
      <c r="O74" s="11"/>
      <c r="P74" s="6">
        <v>1194.8900000000001</v>
      </c>
      <c r="Q74" s="2"/>
      <c r="R74" s="7">
        <f t="shared" si="63"/>
        <v>1.5638386284068974E-2</v>
      </c>
      <c r="S74" s="2"/>
      <c r="T74" s="6">
        <v>316.67</v>
      </c>
      <c r="U74" s="2"/>
      <c r="V74" s="7">
        <f t="shared" si="64"/>
        <v>0.12243327778787304</v>
      </c>
      <c r="W74" s="2"/>
      <c r="X74" s="6">
        <f t="shared" si="65"/>
        <v>878.22</v>
      </c>
      <c r="Y74" s="2"/>
      <c r="Z74" s="7">
        <f t="shared" si="66"/>
        <v>2.7732971231881769</v>
      </c>
    </row>
    <row r="75" spans="1:26" s="24" customFormat="1" hidden="1" outlineLevel="2" x14ac:dyDescent="0.3">
      <c r="A75" s="28"/>
      <c r="B75" s="11" t="str">
        <f>CONCATENATE("          ", "6235", " - ", "COVID-19 EXPENSES")</f>
        <v xml:space="preserve">          6235 - COVID-19 EXPENSES</v>
      </c>
      <c r="C75" s="11"/>
      <c r="D75" s="6"/>
      <c r="E75" s="2"/>
      <c r="F75" s="7">
        <f t="shared" si="59"/>
        <v>0</v>
      </c>
      <c r="G75" s="2"/>
      <c r="H75" s="6"/>
      <c r="I75" s="2"/>
      <c r="J75" s="7">
        <f t="shared" si="60"/>
        <v>0</v>
      </c>
      <c r="K75" s="2"/>
      <c r="L75" s="6">
        <f t="shared" si="61"/>
        <v>0</v>
      </c>
      <c r="M75" s="2"/>
      <c r="N75" s="7">
        <f t="shared" si="62"/>
        <v>0</v>
      </c>
      <c r="O75" s="11"/>
      <c r="P75" s="6"/>
      <c r="Q75" s="2"/>
      <c r="R75" s="7">
        <f t="shared" si="63"/>
        <v>0</v>
      </c>
      <c r="S75" s="2"/>
      <c r="T75" s="6">
        <v>207.27</v>
      </c>
      <c r="U75" s="2"/>
      <c r="V75" s="7">
        <f t="shared" si="64"/>
        <v>8.0136247472423802E-2</v>
      </c>
      <c r="W75" s="2"/>
      <c r="X75" s="6">
        <f t="shared" si="65"/>
        <v>-207.27</v>
      </c>
      <c r="Y75" s="2"/>
      <c r="Z75" s="7">
        <f t="shared" si="66"/>
        <v>-1</v>
      </c>
    </row>
    <row r="76" spans="1:26" s="24" customFormat="1" hidden="1" outlineLevel="2" x14ac:dyDescent="0.3">
      <c r="A76" s="28"/>
      <c r="B76" s="11" t="str">
        <f>CONCATENATE("          ", "6237", " - ", "JANITORIAL SUPPLIES")</f>
        <v xml:space="preserve">          6237 - JANITORIAL SUPPLIES</v>
      </c>
      <c r="C76" s="11"/>
      <c r="D76" s="6">
        <v>76.540000000000006</v>
      </c>
      <c r="E76" s="2"/>
      <c r="F76" s="7">
        <f t="shared" si="59"/>
        <v>6.1338876859039189E-3</v>
      </c>
      <c r="G76" s="2"/>
      <c r="H76" s="6"/>
      <c r="I76" s="2"/>
      <c r="J76" s="7">
        <f t="shared" si="60"/>
        <v>0</v>
      </c>
      <c r="K76" s="2"/>
      <c r="L76" s="6">
        <f t="shared" si="61"/>
        <v>76.540000000000006</v>
      </c>
      <c r="M76" s="2"/>
      <c r="N76" s="7">
        <f t="shared" si="62"/>
        <v>0</v>
      </c>
      <c r="O76" s="11"/>
      <c r="P76" s="6">
        <v>603.72</v>
      </c>
      <c r="Q76" s="2"/>
      <c r="R76" s="7">
        <f t="shared" si="63"/>
        <v>7.9013185878349639E-3</v>
      </c>
      <c r="S76" s="2"/>
      <c r="T76" s="6">
        <v>317.57</v>
      </c>
      <c r="U76" s="2"/>
      <c r="V76" s="7">
        <f t="shared" si="64"/>
        <v>0.12278124238827436</v>
      </c>
      <c r="W76" s="2"/>
      <c r="X76" s="6">
        <f t="shared" si="65"/>
        <v>286.15000000000003</v>
      </c>
      <c r="Y76" s="2"/>
      <c r="Z76" s="7">
        <f t="shared" si="66"/>
        <v>0.90106118336114882</v>
      </c>
    </row>
    <row r="77" spans="1:26" s="24" customFormat="1" hidden="1" outlineLevel="2" x14ac:dyDescent="0.3">
      <c r="A77" s="28"/>
      <c r="B77" s="11" t="str">
        <f>CONCATENATE("          ", "6241", " - ", "OFFICE EXPENSE")</f>
        <v xml:space="preserve">          6241 - OFFICE EXPENSE</v>
      </c>
      <c r="C77" s="11"/>
      <c r="D77" s="6">
        <v>36.71</v>
      </c>
      <c r="E77" s="2"/>
      <c r="F77" s="7">
        <f t="shared" si="59"/>
        <v>2.9419260118831048E-3</v>
      </c>
      <c r="G77" s="2"/>
      <c r="H77" s="6"/>
      <c r="I77" s="2"/>
      <c r="J77" s="7">
        <f t="shared" si="60"/>
        <v>0</v>
      </c>
      <c r="K77" s="2"/>
      <c r="L77" s="6">
        <f t="shared" si="61"/>
        <v>36.71</v>
      </c>
      <c r="M77" s="2"/>
      <c r="N77" s="7">
        <f t="shared" si="62"/>
        <v>0</v>
      </c>
      <c r="O77" s="11"/>
      <c r="P77" s="6">
        <v>214.19</v>
      </c>
      <c r="Q77" s="2"/>
      <c r="R77" s="7">
        <f t="shared" si="63"/>
        <v>2.8032588423911264E-3</v>
      </c>
      <c r="S77" s="2"/>
      <c r="T77" s="6">
        <v>131.30000000000001</v>
      </c>
      <c r="U77" s="2"/>
      <c r="V77" s="7">
        <f t="shared" si="64"/>
        <v>5.0764168925214674E-2</v>
      </c>
      <c r="W77" s="2"/>
      <c r="X77" s="6">
        <f t="shared" si="65"/>
        <v>82.889999999999986</v>
      </c>
      <c r="Y77" s="2"/>
      <c r="Z77" s="7">
        <f t="shared" si="66"/>
        <v>0.6313023610053311</v>
      </c>
    </row>
    <row r="78" spans="1:26" s="24" customFormat="1" hidden="1" outlineLevel="2" x14ac:dyDescent="0.3">
      <c r="A78" s="28"/>
      <c r="B78" s="11" t="str">
        <f>CONCATENATE("          ", "6247", " - ", "STORE SUPPLIES")</f>
        <v xml:space="preserve">          6247 - STORE SUPPLIES</v>
      </c>
      <c r="C78" s="11"/>
      <c r="D78" s="6">
        <v>66.34</v>
      </c>
      <c r="E78" s="2"/>
      <c r="F78" s="7">
        <f t="shared" si="59"/>
        <v>5.3164634058383321E-3</v>
      </c>
      <c r="G78" s="2"/>
      <c r="H78" s="6"/>
      <c r="I78" s="2"/>
      <c r="J78" s="7">
        <f t="shared" si="60"/>
        <v>0</v>
      </c>
      <c r="K78" s="2"/>
      <c r="L78" s="6">
        <f t="shared" si="61"/>
        <v>66.34</v>
      </c>
      <c r="M78" s="2"/>
      <c r="N78" s="7">
        <f t="shared" si="62"/>
        <v>0</v>
      </c>
      <c r="O78" s="11"/>
      <c r="P78" s="6">
        <v>751.49</v>
      </c>
      <c r="Q78" s="2"/>
      <c r="R78" s="7">
        <f t="shared" si="63"/>
        <v>9.8352910381834247E-3</v>
      </c>
      <c r="S78" s="2"/>
      <c r="T78" s="6">
        <v>121.28</v>
      </c>
      <c r="U78" s="2"/>
      <c r="V78" s="7">
        <f t="shared" si="64"/>
        <v>4.6890163040746648E-2</v>
      </c>
      <c r="W78" s="2"/>
      <c r="X78" s="6">
        <f t="shared" si="65"/>
        <v>630.21</v>
      </c>
      <c r="Y78" s="2"/>
      <c r="Z78" s="7">
        <f t="shared" si="66"/>
        <v>5.196322559366755</v>
      </c>
    </row>
    <row r="79" spans="1:26" s="29" customFormat="1" outlineLevel="1" collapsed="1" x14ac:dyDescent="0.3">
      <c r="A79" s="27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SUM(OSRRefD22_15x_0)</f>
        <v>603.5</v>
      </c>
      <c r="E79" s="1"/>
      <c r="F79" s="5">
        <f t="shared" ref="F79:F82" si="67">IF(D$12=0,0,D79/D$12)</f>
        <v>4.8364269903880514E-2</v>
      </c>
      <c r="G79" s="1"/>
      <c r="H79" s="1">
        <f>SUM(OSRRefH22_15x_0)</f>
        <v>275.55</v>
      </c>
      <c r="I79" s="1"/>
      <c r="J79" s="5">
        <f t="shared" ref="J79:J82" si="68">IF(H$12=0,0,H79/H$12)</f>
        <v>0</v>
      </c>
      <c r="K79" s="1"/>
      <c r="L79" s="1">
        <f t="shared" ref="L79:L82" si="69">+D79-H79</f>
        <v>327.95</v>
      </c>
      <c r="M79" s="1"/>
      <c r="N79" s="5">
        <f t="shared" ref="N79:N82" si="70">IF(H79=0,0,L79/H79)</f>
        <v>1.1901651242968607</v>
      </c>
      <c r="O79" s="14"/>
      <c r="P79" s="1">
        <f>SUM(OSRRefP22_15x_0)</f>
        <v>1154.5</v>
      </c>
      <c r="Q79" s="1"/>
      <c r="R79" s="5">
        <f t="shared" ref="R79:R82" si="71">IF(P$12=0,0,P79/P$12)</f>
        <v>1.5109773255243267E-2</v>
      </c>
      <c r="S79" s="1"/>
      <c r="T79" s="1">
        <f>SUM(OSRRefT22_15x_0)</f>
        <v>2660.29</v>
      </c>
      <c r="U79" s="1"/>
      <c r="V79" s="5">
        <f t="shared" ref="V79:V82" si="72">IF(T$12=0,0,T79/T$12)</f>
        <v>1.0285408297795837</v>
      </c>
      <c r="W79" s="1"/>
      <c r="X79" s="1">
        <f t="shared" ref="X79:X82" si="73">+P79-T79</f>
        <v>-1505.79</v>
      </c>
      <c r="Y79" s="1"/>
      <c r="Z79" s="5">
        <f t="shared" ref="Z79:Z82" si="74">IF(T79=0,0,X79/T79)</f>
        <v>-0.56602475669945762</v>
      </c>
    </row>
    <row r="80" spans="1:26" s="24" customFormat="1" hidden="1" outlineLevel="2" x14ac:dyDescent="0.3">
      <c r="A80" s="28"/>
      <c r="B80" s="11" t="str">
        <f>CONCATENATE("          ", "6309", " - ", "TELEPHONE")</f>
        <v xml:space="preserve">          6309 - TELEPHONE</v>
      </c>
      <c r="C80" s="11"/>
      <c r="D80" s="6">
        <v>603.5</v>
      </c>
      <c r="E80" s="2"/>
      <c r="F80" s="7">
        <f t="shared" si="67"/>
        <v>4.8364269903880514E-2</v>
      </c>
      <c r="G80" s="2"/>
      <c r="H80" s="6">
        <v>275.55</v>
      </c>
      <c r="I80" s="2"/>
      <c r="J80" s="7">
        <f t="shared" si="68"/>
        <v>0</v>
      </c>
      <c r="K80" s="2"/>
      <c r="L80" s="6">
        <f t="shared" si="69"/>
        <v>327.95</v>
      </c>
      <c r="M80" s="2"/>
      <c r="N80" s="7">
        <f t="shared" si="70"/>
        <v>1.1901651242968607</v>
      </c>
      <c r="O80" s="11"/>
      <c r="P80" s="6">
        <v>1154.5</v>
      </c>
      <c r="Q80" s="2"/>
      <c r="R80" s="7">
        <f t="shared" si="71"/>
        <v>1.5109773255243267E-2</v>
      </c>
      <c r="S80" s="2"/>
      <c r="T80" s="6">
        <v>2660.29</v>
      </c>
      <c r="U80" s="2"/>
      <c r="V80" s="7">
        <f t="shared" si="72"/>
        <v>1.0285408297795837</v>
      </c>
      <c r="W80" s="2"/>
      <c r="X80" s="6">
        <f t="shared" si="73"/>
        <v>-1505.79</v>
      </c>
      <c r="Y80" s="2"/>
      <c r="Z80" s="7">
        <f t="shared" si="74"/>
        <v>-0.56602475669945762</v>
      </c>
    </row>
    <row r="81" spans="1:26" s="29" customFormat="1" outlineLevel="1" collapsed="1" x14ac:dyDescent="0.3">
      <c r="A81" s="27"/>
      <c r="B81" s="14" t="str">
        <f>CONCATENATE("     ","Utilities                                         ")</f>
        <v xml:space="preserve">     Utilities                                         </v>
      </c>
      <c r="C81" s="14"/>
      <c r="D81" s="1">
        <f>SUM(OSRRefD22_16x_0)</f>
        <v>100</v>
      </c>
      <c r="E81" s="1"/>
      <c r="F81" s="5">
        <f t="shared" si="67"/>
        <v>8.0139635300547664E-3</v>
      </c>
      <c r="G81" s="1"/>
      <c r="H81" s="1">
        <f>SUM(OSRRefH22_16x_0)</f>
        <v>1136</v>
      </c>
      <c r="I81" s="1"/>
      <c r="J81" s="5">
        <f t="shared" si="68"/>
        <v>0</v>
      </c>
      <c r="K81" s="1"/>
      <c r="L81" s="1">
        <f t="shared" si="69"/>
        <v>-1036</v>
      </c>
      <c r="M81" s="1"/>
      <c r="N81" s="5">
        <f t="shared" si="70"/>
        <v>-0.9119718309859155</v>
      </c>
      <c r="O81" s="14"/>
      <c r="P81" s="1">
        <f>SUM(OSRRefP22_16x_0)</f>
        <v>600</v>
      </c>
      <c r="Q81" s="1"/>
      <c r="R81" s="5">
        <f t="shared" si="71"/>
        <v>7.8526322677747607E-3</v>
      </c>
      <c r="S81" s="1"/>
      <c r="T81" s="1">
        <f>SUM(OSRRefT22_16x_0)</f>
        <v>3558</v>
      </c>
      <c r="U81" s="1"/>
      <c r="V81" s="5">
        <f t="shared" si="72"/>
        <v>1.3756200535865484</v>
      </c>
      <c r="W81" s="1"/>
      <c r="X81" s="1">
        <f t="shared" si="73"/>
        <v>-2958</v>
      </c>
      <c r="Y81" s="1"/>
      <c r="Z81" s="5">
        <f t="shared" si="74"/>
        <v>-0.83136593591905561</v>
      </c>
    </row>
    <row r="82" spans="1:26" s="24" customFormat="1" hidden="1" outlineLevel="2" x14ac:dyDescent="0.3">
      <c r="A82" s="28"/>
      <c r="B82" s="11" t="str">
        <f>CONCATENATE("          ", "6274", " - ", "UTILITIES")</f>
        <v xml:space="preserve">          6274 - UTILITIES</v>
      </c>
      <c r="C82" s="11"/>
      <c r="D82" s="6">
        <v>100</v>
      </c>
      <c r="E82" s="2"/>
      <c r="F82" s="7">
        <f t="shared" si="67"/>
        <v>8.0139635300547664E-3</v>
      </c>
      <c r="G82" s="2"/>
      <c r="H82" s="6">
        <v>1136</v>
      </c>
      <c r="I82" s="2"/>
      <c r="J82" s="7">
        <f t="shared" si="68"/>
        <v>0</v>
      </c>
      <c r="K82" s="2"/>
      <c r="L82" s="6">
        <f t="shared" si="69"/>
        <v>-1036</v>
      </c>
      <c r="M82" s="2"/>
      <c r="N82" s="7">
        <f t="shared" si="70"/>
        <v>-0.9119718309859155</v>
      </c>
      <c r="O82" s="11"/>
      <c r="P82" s="6">
        <v>600</v>
      </c>
      <c r="Q82" s="2"/>
      <c r="R82" s="7">
        <f t="shared" si="71"/>
        <v>7.8526322677747607E-3</v>
      </c>
      <c r="S82" s="2"/>
      <c r="T82" s="6">
        <v>3558</v>
      </c>
      <c r="U82" s="2"/>
      <c r="V82" s="7">
        <f t="shared" si="72"/>
        <v>1.3756200535865484</v>
      </c>
      <c r="W82" s="2"/>
      <c r="X82" s="6">
        <f t="shared" si="73"/>
        <v>-2958</v>
      </c>
      <c r="Y82" s="2"/>
      <c r="Z82" s="7">
        <f t="shared" si="74"/>
        <v>-0.83136593591905561</v>
      </c>
    </row>
    <row r="83" spans="1:26" s="53" customFormat="1" x14ac:dyDescent="0.3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3">
      <c r="A84" s="10"/>
      <c r="B84" s="25" t="s">
        <v>292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3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3">
      <c r="A86" s="10"/>
      <c r="B86" s="26" t="s">
        <v>276</v>
      </c>
      <c r="C86" s="26"/>
      <c r="D86" s="20">
        <f>+D27-D29+D84</f>
        <v>-17002.489999999998</v>
      </c>
      <c r="E86" s="13"/>
      <c r="F86" s="21">
        <f>IF(D$12=0,0,D86/D$12)</f>
        <v>-1.3625733478012085</v>
      </c>
      <c r="G86" s="13"/>
      <c r="H86" s="20">
        <f>+H27-H29+H84</f>
        <v>-20721.5</v>
      </c>
      <c r="I86" s="13"/>
      <c r="J86" s="21">
        <f>IF(H$12=0,0,H86/H$12)</f>
        <v>0</v>
      </c>
      <c r="K86" s="15"/>
      <c r="L86" s="20">
        <f>+D86-H86</f>
        <v>3719.010000000002</v>
      </c>
      <c r="M86" s="15"/>
      <c r="N86" s="21">
        <f>IF(H86=0,0,L86/H86)</f>
        <v>-0.17947590666698848</v>
      </c>
      <c r="O86" s="25"/>
      <c r="P86" s="20">
        <f>+P27-P29+P84</f>
        <v>-87903.160000000033</v>
      </c>
      <c r="Q86" s="13"/>
      <c r="R86" s="21">
        <f>IF(P$12=0,0,P86/P$12)</f>
        <v>-1.1504519844256131</v>
      </c>
      <c r="S86" s="13"/>
      <c r="T86" s="20">
        <f>+T27-T29+T84</f>
        <v>-178557.14</v>
      </c>
      <c r="U86" s="13"/>
      <c r="V86" s="21">
        <f>IF(T$12=0,0,T86/T$12)</f>
        <v>-69.035070965447119</v>
      </c>
      <c r="W86" s="15"/>
      <c r="X86" s="20">
        <f>+P86-T86</f>
        <v>90653.979999999981</v>
      </c>
      <c r="Y86" s="15"/>
      <c r="Z86" s="21">
        <f>IF(T86=0,0,X86/T86)</f>
        <v>-0.50770291235623499</v>
      </c>
    </row>
    <row r="87" spans="1:26" x14ac:dyDescent="0.3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3">
      <c r="A88" s="51"/>
      <c r="B88" s="10" t="s">
        <v>127</v>
      </c>
      <c r="C88" s="10"/>
      <c r="D88" s="4">
        <v>1582.51</v>
      </c>
      <c r="E88" s="4"/>
      <c r="F88" s="12">
        <f>IF(D$12=0,0,D88/D$12)</f>
        <v>0.12682177425946969</v>
      </c>
      <c r="G88" s="4"/>
      <c r="H88" s="4">
        <v>61.21</v>
      </c>
      <c r="I88" s="4"/>
      <c r="J88" s="12">
        <f>IF(H$12=0,0,H88/H$12)</f>
        <v>0</v>
      </c>
      <c r="K88" s="4"/>
      <c r="L88" s="4">
        <f>+D88-H88</f>
        <v>1521.3</v>
      </c>
      <c r="M88" s="4"/>
      <c r="N88" s="12">
        <f>IF(H88=0,0,L88/H88)</f>
        <v>24.853782061754615</v>
      </c>
      <c r="O88" s="10"/>
      <c r="P88" s="4">
        <v>9197.24</v>
      </c>
      <c r="Q88" s="4"/>
      <c r="R88" s="12">
        <f>IF(P$12=0,0,P88/P$12)</f>
        <v>0.12037090599744789</v>
      </c>
      <c r="S88" s="4"/>
      <c r="T88" s="4">
        <v>478.55</v>
      </c>
      <c r="U88" s="4"/>
      <c r="V88" s="12">
        <f>IF(T$12=0,0,T88/T$12)</f>
        <v>0.18502051058005697</v>
      </c>
      <c r="W88" s="4"/>
      <c r="X88" s="4">
        <f>+P88-T88</f>
        <v>8718.69</v>
      </c>
      <c r="Y88" s="4"/>
      <c r="Z88" s="12">
        <f>IF(T88=0,0,X88/T88)</f>
        <v>18.218973983909727</v>
      </c>
    </row>
    <row r="89" spans="1:26" x14ac:dyDescent="0.3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" thickBot="1" x14ac:dyDescent="0.35">
      <c r="A90" s="10"/>
      <c r="B90" s="26" t="s">
        <v>125</v>
      </c>
      <c r="C90" s="26"/>
      <c r="D90" s="32">
        <f>+D86-D88</f>
        <v>-18584.999999999996</v>
      </c>
      <c r="E90" s="13"/>
      <c r="F90" s="35">
        <f>IF(D$12=0,0,D90/D$12)</f>
        <v>-1.489395122060678</v>
      </c>
      <c r="G90" s="13"/>
      <c r="H90" s="32">
        <f>+H86-H88</f>
        <v>-20782.71</v>
      </c>
      <c r="I90" s="13"/>
      <c r="J90" s="35">
        <f>IF(H$12=0,0,H90/H$12)</f>
        <v>0</v>
      </c>
      <c r="K90" s="15"/>
      <c r="L90" s="32">
        <f>D90-H90</f>
        <v>2197.7100000000028</v>
      </c>
      <c r="M90" s="15"/>
      <c r="N90" s="35">
        <f>IF(H90=0,0,L90/H90)</f>
        <v>-0.10574703683975781</v>
      </c>
      <c r="O90" s="25"/>
      <c r="P90" s="32">
        <f>+P86-P88</f>
        <v>-97100.400000000038</v>
      </c>
      <c r="Q90" s="13"/>
      <c r="R90" s="35">
        <f>IF(P$12=0,0,P90/P$12)</f>
        <v>-1.270822890423061</v>
      </c>
      <c r="S90" s="13"/>
      <c r="T90" s="32">
        <f>+T86-T88</f>
        <v>-179035.69</v>
      </c>
      <c r="U90" s="13"/>
      <c r="V90" s="35">
        <f>IF(T$12=0,0,T90/T$12)</f>
        <v>-69.220091476027164</v>
      </c>
      <c r="W90" s="15"/>
      <c r="X90" s="32">
        <f>P90-T90</f>
        <v>81935.289999999964</v>
      </c>
      <c r="Y90" s="15"/>
      <c r="Z90" s="35">
        <f>IF(T90=0,0,X90/T90)</f>
        <v>-0.45764780195501781</v>
      </c>
    </row>
    <row r="91" spans="1:26" ht="15" thickTop="1" x14ac:dyDescent="0.3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3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" thickBot="1" x14ac:dyDescent="0.35">
      <c r="A93" s="10"/>
      <c r="B93" s="26" t="s">
        <v>293</v>
      </c>
      <c r="C93" s="26"/>
      <c r="D93" s="31">
        <f>SUM(D90:D92)</f>
        <v>-18584.999999999996</v>
      </c>
      <c r="E93" s="13"/>
      <c r="F93" s="33">
        <f>IF(D$12=0,0,D93/D$12)</f>
        <v>-1.489395122060678</v>
      </c>
      <c r="G93" s="13"/>
      <c r="H93" s="31">
        <f>SUM(H90:H92)</f>
        <v>-20782.71</v>
      </c>
      <c r="I93" s="13"/>
      <c r="J93" s="33">
        <f>IF(H$12=0,0,H93/H$12)</f>
        <v>0</v>
      </c>
      <c r="K93" s="15"/>
      <c r="L93" s="31">
        <f>+D93-H93</f>
        <v>2197.7100000000028</v>
      </c>
      <c r="M93" s="15"/>
      <c r="N93" s="33">
        <f>IF(H93=0,0,L93/H93)</f>
        <v>-0.10574703683975781</v>
      </c>
      <c r="O93" s="25"/>
      <c r="P93" s="31">
        <f>SUM(P90:P92)</f>
        <v>-97100.400000000038</v>
      </c>
      <c r="Q93" s="13"/>
      <c r="R93" s="33">
        <f>IF(P$12=0,0,P93/P$12)</f>
        <v>-1.270822890423061</v>
      </c>
      <c r="S93" s="13"/>
      <c r="T93" s="31">
        <f>SUM(T90:T92)</f>
        <v>-179035.69</v>
      </c>
      <c r="U93" s="13"/>
      <c r="V93" s="33">
        <f>IF(T$12=0,0,T93/T$12)</f>
        <v>-69.220091476027164</v>
      </c>
      <c r="W93" s="15"/>
      <c r="X93" s="31">
        <f>+P93-T93</f>
        <v>81935.289999999964</v>
      </c>
      <c r="Y93" s="15"/>
      <c r="Z93" s="33">
        <f>IF(T93=0,0,X93/T93)</f>
        <v>-0.45764780195501781</v>
      </c>
    </row>
    <row r="94" spans="1:26" ht="15" thickTop="1" x14ac:dyDescent="0.3">
      <c r="A94" s="9"/>
      <c r="C94" s="9"/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3">
      <c r="A95" s="9"/>
      <c r="B95" s="60">
        <v>44575.854556099534</v>
      </c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3">
      <c r="A96" s="9"/>
      <c r="B96" s="57" t="s">
        <v>56</v>
      </c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3">
      <c r="A97" s="9"/>
      <c r="B97" s="59"/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3"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outlinePr summaryBelow="0" summaryRight="0"/>
  </sheetPr>
  <dimension ref="A2:Z5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","309", " - ", "Carts")</f>
        <v>Department 309 - Carts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22">
        <f>SUM(OSRRefD22x_0)</f>
        <v>852.91000000000008</v>
      </c>
      <c r="E18" s="22"/>
      <c r="F18" s="34">
        <f t="shared" ref="F18:F27" si="0">IF(D$12=0,0,D18/D$12)</f>
        <v>0</v>
      </c>
      <c r="G18" s="22"/>
      <c r="H18" s="22">
        <f>SUM(OSRRefH22x_0)</f>
        <v>1548.05</v>
      </c>
      <c r="I18" s="22"/>
      <c r="J18" s="34">
        <f t="shared" ref="J18:J27" si="1">IF(H$12=0,0,H18/H$12)</f>
        <v>0</v>
      </c>
      <c r="K18" s="4"/>
      <c r="L18" s="22">
        <f t="shared" ref="L18:L27" si="2">+D18-H18</f>
        <v>-695.13999999999987</v>
      </c>
      <c r="M18" s="4"/>
      <c r="N18" s="34">
        <f t="shared" ref="N18:N27" si="3">IF(H18=0,0,L18/H18)</f>
        <v>-0.44904234359355311</v>
      </c>
      <c r="O18" s="10"/>
      <c r="P18" s="22">
        <f>SUM(OSRRefP22x_0)</f>
        <v>5312.68</v>
      </c>
      <c r="Q18" s="22"/>
      <c r="R18" s="34">
        <f t="shared" ref="R18:R27" si="4">IF(P$12=0,0,P18/P$12)</f>
        <v>0</v>
      </c>
      <c r="S18" s="22"/>
      <c r="T18" s="22">
        <f>SUM(OSRRefT22x_0)</f>
        <v>6250.9000000000005</v>
      </c>
      <c r="U18" s="22"/>
      <c r="V18" s="34">
        <f t="shared" ref="V18:V27" si="5">IF(T$12=0,0,T18/T$12)</f>
        <v>0</v>
      </c>
      <c r="W18" s="4"/>
      <c r="X18" s="22">
        <f t="shared" ref="X18:X27" si="6">+P18-T18</f>
        <v>-938.22000000000025</v>
      </c>
      <c r="Y18" s="4"/>
      <c r="Z18" s="34">
        <f t="shared" ref="Z18:Z27" si="7">IF(T18=0,0,X18/T18)</f>
        <v>-0.15009358652354063</v>
      </c>
    </row>
    <row r="19" spans="1:26" s="29" customFormat="1" outlineLevel="1" collapsed="1" x14ac:dyDescent="0.3">
      <c r="A19" s="27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588.94000000000005</v>
      </c>
      <c r="E19" s="1"/>
      <c r="F19" s="5">
        <f t="shared" si="0"/>
        <v>0</v>
      </c>
      <c r="G19" s="1"/>
      <c r="H19" s="1">
        <f>SUM(OSRRefH22_0x_0)</f>
        <v>588.16999999999996</v>
      </c>
      <c r="I19" s="1"/>
      <c r="J19" s="5">
        <f t="shared" si="1"/>
        <v>0</v>
      </c>
      <c r="K19" s="1"/>
      <c r="L19" s="1">
        <f t="shared" si="2"/>
        <v>0.7700000000000955</v>
      </c>
      <c r="M19" s="1"/>
      <c r="N19" s="5">
        <f t="shared" si="3"/>
        <v>1.3091453151301419E-3</v>
      </c>
      <c r="O19" s="14"/>
      <c r="P19" s="1">
        <f>SUM(OSRRefP22_0x_0)</f>
        <v>3533.64</v>
      </c>
      <c r="Q19" s="1"/>
      <c r="R19" s="5">
        <f t="shared" si="4"/>
        <v>0</v>
      </c>
      <c r="S19" s="1"/>
      <c r="T19" s="1">
        <f>SUM(OSRRefT22_0x_0)</f>
        <v>3264.8</v>
      </c>
      <c r="U19" s="1"/>
      <c r="V19" s="5">
        <f t="shared" si="5"/>
        <v>0</v>
      </c>
      <c r="W19" s="1"/>
      <c r="X19" s="1">
        <f t="shared" si="6"/>
        <v>268.83999999999969</v>
      </c>
      <c r="Y19" s="1"/>
      <c r="Z19" s="5">
        <f t="shared" si="7"/>
        <v>8.2345013477088849E-2</v>
      </c>
    </row>
    <row r="20" spans="1:26" s="24" customFormat="1" hidden="1" outlineLevel="2" x14ac:dyDescent="0.3">
      <c r="A20" s="28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588.94000000000005</v>
      </c>
      <c r="E20" s="2"/>
      <c r="F20" s="7">
        <f t="shared" si="0"/>
        <v>0</v>
      </c>
      <c r="G20" s="2"/>
      <c r="H20" s="6">
        <v>588.16999999999996</v>
      </c>
      <c r="I20" s="2"/>
      <c r="J20" s="7">
        <f t="shared" si="1"/>
        <v>0</v>
      </c>
      <c r="K20" s="2"/>
      <c r="L20" s="6">
        <f t="shared" si="2"/>
        <v>0.7700000000000955</v>
      </c>
      <c r="M20" s="2"/>
      <c r="N20" s="7">
        <f t="shared" si="3"/>
        <v>1.3091453151301419E-3</v>
      </c>
      <c r="O20" s="11"/>
      <c r="P20" s="6">
        <v>3533.64</v>
      </c>
      <c r="Q20" s="2"/>
      <c r="R20" s="7">
        <f t="shared" si="4"/>
        <v>0</v>
      </c>
      <c r="S20" s="2"/>
      <c r="T20" s="6">
        <v>3264.8</v>
      </c>
      <c r="U20" s="2"/>
      <c r="V20" s="7">
        <f t="shared" si="5"/>
        <v>0</v>
      </c>
      <c r="W20" s="2"/>
      <c r="X20" s="6">
        <f t="shared" si="6"/>
        <v>268.83999999999969</v>
      </c>
      <c r="Y20" s="2"/>
      <c r="Z20" s="7">
        <f t="shared" si="7"/>
        <v>8.2345013477088849E-2</v>
      </c>
    </row>
    <row r="21" spans="1:26" s="29" customFormat="1" outlineLevel="1" collapsed="1" x14ac:dyDescent="0.3">
      <c r="A21" s="27"/>
      <c r="B21" s="14" t="str">
        <f>CONCATENATE("     ","Equipment Rental                                  ")</f>
        <v xml:space="preserve">     Equipment Rental                                  </v>
      </c>
      <c r="C21" s="14"/>
      <c r="D21" s="1">
        <f>SUM(OSRRefD22_1x_0)</f>
        <v>30</v>
      </c>
      <c r="E21" s="1"/>
      <c r="F21" s="5">
        <f t="shared" si="0"/>
        <v>0</v>
      </c>
      <c r="G21" s="1"/>
      <c r="H21" s="1">
        <f>SUM(OSRRefH22_1x_0)</f>
        <v>12</v>
      </c>
      <c r="I21" s="1"/>
      <c r="J21" s="5">
        <f t="shared" si="1"/>
        <v>0</v>
      </c>
      <c r="K21" s="1"/>
      <c r="L21" s="1">
        <f t="shared" si="2"/>
        <v>18</v>
      </c>
      <c r="M21" s="1"/>
      <c r="N21" s="5">
        <f t="shared" si="3"/>
        <v>1.5</v>
      </c>
      <c r="O21" s="14"/>
      <c r="P21" s="1">
        <f>SUM(OSRRefP22_1x_0)</f>
        <v>30</v>
      </c>
      <c r="Q21" s="1"/>
      <c r="R21" s="5">
        <f t="shared" si="4"/>
        <v>0</v>
      </c>
      <c r="S21" s="1"/>
      <c r="T21" s="1">
        <f>SUM(OSRRefT22_1x_0)</f>
        <v>12</v>
      </c>
      <c r="U21" s="1"/>
      <c r="V21" s="5">
        <f t="shared" si="5"/>
        <v>0</v>
      </c>
      <c r="W21" s="1"/>
      <c r="X21" s="1">
        <f t="shared" si="6"/>
        <v>18</v>
      </c>
      <c r="Y21" s="1"/>
      <c r="Z21" s="5">
        <f t="shared" si="7"/>
        <v>1.5</v>
      </c>
    </row>
    <row r="22" spans="1:26" s="24" customFormat="1" hidden="1" outlineLevel="2" x14ac:dyDescent="0.3">
      <c r="A22" s="28"/>
      <c r="B22" s="11" t="str">
        <f>CONCATENATE("          ", "6351", " - ", "EQUIPMENT RENTAL")</f>
        <v xml:space="preserve">          6351 - EQUIPMENT RENTAL</v>
      </c>
      <c r="C22" s="11"/>
      <c r="D22" s="6">
        <v>30</v>
      </c>
      <c r="E22" s="2"/>
      <c r="F22" s="7">
        <f t="shared" si="0"/>
        <v>0</v>
      </c>
      <c r="G22" s="2"/>
      <c r="H22" s="6">
        <v>12</v>
      </c>
      <c r="I22" s="2"/>
      <c r="J22" s="7">
        <f t="shared" si="1"/>
        <v>0</v>
      </c>
      <c r="K22" s="2"/>
      <c r="L22" s="6">
        <f t="shared" si="2"/>
        <v>18</v>
      </c>
      <c r="M22" s="2"/>
      <c r="N22" s="7">
        <f t="shared" si="3"/>
        <v>1.5</v>
      </c>
      <c r="O22" s="11"/>
      <c r="P22" s="6">
        <v>30</v>
      </c>
      <c r="Q22" s="2"/>
      <c r="R22" s="7">
        <f t="shared" si="4"/>
        <v>0</v>
      </c>
      <c r="S22" s="2"/>
      <c r="T22" s="6">
        <v>12</v>
      </c>
      <c r="U22" s="2"/>
      <c r="V22" s="7">
        <f t="shared" si="5"/>
        <v>0</v>
      </c>
      <c r="W22" s="2"/>
      <c r="X22" s="6">
        <f t="shared" si="6"/>
        <v>18</v>
      </c>
      <c r="Y22" s="2"/>
      <c r="Z22" s="7">
        <f t="shared" si="7"/>
        <v>1.5</v>
      </c>
    </row>
    <row r="23" spans="1:26" s="29" customFormat="1" outlineLevel="1" collapsed="1" x14ac:dyDescent="0.3">
      <c r="A23" s="27"/>
      <c r="B23" s="14" t="str">
        <f>CONCATENATE("     ","General                                           ")</f>
        <v xml:space="preserve">     General         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160</v>
      </c>
      <c r="I23" s="1"/>
      <c r="J23" s="5">
        <f t="shared" si="1"/>
        <v>0</v>
      </c>
      <c r="K23" s="1"/>
      <c r="L23" s="1">
        <f t="shared" si="2"/>
        <v>-160</v>
      </c>
      <c r="M23" s="1"/>
      <c r="N23" s="5">
        <f t="shared" si="3"/>
        <v>-1</v>
      </c>
      <c r="O23" s="14"/>
      <c r="P23" s="1">
        <f>SUM(OSRRefP22_2x_0)</f>
        <v>435</v>
      </c>
      <c r="Q23" s="1"/>
      <c r="R23" s="5">
        <f t="shared" si="4"/>
        <v>0</v>
      </c>
      <c r="S23" s="1"/>
      <c r="T23" s="1">
        <f>SUM(OSRRefT22_2x_0)</f>
        <v>575</v>
      </c>
      <c r="U23" s="1"/>
      <c r="V23" s="5">
        <f t="shared" si="5"/>
        <v>0</v>
      </c>
      <c r="W23" s="1"/>
      <c r="X23" s="1">
        <f t="shared" si="6"/>
        <v>-140</v>
      </c>
      <c r="Y23" s="1"/>
      <c r="Z23" s="5">
        <f t="shared" si="7"/>
        <v>-0.24347826086956523</v>
      </c>
    </row>
    <row r="24" spans="1:26" s="24" customFormat="1" hidden="1" outlineLevel="2" x14ac:dyDescent="0.3">
      <c r="A24" s="28"/>
      <c r="B24" s="11" t="str">
        <f>CONCATENATE("          ", "6279", " - ", "GENERAL EXPENSE")</f>
        <v xml:space="preserve">          6279 - GENERAL EXPENSE</v>
      </c>
      <c r="C24" s="11"/>
      <c r="D24" s="6"/>
      <c r="E24" s="2"/>
      <c r="F24" s="7">
        <f t="shared" si="0"/>
        <v>0</v>
      </c>
      <c r="G24" s="2"/>
      <c r="H24" s="6">
        <v>160</v>
      </c>
      <c r="I24" s="2"/>
      <c r="J24" s="7">
        <f t="shared" si="1"/>
        <v>0</v>
      </c>
      <c r="K24" s="2"/>
      <c r="L24" s="6">
        <f t="shared" si="2"/>
        <v>-160</v>
      </c>
      <c r="M24" s="2"/>
      <c r="N24" s="7">
        <f t="shared" si="3"/>
        <v>-1</v>
      </c>
      <c r="O24" s="11"/>
      <c r="P24" s="6">
        <v>435</v>
      </c>
      <c r="Q24" s="2"/>
      <c r="R24" s="7">
        <f t="shared" si="4"/>
        <v>0</v>
      </c>
      <c r="S24" s="2"/>
      <c r="T24" s="6">
        <v>575</v>
      </c>
      <c r="U24" s="2"/>
      <c r="V24" s="7">
        <f t="shared" si="5"/>
        <v>0</v>
      </c>
      <c r="W24" s="2"/>
      <c r="X24" s="6">
        <f t="shared" si="6"/>
        <v>-140</v>
      </c>
      <c r="Y24" s="2"/>
      <c r="Z24" s="7">
        <f t="shared" si="7"/>
        <v>-0.24347826086956523</v>
      </c>
    </row>
    <row r="25" spans="1:26" s="29" customFormat="1" outlineLevel="1" collapsed="1" x14ac:dyDescent="0.3">
      <c r="A25" s="27"/>
      <c r="B25" s="14" t="str">
        <f>CONCATENATE("     ","Repair and Maintenance                            ")</f>
        <v xml:space="preserve">     Repair and Maintenance                            </v>
      </c>
      <c r="C25" s="14"/>
      <c r="D25" s="1">
        <f>SUM(OSRRefD22_3x_0)</f>
        <v>49.93</v>
      </c>
      <c r="E25" s="1"/>
      <c r="F25" s="5">
        <f t="shared" si="0"/>
        <v>0</v>
      </c>
      <c r="G25" s="1"/>
      <c r="H25" s="1">
        <f>SUM(OSRRefH22_3x_0)</f>
        <v>48.23</v>
      </c>
      <c r="I25" s="1"/>
      <c r="J25" s="5">
        <f t="shared" si="1"/>
        <v>0</v>
      </c>
      <c r="K25" s="1"/>
      <c r="L25" s="1">
        <f t="shared" si="2"/>
        <v>1.7000000000000028</v>
      </c>
      <c r="M25" s="1"/>
      <c r="N25" s="5">
        <f t="shared" si="3"/>
        <v>3.5247771096827765E-2</v>
      </c>
      <c r="O25" s="14"/>
      <c r="P25" s="1">
        <f>SUM(OSRRefP22_3x_0)</f>
        <v>97.83</v>
      </c>
      <c r="Q25" s="1"/>
      <c r="R25" s="5">
        <f t="shared" si="4"/>
        <v>0</v>
      </c>
      <c r="S25" s="1"/>
      <c r="T25" s="1">
        <f>SUM(OSRRefT22_3x_0)</f>
        <v>1232.0500000000002</v>
      </c>
      <c r="U25" s="1"/>
      <c r="V25" s="5">
        <f t="shared" si="5"/>
        <v>0</v>
      </c>
      <c r="W25" s="1"/>
      <c r="X25" s="1">
        <f t="shared" si="6"/>
        <v>-1134.2200000000003</v>
      </c>
      <c r="Y25" s="1"/>
      <c r="Z25" s="5">
        <f t="shared" si="7"/>
        <v>-0.92059575504240909</v>
      </c>
    </row>
    <row r="26" spans="1:26" s="24" customFormat="1" hidden="1" outlineLevel="2" x14ac:dyDescent="0.3">
      <c r="A26" s="28"/>
      <c r="B26" s="11" t="str">
        <f>CONCATENATE("          ", "6373", " - ", "MAINTENANCE CONTRACTS")</f>
        <v xml:space="preserve">          6373 - MAINTENANCE CONTRACTS</v>
      </c>
      <c r="C26" s="11"/>
      <c r="D26" s="6">
        <v>49.93</v>
      </c>
      <c r="E26" s="2"/>
      <c r="F26" s="7">
        <f t="shared" si="0"/>
        <v>0</v>
      </c>
      <c r="G26" s="2"/>
      <c r="H26" s="6">
        <v>48.23</v>
      </c>
      <c r="I26" s="2"/>
      <c r="J26" s="7">
        <f t="shared" si="1"/>
        <v>0</v>
      </c>
      <c r="K26" s="2"/>
      <c r="L26" s="6">
        <f t="shared" si="2"/>
        <v>1.7000000000000028</v>
      </c>
      <c r="M26" s="2"/>
      <c r="N26" s="7">
        <f t="shared" si="3"/>
        <v>3.5247771096827765E-2</v>
      </c>
      <c r="O26" s="11"/>
      <c r="P26" s="6">
        <v>97.83</v>
      </c>
      <c r="Q26" s="2"/>
      <c r="R26" s="7">
        <f t="shared" si="4"/>
        <v>0</v>
      </c>
      <c r="S26" s="2"/>
      <c r="T26" s="6">
        <v>214.36</v>
      </c>
      <c r="U26" s="2"/>
      <c r="V26" s="7">
        <f t="shared" si="5"/>
        <v>0</v>
      </c>
      <c r="W26" s="2"/>
      <c r="X26" s="6">
        <f t="shared" si="6"/>
        <v>-116.53000000000002</v>
      </c>
      <c r="Y26" s="2"/>
      <c r="Z26" s="7">
        <f t="shared" si="7"/>
        <v>-0.54361821235305097</v>
      </c>
    </row>
    <row r="27" spans="1:26" s="24" customFormat="1" hidden="1" outlineLevel="2" x14ac:dyDescent="0.3">
      <c r="A27" s="28"/>
      <c r="B27" s="11" t="str">
        <f>CONCATENATE("          ", "6375", " - ", "OUTSIDE REPAIRS &amp; MAINTENANCE")</f>
        <v xml:space="preserve">          6375 - OUTSIDE REPAIRS &amp; MAINTENANCE</v>
      </c>
      <c r="C27" s="11"/>
      <c r="D27" s="6"/>
      <c r="E27" s="2"/>
      <c r="F27" s="7">
        <f t="shared" si="0"/>
        <v>0</v>
      </c>
      <c r="G27" s="2"/>
      <c r="H27" s="6"/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/>
      <c r="Q27" s="2"/>
      <c r="R27" s="7">
        <f t="shared" si="4"/>
        <v>0</v>
      </c>
      <c r="S27" s="2"/>
      <c r="T27" s="6">
        <v>1017.69</v>
      </c>
      <c r="U27" s="2"/>
      <c r="V27" s="7">
        <f t="shared" si="5"/>
        <v>0</v>
      </c>
      <c r="W27" s="2"/>
      <c r="X27" s="6">
        <f t="shared" si="6"/>
        <v>-1017.69</v>
      </c>
      <c r="Y27" s="2"/>
      <c r="Z27" s="7">
        <f t="shared" si="7"/>
        <v>-1</v>
      </c>
    </row>
    <row r="28" spans="1:26" s="29" customFormat="1" outlineLevel="1" collapsed="1" x14ac:dyDescent="0.3">
      <c r="A28" s="27"/>
      <c r="B28" s="14" t="str">
        <f>CONCATENATE("     ","Services                                          ")</f>
        <v xml:space="preserve">     Services                                          </v>
      </c>
      <c r="C28" s="14"/>
      <c r="D28" s="1">
        <f>SUM(OSRRefD22_4x_0)</f>
        <v>151.85</v>
      </c>
      <c r="E28" s="1"/>
      <c r="F28" s="5">
        <f t="shared" ref="F28:F30" si="8">IF(D$12=0,0,D28/D$12)</f>
        <v>0</v>
      </c>
      <c r="G28" s="1"/>
      <c r="H28" s="1">
        <f>SUM(OSRRefH22_4x_0)</f>
        <v>709.65</v>
      </c>
      <c r="I28" s="1"/>
      <c r="J28" s="5">
        <f t="shared" ref="J28:J30" si="9">IF(H$12=0,0,H28/H$12)</f>
        <v>0</v>
      </c>
      <c r="K28" s="1"/>
      <c r="L28" s="1">
        <f t="shared" ref="L28:L30" si="10">+D28-H28</f>
        <v>-557.79999999999995</v>
      </c>
      <c r="M28" s="1"/>
      <c r="N28" s="5">
        <f t="shared" ref="N28:N30" si="11">IF(H28=0,0,L28/H28)</f>
        <v>-0.78602127809483546</v>
      </c>
      <c r="O28" s="14"/>
      <c r="P28" s="1">
        <f>SUM(OSRRefP22_4x_0)</f>
        <v>1034.02</v>
      </c>
      <c r="Q28" s="1"/>
      <c r="R28" s="5">
        <f t="shared" ref="R28:R30" si="12">IF(P$12=0,0,P28/P$12)</f>
        <v>0</v>
      </c>
      <c r="S28" s="1"/>
      <c r="T28" s="1">
        <f>SUM(OSRRefT22_4x_0)</f>
        <v>892.73</v>
      </c>
      <c r="U28" s="1"/>
      <c r="V28" s="5">
        <f t="shared" ref="V28:V30" si="13">IF(T$12=0,0,T28/T$12)</f>
        <v>0</v>
      </c>
      <c r="W28" s="1"/>
      <c r="X28" s="1">
        <f t="shared" ref="X28:X30" si="14">+P28-T28</f>
        <v>141.28999999999996</v>
      </c>
      <c r="Y28" s="1"/>
      <c r="Z28" s="5">
        <f t="shared" ref="Z28:Z30" si="15">IF(T28=0,0,X28/T28)</f>
        <v>0.15826733726882702</v>
      </c>
    </row>
    <row r="29" spans="1:26" s="24" customFormat="1" hidden="1" outlineLevel="2" x14ac:dyDescent="0.3">
      <c r="A29" s="28"/>
      <c r="B29" s="11" t="str">
        <f>CONCATENATE("          ", "6282", " - ", "JANITORIAL/EXTERMINATOR EXPENS")</f>
        <v xml:space="preserve">          6282 - JANITORIAL/EXTERMINATOR EXPENS</v>
      </c>
      <c r="C29" s="11"/>
      <c r="D29" s="6">
        <v>151.85</v>
      </c>
      <c r="E29" s="2"/>
      <c r="F29" s="7">
        <f t="shared" si="8"/>
        <v>0</v>
      </c>
      <c r="G29" s="2"/>
      <c r="H29" s="6">
        <v>709.65</v>
      </c>
      <c r="I29" s="2"/>
      <c r="J29" s="7">
        <f t="shared" si="9"/>
        <v>0</v>
      </c>
      <c r="K29" s="2"/>
      <c r="L29" s="6">
        <f t="shared" si="10"/>
        <v>-557.79999999999995</v>
      </c>
      <c r="M29" s="2"/>
      <c r="N29" s="7">
        <f t="shared" si="11"/>
        <v>-0.78602127809483546</v>
      </c>
      <c r="O29" s="11"/>
      <c r="P29" s="6">
        <v>911.1</v>
      </c>
      <c r="Q29" s="2"/>
      <c r="R29" s="7">
        <f t="shared" si="12"/>
        <v>0</v>
      </c>
      <c r="S29" s="2"/>
      <c r="T29" s="6">
        <v>1065.77</v>
      </c>
      <c r="U29" s="2"/>
      <c r="V29" s="7">
        <f t="shared" si="13"/>
        <v>0</v>
      </c>
      <c r="W29" s="2"/>
      <c r="X29" s="6">
        <f t="shared" si="14"/>
        <v>-154.66999999999996</v>
      </c>
      <c r="Y29" s="2"/>
      <c r="Z29" s="7">
        <f t="shared" si="15"/>
        <v>-0.14512512080467641</v>
      </c>
    </row>
    <row r="30" spans="1:26" s="24" customFormat="1" hidden="1" outlineLevel="2" x14ac:dyDescent="0.3">
      <c r="A30" s="28"/>
      <c r="B30" s="11" t="str">
        <f>CONCATENATE("          ", "6285", " - ", "JANITORIAL SERVICES")</f>
        <v xml:space="preserve">          6285 - JANITORIAL SERVICES</v>
      </c>
      <c r="C30" s="11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>
        <v>122.92</v>
      </c>
      <c r="Q30" s="2"/>
      <c r="R30" s="7">
        <f t="shared" si="12"/>
        <v>0</v>
      </c>
      <c r="S30" s="2"/>
      <c r="T30" s="6">
        <v>-173.04</v>
      </c>
      <c r="U30" s="2"/>
      <c r="V30" s="7">
        <f t="shared" si="13"/>
        <v>0</v>
      </c>
      <c r="W30" s="2"/>
      <c r="X30" s="6">
        <f t="shared" si="14"/>
        <v>295.95999999999998</v>
      </c>
      <c r="Y30" s="2"/>
      <c r="Z30" s="7">
        <f t="shared" si="15"/>
        <v>-1.7103559870550162</v>
      </c>
    </row>
    <row r="31" spans="1:26" s="29" customFormat="1" outlineLevel="1" collapsed="1" x14ac:dyDescent="0.3">
      <c r="A31" s="27"/>
      <c r="B31" s="14" t="str">
        <f>CONCATENATE("     ","Supplies                                          ")</f>
        <v xml:space="preserve">     Supplies                                          </v>
      </c>
      <c r="C31" s="14"/>
      <c r="D31" s="1">
        <f>SUM(OSRRefD22_5x_0)</f>
        <v>2.19</v>
      </c>
      <c r="E31" s="1"/>
      <c r="F31" s="5">
        <f t="shared" ref="F31:F34" si="16">IF(D$12=0,0,D31/D$12)</f>
        <v>0</v>
      </c>
      <c r="G31" s="1"/>
      <c r="H31" s="1">
        <f>SUM(OSRRefH22_5x_0)</f>
        <v>0</v>
      </c>
      <c r="I31" s="1"/>
      <c r="J31" s="5">
        <f t="shared" ref="J31:J34" si="17">IF(H$12=0,0,H31/H$12)</f>
        <v>0</v>
      </c>
      <c r="K31" s="1"/>
      <c r="L31" s="1">
        <f t="shared" ref="L31:L34" si="18">+D31-H31</f>
        <v>2.19</v>
      </c>
      <c r="M31" s="1"/>
      <c r="N31" s="5">
        <f t="shared" ref="N31:N34" si="19">IF(H31=0,0,L31/H31)</f>
        <v>0</v>
      </c>
      <c r="O31" s="14"/>
      <c r="P31" s="1">
        <f>SUM(OSRRefP22_5x_0)</f>
        <v>2.19</v>
      </c>
      <c r="Q31" s="1"/>
      <c r="R31" s="5">
        <f t="shared" ref="R31:R34" si="20">IF(P$12=0,0,P31/P$12)</f>
        <v>0</v>
      </c>
      <c r="S31" s="1"/>
      <c r="T31" s="1">
        <f>SUM(OSRRefT22_5x_0)</f>
        <v>0</v>
      </c>
      <c r="U31" s="1"/>
      <c r="V31" s="5">
        <f t="shared" ref="V31:V34" si="21">IF(T$12=0,0,T31/T$12)</f>
        <v>0</v>
      </c>
      <c r="W31" s="1"/>
      <c r="X31" s="1">
        <f t="shared" ref="X31:X34" si="22">+P31-T31</f>
        <v>2.19</v>
      </c>
      <c r="Y31" s="1"/>
      <c r="Z31" s="5">
        <f t="shared" ref="Z31:Z34" si="23">IF(T31=0,0,X31/T31)</f>
        <v>0</v>
      </c>
    </row>
    <row r="32" spans="1:26" s="24" customFormat="1" hidden="1" outlineLevel="2" x14ac:dyDescent="0.3">
      <c r="A32" s="28"/>
      <c r="B32" s="11" t="str">
        <f>CONCATENATE("          ", "6241", " - ", "OFFICE EXPENSE")</f>
        <v xml:space="preserve">          6241 - OFFICE EXPENSE</v>
      </c>
      <c r="C32" s="11"/>
      <c r="D32" s="6">
        <v>2.19</v>
      </c>
      <c r="E32" s="2"/>
      <c r="F32" s="7">
        <f t="shared" si="16"/>
        <v>0</v>
      </c>
      <c r="G32" s="2"/>
      <c r="H32" s="6"/>
      <c r="I32" s="2"/>
      <c r="J32" s="7">
        <f t="shared" si="17"/>
        <v>0</v>
      </c>
      <c r="K32" s="2"/>
      <c r="L32" s="6">
        <f t="shared" si="18"/>
        <v>2.19</v>
      </c>
      <c r="M32" s="2"/>
      <c r="N32" s="7">
        <f t="shared" si="19"/>
        <v>0</v>
      </c>
      <c r="O32" s="11"/>
      <c r="P32" s="6">
        <v>2.19</v>
      </c>
      <c r="Q32" s="2"/>
      <c r="R32" s="7">
        <f t="shared" si="20"/>
        <v>0</v>
      </c>
      <c r="S32" s="2"/>
      <c r="T32" s="6"/>
      <c r="U32" s="2"/>
      <c r="V32" s="7">
        <f t="shared" si="21"/>
        <v>0</v>
      </c>
      <c r="W32" s="2"/>
      <c r="X32" s="6">
        <f t="shared" si="22"/>
        <v>2.19</v>
      </c>
      <c r="Y32" s="2"/>
      <c r="Z32" s="7">
        <f t="shared" si="23"/>
        <v>0</v>
      </c>
    </row>
    <row r="33" spans="1:26" s="29" customFormat="1" outlineLevel="1" collapsed="1" x14ac:dyDescent="0.3">
      <c r="A33" s="27"/>
      <c r="B33" s="14" t="str">
        <f>CONCATENATE("     ","Telephone/Data Lines                              ")</f>
        <v xml:space="preserve">     Telephone/Data Lines                              </v>
      </c>
      <c r="C33" s="14"/>
      <c r="D33" s="1">
        <f>SUM(OSRRefD22_6x_0)</f>
        <v>30</v>
      </c>
      <c r="E33" s="1"/>
      <c r="F33" s="5">
        <f t="shared" si="16"/>
        <v>0</v>
      </c>
      <c r="G33" s="1"/>
      <c r="H33" s="1">
        <f>SUM(OSRRefH22_6x_0)</f>
        <v>30</v>
      </c>
      <c r="I33" s="1"/>
      <c r="J33" s="5">
        <f t="shared" si="17"/>
        <v>0</v>
      </c>
      <c r="K33" s="1"/>
      <c r="L33" s="1">
        <f t="shared" si="18"/>
        <v>0</v>
      </c>
      <c r="M33" s="1"/>
      <c r="N33" s="5">
        <f t="shared" si="19"/>
        <v>0</v>
      </c>
      <c r="O33" s="14"/>
      <c r="P33" s="1">
        <f>SUM(OSRRefP22_6x_0)</f>
        <v>180</v>
      </c>
      <c r="Q33" s="1"/>
      <c r="R33" s="5">
        <f t="shared" si="20"/>
        <v>0</v>
      </c>
      <c r="S33" s="1"/>
      <c r="T33" s="1">
        <f>SUM(OSRRefT22_6x_0)</f>
        <v>274.32</v>
      </c>
      <c r="U33" s="1"/>
      <c r="V33" s="5">
        <f t="shared" si="21"/>
        <v>0</v>
      </c>
      <c r="W33" s="1"/>
      <c r="X33" s="1">
        <f t="shared" si="22"/>
        <v>-94.32</v>
      </c>
      <c r="Y33" s="1"/>
      <c r="Z33" s="5">
        <f t="shared" si="23"/>
        <v>-0.34383202099737531</v>
      </c>
    </row>
    <row r="34" spans="1:26" s="24" customFormat="1" hidden="1" outlineLevel="2" x14ac:dyDescent="0.3">
      <c r="A34" s="28"/>
      <c r="B34" s="11" t="str">
        <f>CONCATENATE("          ", "6309", " - ", "TELEPHONE")</f>
        <v xml:space="preserve">          6309 - TELEPHONE</v>
      </c>
      <c r="C34" s="11"/>
      <c r="D34" s="6">
        <v>30</v>
      </c>
      <c r="E34" s="2"/>
      <c r="F34" s="7">
        <f t="shared" si="16"/>
        <v>0</v>
      </c>
      <c r="G34" s="2"/>
      <c r="H34" s="6">
        <v>30</v>
      </c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>
        <v>180</v>
      </c>
      <c r="Q34" s="2"/>
      <c r="R34" s="7">
        <f t="shared" si="20"/>
        <v>0</v>
      </c>
      <c r="S34" s="2"/>
      <c r="T34" s="6">
        <v>274.32</v>
      </c>
      <c r="U34" s="2"/>
      <c r="V34" s="7">
        <f t="shared" si="21"/>
        <v>0</v>
      </c>
      <c r="W34" s="2"/>
      <c r="X34" s="6">
        <f t="shared" si="22"/>
        <v>-94.32</v>
      </c>
      <c r="Y34" s="2"/>
      <c r="Z34" s="7">
        <f t="shared" si="23"/>
        <v>-0.34383202099737531</v>
      </c>
    </row>
    <row r="35" spans="1:26" s="53" customFormat="1" x14ac:dyDescent="0.3">
      <c r="A35" s="37"/>
      <c r="B35" s="37"/>
      <c r="C35" s="37"/>
      <c r="D35" s="1"/>
      <c r="E35" s="1"/>
      <c r="F35" s="5"/>
      <c r="G35" s="1"/>
      <c r="H35" s="1"/>
      <c r="I35" s="1"/>
      <c r="J35" s="5"/>
      <c r="K35" s="1"/>
      <c r="L35" s="1"/>
      <c r="M35" s="1"/>
      <c r="N35" s="5"/>
      <c r="O35" s="37"/>
      <c r="P35" s="1"/>
      <c r="Q35" s="1"/>
      <c r="R35" s="5"/>
      <c r="S35" s="1"/>
      <c r="T35" s="1"/>
      <c r="U35" s="1"/>
      <c r="V35" s="5"/>
      <c r="W35" s="1"/>
      <c r="X35" s="1"/>
      <c r="Y35" s="1"/>
      <c r="Z35" s="5"/>
    </row>
    <row r="36" spans="1:26" s="23" customFormat="1" x14ac:dyDescent="0.3">
      <c r="A36" s="10"/>
      <c r="B36" s="25" t="s">
        <v>292</v>
      </c>
      <c r="C36" s="10"/>
      <c r="D36" s="4">
        <f>SUM(0)</f>
        <v>0</v>
      </c>
      <c r="E36" s="4"/>
      <c r="F36" s="12">
        <f>IF(D$12=0,0,D36/D$12)</f>
        <v>0</v>
      </c>
      <c r="G36" s="4"/>
      <c r="H36" s="4">
        <f>SUM(0)</f>
        <v>0</v>
      </c>
      <c r="I36" s="4"/>
      <c r="J36" s="12">
        <f>IF(H$12=0,0,H36/H$12)</f>
        <v>0</v>
      </c>
      <c r="K36" s="4"/>
      <c r="L36" s="4">
        <f>+D36-H36</f>
        <v>0</v>
      </c>
      <c r="M36" s="4"/>
      <c r="N36" s="12">
        <f>IF(H36=0,0,L36/H36)</f>
        <v>0</v>
      </c>
      <c r="O36" s="10"/>
      <c r="P36" s="4">
        <f>SUM(0)</f>
        <v>0</v>
      </c>
      <c r="Q36" s="4"/>
      <c r="R36" s="12">
        <f>IF(P$12=0,0,P36/P$12)</f>
        <v>0</v>
      </c>
      <c r="S36" s="4"/>
      <c r="T36" s="4">
        <f>SUM(0)</f>
        <v>0</v>
      </c>
      <c r="U36" s="4"/>
      <c r="V36" s="12">
        <f>IF(T$12=0,0,T36/T$12)</f>
        <v>0</v>
      </c>
      <c r="W36" s="4"/>
      <c r="X36" s="4">
        <f>+P36-T36</f>
        <v>0</v>
      </c>
      <c r="Y36" s="4"/>
      <c r="Z36" s="12">
        <f>IF(T36=0,0,X36/T36)</f>
        <v>0</v>
      </c>
    </row>
    <row r="37" spans="1:26" x14ac:dyDescent="0.3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3">
      <c r="A38" s="10"/>
      <c r="B38" s="26" t="s">
        <v>276</v>
      </c>
      <c r="C38" s="26"/>
      <c r="D38" s="20">
        <f>+D16-D18+D36</f>
        <v>-852.91000000000008</v>
      </c>
      <c r="E38" s="13"/>
      <c r="F38" s="21">
        <f>IF(D$12=0,0,D38/D$12)</f>
        <v>0</v>
      </c>
      <c r="G38" s="13"/>
      <c r="H38" s="20">
        <f>+H16-H18+H36</f>
        <v>-1548.05</v>
      </c>
      <c r="I38" s="13"/>
      <c r="J38" s="21">
        <f>IF(H$12=0,0,H38/H$12)</f>
        <v>0</v>
      </c>
      <c r="K38" s="15"/>
      <c r="L38" s="20">
        <f>+D38-H38</f>
        <v>695.13999999999987</v>
      </c>
      <c r="M38" s="15"/>
      <c r="N38" s="21">
        <f>IF(H38=0,0,L38/H38)</f>
        <v>-0.44904234359355311</v>
      </c>
      <c r="O38" s="25"/>
      <c r="P38" s="20">
        <f>+P16-P18+P36</f>
        <v>-5312.68</v>
      </c>
      <c r="Q38" s="13"/>
      <c r="R38" s="21">
        <f>IF(P$12=0,0,P38/P$12)</f>
        <v>0</v>
      </c>
      <c r="S38" s="13"/>
      <c r="T38" s="20">
        <f>+T16-T18+T36</f>
        <v>-6250.9000000000005</v>
      </c>
      <c r="U38" s="13"/>
      <c r="V38" s="21">
        <f>IF(T$12=0,0,T38/T$12)</f>
        <v>0</v>
      </c>
      <c r="W38" s="15"/>
      <c r="X38" s="20">
        <f>+P38-T38</f>
        <v>938.22000000000025</v>
      </c>
      <c r="Y38" s="15"/>
      <c r="Z38" s="21">
        <f>IF(T38=0,0,X38/T38)</f>
        <v>-0.15009358652354063</v>
      </c>
    </row>
    <row r="39" spans="1:26" x14ac:dyDescent="0.3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3">
      <c r="A40" s="51"/>
      <c r="B40" s="10" t="s">
        <v>127</v>
      </c>
      <c r="C40" s="10"/>
      <c r="D40" s="4"/>
      <c r="E40" s="4"/>
      <c r="F40" s="12">
        <f>IF(D$12=0,0,D40/D$12)</f>
        <v>0</v>
      </c>
      <c r="G40" s="4"/>
      <c r="H40" s="4"/>
      <c r="I40" s="4"/>
      <c r="J40" s="12">
        <f>IF(H$12=0,0,H40/H$12)</f>
        <v>0</v>
      </c>
      <c r="K40" s="4"/>
      <c r="L40" s="4">
        <f>+D40-H40</f>
        <v>0</v>
      </c>
      <c r="M40" s="4"/>
      <c r="N40" s="12">
        <f>IF(H40=0,0,L40/H40)</f>
        <v>0</v>
      </c>
      <c r="O40" s="10"/>
      <c r="P40" s="4"/>
      <c r="Q40" s="4"/>
      <c r="R40" s="12">
        <f>IF(P$12=0,0,P40/P$12)</f>
        <v>0</v>
      </c>
      <c r="S40" s="4"/>
      <c r="T40" s="4"/>
      <c r="U40" s="4"/>
      <c r="V40" s="12">
        <f>IF(T$12=0,0,T40/T$12)</f>
        <v>0</v>
      </c>
      <c r="W40" s="4"/>
      <c r="X40" s="4">
        <f>+P40-T40</f>
        <v>0</v>
      </c>
      <c r="Y40" s="4"/>
      <c r="Z40" s="12">
        <f>IF(T40=0,0,X40/T40)</f>
        <v>0</v>
      </c>
    </row>
    <row r="41" spans="1:26" x14ac:dyDescent="0.3">
      <c r="A41" s="9"/>
      <c r="B41" s="10"/>
      <c r="C41" s="10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O41" s="10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ht="15" thickBot="1" x14ac:dyDescent="0.35">
      <c r="A42" s="10"/>
      <c r="B42" s="26" t="s">
        <v>125</v>
      </c>
      <c r="C42" s="26"/>
      <c r="D42" s="32">
        <f>+D38-D40</f>
        <v>-852.91000000000008</v>
      </c>
      <c r="E42" s="13"/>
      <c r="F42" s="35">
        <f>IF(D$12=0,0,D42/D$12)</f>
        <v>0</v>
      </c>
      <c r="G42" s="13"/>
      <c r="H42" s="32">
        <f>+H38-H40</f>
        <v>-1548.05</v>
      </c>
      <c r="I42" s="13"/>
      <c r="J42" s="35">
        <f>IF(H$12=0,0,H42/H$12)</f>
        <v>0</v>
      </c>
      <c r="K42" s="15"/>
      <c r="L42" s="32">
        <f>D42-H42</f>
        <v>695.13999999999987</v>
      </c>
      <c r="M42" s="15"/>
      <c r="N42" s="35">
        <f>IF(H42=0,0,L42/H42)</f>
        <v>-0.44904234359355311</v>
      </c>
      <c r="O42" s="25"/>
      <c r="P42" s="32">
        <f>+P38-P40</f>
        <v>-5312.68</v>
      </c>
      <c r="Q42" s="13"/>
      <c r="R42" s="35">
        <f>IF(P$12=0,0,P42/P$12)</f>
        <v>0</v>
      </c>
      <c r="S42" s="13"/>
      <c r="T42" s="32">
        <f>+T38-T40</f>
        <v>-6250.9000000000005</v>
      </c>
      <c r="U42" s="13"/>
      <c r="V42" s="35">
        <f>IF(T$12=0,0,T42/T$12)</f>
        <v>0</v>
      </c>
      <c r="W42" s="15"/>
      <c r="X42" s="32">
        <f>P42-T42</f>
        <v>938.22000000000025</v>
      </c>
      <c r="Y42" s="15"/>
      <c r="Z42" s="35">
        <f>IF(T42=0,0,X42/T42)</f>
        <v>-0.15009358652354063</v>
      </c>
    </row>
    <row r="43" spans="1:26" ht="15" thickTop="1" x14ac:dyDescent="0.3">
      <c r="A43" s="9"/>
      <c r="B43" s="9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x14ac:dyDescent="0.3">
      <c r="A44" s="9"/>
      <c r="B44" s="9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ht="15" thickBot="1" x14ac:dyDescent="0.35">
      <c r="A45" s="10"/>
      <c r="B45" s="26" t="s">
        <v>293</v>
      </c>
      <c r="C45" s="26"/>
      <c r="D45" s="31">
        <f>SUM(D42:D44)</f>
        <v>-852.91000000000008</v>
      </c>
      <c r="E45" s="13"/>
      <c r="F45" s="33">
        <f>IF(D$12=0,0,D45/D$12)</f>
        <v>0</v>
      </c>
      <c r="G45" s="13"/>
      <c r="H45" s="31">
        <f>SUM(H42:H44)</f>
        <v>-1548.05</v>
      </c>
      <c r="I45" s="13"/>
      <c r="J45" s="33">
        <f>IF(H$12=0,0,H45/H$12)</f>
        <v>0</v>
      </c>
      <c r="K45" s="15"/>
      <c r="L45" s="31">
        <f>+D45-H45</f>
        <v>695.13999999999987</v>
      </c>
      <c r="M45" s="15"/>
      <c r="N45" s="33">
        <f>IF(H45=0,0,L45/H45)</f>
        <v>-0.44904234359355311</v>
      </c>
      <c r="O45" s="25"/>
      <c r="P45" s="31">
        <f>SUM(P42:P44)</f>
        <v>-5312.68</v>
      </c>
      <c r="Q45" s="13"/>
      <c r="R45" s="33">
        <f>IF(P$12=0,0,P45/P$12)</f>
        <v>0</v>
      </c>
      <c r="S45" s="13"/>
      <c r="T45" s="31">
        <f>SUM(T42:T44)</f>
        <v>-6250.9000000000005</v>
      </c>
      <c r="U45" s="13"/>
      <c r="V45" s="33">
        <f>IF(T$12=0,0,T45/T$12)</f>
        <v>0</v>
      </c>
      <c r="W45" s="15"/>
      <c r="X45" s="31">
        <f>+P45-T45</f>
        <v>938.22000000000025</v>
      </c>
      <c r="Y45" s="15"/>
      <c r="Z45" s="33">
        <f>IF(T45=0,0,X45/T45)</f>
        <v>-0.15009358652354063</v>
      </c>
    </row>
    <row r="46" spans="1:26" ht="15" thickTop="1" x14ac:dyDescent="0.3">
      <c r="A46" s="9"/>
      <c r="C46" s="9"/>
      <c r="D46" s="17"/>
      <c r="E46" s="17"/>
      <c r="G46" s="17"/>
      <c r="H46" s="17"/>
      <c r="I46" s="17"/>
      <c r="J46" s="43"/>
      <c r="K46" s="17"/>
      <c r="L46" s="17"/>
      <c r="M46" s="17"/>
      <c r="P46" s="17"/>
      <c r="Q46" s="17"/>
      <c r="R46" s="43"/>
      <c r="S46" s="17"/>
      <c r="T46" s="17"/>
      <c r="U46" s="17"/>
      <c r="V46" s="43"/>
      <c r="W46" s="17"/>
      <c r="X46" s="17"/>
    </row>
    <row r="47" spans="1:26" x14ac:dyDescent="0.3">
      <c r="A47" s="9"/>
      <c r="B47" s="60">
        <v>44575.854680405093</v>
      </c>
      <c r="D47" s="17"/>
      <c r="E47" s="17"/>
      <c r="G47" s="17"/>
      <c r="H47" s="17"/>
      <c r="I47" s="17"/>
      <c r="J47" s="43"/>
      <c r="K47" s="17"/>
      <c r="L47" s="17"/>
      <c r="M47" s="17"/>
      <c r="P47" s="17"/>
      <c r="Q47" s="17"/>
      <c r="R47" s="43"/>
      <c r="S47" s="17"/>
      <c r="T47" s="17"/>
      <c r="U47" s="17"/>
      <c r="V47" s="43"/>
      <c r="W47" s="17"/>
      <c r="X47" s="17"/>
    </row>
    <row r="48" spans="1:26" x14ac:dyDescent="0.3">
      <c r="A48" s="9"/>
      <c r="B48" s="57" t="s">
        <v>56</v>
      </c>
      <c r="D48" s="17"/>
      <c r="E48" s="17"/>
      <c r="G48" s="17"/>
      <c r="H48" s="17"/>
      <c r="I48" s="17"/>
      <c r="J48" s="43"/>
      <c r="K48" s="17"/>
      <c r="L48" s="17"/>
      <c r="M48" s="17"/>
      <c r="P48" s="17"/>
      <c r="Q48" s="17"/>
      <c r="R48" s="43"/>
      <c r="S48" s="17"/>
      <c r="T48" s="17"/>
      <c r="U48" s="17"/>
      <c r="V48" s="43"/>
      <c r="W48" s="17"/>
      <c r="X48" s="17"/>
    </row>
    <row r="49" spans="1:24" x14ac:dyDescent="0.3">
      <c r="A49" s="9"/>
      <c r="B49" s="59"/>
      <c r="D49" s="17"/>
      <c r="E49" s="17"/>
      <c r="G49" s="17"/>
      <c r="H49" s="17"/>
      <c r="I49" s="17"/>
      <c r="J49" s="43"/>
      <c r="K49" s="17"/>
      <c r="L49" s="17"/>
      <c r="M49" s="17"/>
      <c r="P49" s="17"/>
      <c r="Q49" s="17"/>
      <c r="R49" s="43"/>
      <c r="S49" s="17"/>
      <c r="T49" s="17"/>
      <c r="U49" s="17"/>
      <c r="V49" s="43"/>
      <c r="W49" s="17"/>
      <c r="X49" s="17"/>
    </row>
    <row r="50" spans="1:24" x14ac:dyDescent="0.3">
      <c r="D50" s="17"/>
      <c r="E50" s="17"/>
      <c r="G50" s="17"/>
      <c r="H50" s="17"/>
      <c r="I50" s="17"/>
      <c r="J50" s="43"/>
      <c r="K50" s="17"/>
      <c r="L50" s="17"/>
      <c r="M50" s="17"/>
      <c r="P50" s="17"/>
      <c r="Q50" s="17"/>
      <c r="R50" s="43"/>
      <c r="S50" s="17"/>
      <c r="T50" s="17"/>
      <c r="U50" s="17"/>
      <c r="V50" s="43"/>
      <c r="W50" s="17"/>
      <c r="X50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","313", " - ", "Convenience Store")</f>
        <v>Department 313 - Convenience Store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6" si="0">+D12-H12</f>
        <v>0</v>
      </c>
      <c r="M12" s="4"/>
      <c r="N12" s="12">
        <f t="shared" ref="N12:N16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6" si="2">+P12-T12</f>
        <v>0</v>
      </c>
      <c r="Y12" s="4"/>
      <c r="Z12" s="12">
        <f t="shared" ref="Z12:Z16" si="3">IF(T12=0,0,X12/T12)</f>
        <v>0</v>
      </c>
    </row>
    <row r="13" spans="1:26" s="24" customFormat="1" hidden="1" outlineLevel="1" x14ac:dyDescent="0.3">
      <c r="A13" s="44"/>
      <c r="B13" s="11" t="str">
        <f>CONCATENATE("          ", "4034", " - ", "TAXABLE SALES-SODA")</f>
        <v xml:space="preserve">          4034 - TAXABLE SALES-SODA</v>
      </c>
      <c r="C13" s="11"/>
      <c r="D13" s="2">
        <f t="shared" ref="D13:D16" si="4">0</f>
        <v>0</v>
      </c>
      <c r="E13" s="2"/>
      <c r="F13" s="19"/>
      <c r="G13" s="2"/>
      <c r="H13" s="2">
        <f t="shared" ref="H13:H16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6" si="6">0</f>
        <v>0</v>
      </c>
      <c r="Q13" s="2"/>
      <c r="R13" s="19"/>
      <c r="S13" s="2"/>
      <c r="T13" s="2">
        <f t="shared" ref="T13:T16" si="7"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6"/>
        <v>0</v>
      </c>
      <c r="Q14" s="2"/>
      <c r="R14" s="19"/>
      <c r="S14" s="2"/>
      <c r="T14" s="2">
        <f t="shared" si="7"/>
        <v>0</v>
      </c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"4134", " - ", "NON-TAXABLE SALES-SODA")</f>
        <v xml:space="preserve">          4134 - NON-TAXABLE SALES-SODA</v>
      </c>
      <c r="C15" s="11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 t="shared" si="7"/>
        <v>0</v>
      </c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"4137", " - ", "NON-TAXABLE SALES-WATER")</f>
        <v xml:space="preserve">          4137 - NON-TAXABLE SALES-WATER</v>
      </c>
      <c r="C16" s="11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6"/>
        <v>0</v>
      </c>
      <c r="Q16" s="2"/>
      <c r="R16" s="19"/>
      <c r="S16" s="2"/>
      <c r="T16" s="2">
        <f t="shared" si="7"/>
        <v>0</v>
      </c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256</v>
      </c>
      <c r="C18" s="10"/>
      <c r="D18" s="4">
        <f>SUM(OSRRefD16x_0)</f>
        <v>0</v>
      </c>
      <c r="E18" s="4"/>
      <c r="F18" s="12">
        <f t="shared" ref="F18:F19" si="8">IF(D$12=0,0,D18/D$12)</f>
        <v>0</v>
      </c>
      <c r="G18" s="4"/>
      <c r="H18" s="4">
        <f>SUM(OSRRefH16x_0)</f>
        <v>0</v>
      </c>
      <c r="I18" s="4"/>
      <c r="J18" s="12">
        <f t="shared" ref="J18:J19" si="9">IF(H$12=0,0,H18/H$12)</f>
        <v>0</v>
      </c>
      <c r="K18" s="4"/>
      <c r="L18" s="4">
        <f t="shared" ref="L18:L19" si="10">+D18-H18</f>
        <v>0</v>
      </c>
      <c r="M18" s="4"/>
      <c r="N18" s="12">
        <f t="shared" ref="N18:N19" si="11">IF(H18=0,0,L18/H18)</f>
        <v>0</v>
      </c>
      <c r="O18" s="10"/>
      <c r="P18" s="4">
        <f>SUM(OSRRefP16x_0)</f>
        <v>0</v>
      </c>
      <c r="Q18" s="4"/>
      <c r="R18" s="12">
        <f t="shared" ref="R18:R19" si="12">IF(P$12=0,0,P18/P$12)</f>
        <v>0</v>
      </c>
      <c r="S18" s="4"/>
      <c r="T18" s="4">
        <f>SUM(OSRRefT16x_0)</f>
        <v>-613.59</v>
      </c>
      <c r="U18" s="4"/>
      <c r="V18" s="12">
        <f t="shared" ref="V18:V19" si="13">IF(T$12=0,0,T18/T$12)</f>
        <v>0</v>
      </c>
      <c r="W18" s="4"/>
      <c r="X18" s="4">
        <f t="shared" ref="X18:X19" si="14">+P18-T18</f>
        <v>613.59</v>
      </c>
      <c r="Y18" s="4"/>
      <c r="Z18" s="12">
        <f t="shared" ref="Z18:Z19" si="15">IF(T18=0,0,X18/T18)</f>
        <v>-1</v>
      </c>
    </row>
    <row r="19" spans="1:26" s="24" customFormat="1" hidden="1" outlineLevel="1" x14ac:dyDescent="0.3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8"/>
        <v>0</v>
      </c>
      <c r="G19" s="2"/>
      <c r="H19" s="2"/>
      <c r="I19" s="2"/>
      <c r="J19" s="19">
        <f t="shared" si="9"/>
        <v>0</v>
      </c>
      <c r="K19" s="2"/>
      <c r="L19" s="2">
        <f t="shared" si="10"/>
        <v>0</v>
      </c>
      <c r="M19" s="2"/>
      <c r="N19" s="19">
        <f t="shared" si="11"/>
        <v>0</v>
      </c>
      <c r="O19" s="11"/>
      <c r="P19" s="2"/>
      <c r="Q19" s="2"/>
      <c r="R19" s="19">
        <f t="shared" si="12"/>
        <v>0</v>
      </c>
      <c r="S19" s="2"/>
      <c r="T19" s="2">
        <v>-613.59</v>
      </c>
      <c r="U19" s="2"/>
      <c r="V19" s="19">
        <f t="shared" si="13"/>
        <v>0</v>
      </c>
      <c r="W19" s="2"/>
      <c r="X19" s="2">
        <f t="shared" si="14"/>
        <v>613.59</v>
      </c>
      <c r="Y19" s="2"/>
      <c r="Z19" s="19">
        <f t="shared" si="15"/>
        <v>-1</v>
      </c>
    </row>
    <row r="20" spans="1:26" x14ac:dyDescent="0.3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">
      <c r="A21" s="10"/>
      <c r="B21" s="26" t="s">
        <v>107</v>
      </c>
      <c r="C21" s="26"/>
      <c r="D21" s="20">
        <f>D12-D18</f>
        <v>0</v>
      </c>
      <c r="E21" s="13"/>
      <c r="F21" s="21">
        <f>IF(D$12=0,0,D21/D$12)</f>
        <v>0</v>
      </c>
      <c r="G21" s="13"/>
      <c r="H21" s="20">
        <f>H12-H18</f>
        <v>0</v>
      </c>
      <c r="I21" s="13"/>
      <c r="J21" s="21">
        <f>IF(H$12=0,0,H21/H$12)</f>
        <v>0</v>
      </c>
      <c r="K21" s="15"/>
      <c r="L21" s="20">
        <f>+D21-H21</f>
        <v>0</v>
      </c>
      <c r="M21" s="15"/>
      <c r="N21" s="21">
        <f>IF(H21=0,0,L21/H21)</f>
        <v>0</v>
      </c>
      <c r="O21" s="25"/>
      <c r="P21" s="20">
        <f>P12-P18</f>
        <v>0</v>
      </c>
      <c r="Q21" s="13"/>
      <c r="R21" s="21">
        <f>IF(P$12=0,0,P21/P$12)</f>
        <v>0</v>
      </c>
      <c r="S21" s="13"/>
      <c r="T21" s="20">
        <f>T12-T18</f>
        <v>613.59</v>
      </c>
      <c r="U21" s="13"/>
      <c r="V21" s="21">
        <f>IF(T$12=0,0,T21/T$12)</f>
        <v>0</v>
      </c>
      <c r="W21" s="15"/>
      <c r="X21" s="20">
        <f>+P21-T21</f>
        <v>-613.59</v>
      </c>
      <c r="Y21" s="15"/>
      <c r="Z21" s="21">
        <f>IF(T21=0,0,X21/T21)</f>
        <v>-1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294</v>
      </c>
      <c r="C23" s="10"/>
      <c r="D23" s="22">
        <f>SUM(OSRRefD22x_0)</f>
        <v>0</v>
      </c>
      <c r="E23" s="22"/>
      <c r="F23" s="34">
        <f t="shared" ref="F23:F32" si="16">IF(D$12=0,0,D23/D$12)</f>
        <v>0</v>
      </c>
      <c r="G23" s="22"/>
      <c r="H23" s="22">
        <f>SUM(OSRRefH22x_0)</f>
        <v>2286.9900000000002</v>
      </c>
      <c r="I23" s="22"/>
      <c r="J23" s="34">
        <f t="shared" ref="J23:J32" si="17">IF(H$12=0,0,H23/H$12)</f>
        <v>0</v>
      </c>
      <c r="K23" s="4"/>
      <c r="L23" s="22">
        <f t="shared" ref="L23:L32" si="18">+D23-H23</f>
        <v>-2286.9900000000002</v>
      </c>
      <c r="M23" s="4"/>
      <c r="N23" s="34">
        <f t="shared" ref="N23:N32" si="19">IF(H23=0,0,L23/H23)</f>
        <v>-1</v>
      </c>
      <c r="O23" s="10"/>
      <c r="P23" s="22">
        <f>SUM(OSRRefP22x_0)</f>
        <v>0</v>
      </c>
      <c r="Q23" s="22"/>
      <c r="R23" s="34">
        <f t="shared" ref="R23:R32" si="20">IF(P$12=0,0,P23/P$12)</f>
        <v>0</v>
      </c>
      <c r="S23" s="22"/>
      <c r="T23" s="22">
        <f>SUM(OSRRefT22x_0)</f>
        <v>46261.9</v>
      </c>
      <c r="U23" s="22"/>
      <c r="V23" s="34">
        <f t="shared" ref="V23:V32" si="21">IF(T$12=0,0,T23/T$12)</f>
        <v>0</v>
      </c>
      <c r="W23" s="4"/>
      <c r="X23" s="22">
        <f t="shared" ref="X23:X32" si="22">+P23-T23</f>
        <v>-46261.9</v>
      </c>
      <c r="Y23" s="4"/>
      <c r="Z23" s="34">
        <f t="shared" ref="Z23:Z32" si="23">IF(T23=0,0,X23/T23)</f>
        <v>-1</v>
      </c>
    </row>
    <row r="24" spans="1:26" s="29" customFormat="1" outlineLevel="1" collapsed="1" x14ac:dyDescent="0.3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0</v>
      </c>
      <c r="E24" s="1"/>
      <c r="F24" s="5">
        <f t="shared" si="16"/>
        <v>0</v>
      </c>
      <c r="G24" s="1"/>
      <c r="H24" s="1">
        <f>SUM(OSRRefH22_0x_0)</f>
        <v>1976.89</v>
      </c>
      <c r="I24" s="1"/>
      <c r="J24" s="5">
        <f t="shared" si="17"/>
        <v>0</v>
      </c>
      <c r="K24" s="1"/>
      <c r="L24" s="1">
        <f t="shared" si="18"/>
        <v>-1976.89</v>
      </c>
      <c r="M24" s="1"/>
      <c r="N24" s="5">
        <f t="shared" si="19"/>
        <v>-1</v>
      </c>
      <c r="O24" s="14"/>
      <c r="P24" s="1">
        <f>SUM(OSRRefP22_0x_0)</f>
        <v>0</v>
      </c>
      <c r="Q24" s="1"/>
      <c r="R24" s="5">
        <f t="shared" si="20"/>
        <v>0</v>
      </c>
      <c r="S24" s="1"/>
      <c r="T24" s="1">
        <f>SUM(OSRRefT22_0x_0)</f>
        <v>21787.579999999998</v>
      </c>
      <c r="U24" s="1"/>
      <c r="V24" s="5">
        <f t="shared" si="21"/>
        <v>0</v>
      </c>
      <c r="W24" s="1"/>
      <c r="X24" s="1">
        <f t="shared" si="22"/>
        <v>-21787.579999999998</v>
      </c>
      <c r="Y24" s="1"/>
      <c r="Z24" s="5">
        <f t="shared" si="23"/>
        <v>-1</v>
      </c>
    </row>
    <row r="25" spans="1:26" s="24" customFormat="1" hidden="1" outlineLevel="2" x14ac:dyDescent="0.3">
      <c r="A25" s="28"/>
      <c r="B25" s="11" t="str">
        <f>CONCATENATE("          ", "6111", " - ", "F.I.C.A.")</f>
        <v xml:space="preserve">          6111 - F.I.C.A.</v>
      </c>
      <c r="C25" s="11"/>
      <c r="D25" s="6"/>
      <c r="E25" s="2"/>
      <c r="F25" s="7">
        <f t="shared" si="16"/>
        <v>0</v>
      </c>
      <c r="G25" s="2"/>
      <c r="H25" s="6"/>
      <c r="I25" s="2"/>
      <c r="J25" s="7">
        <f t="shared" si="17"/>
        <v>0</v>
      </c>
      <c r="K25" s="2"/>
      <c r="L25" s="6">
        <f t="shared" si="18"/>
        <v>0</v>
      </c>
      <c r="M25" s="2"/>
      <c r="N25" s="7">
        <f t="shared" si="19"/>
        <v>0</v>
      </c>
      <c r="O25" s="11"/>
      <c r="P25" s="6"/>
      <c r="Q25" s="2"/>
      <c r="R25" s="7">
        <f t="shared" si="20"/>
        <v>0</v>
      </c>
      <c r="S25" s="2"/>
      <c r="T25" s="6">
        <v>1924.35</v>
      </c>
      <c r="U25" s="2"/>
      <c r="V25" s="7">
        <f t="shared" si="21"/>
        <v>0</v>
      </c>
      <c r="W25" s="2"/>
      <c r="X25" s="6">
        <f t="shared" si="22"/>
        <v>-1924.35</v>
      </c>
      <c r="Y25" s="2"/>
      <c r="Z25" s="7">
        <f t="shared" si="23"/>
        <v>-1</v>
      </c>
    </row>
    <row r="26" spans="1:26" s="24" customFormat="1" hidden="1" outlineLevel="2" x14ac:dyDescent="0.3">
      <c r="A26" s="28"/>
      <c r="B26" s="11" t="str">
        <f>CONCATENATE("          ", "6112", " - ", "COMPENSATION INSURANCE")</f>
        <v xml:space="preserve">          6112 - COMPENSATION INSURANCE</v>
      </c>
      <c r="C26" s="11"/>
      <c r="D26" s="6"/>
      <c r="E26" s="2"/>
      <c r="F26" s="7">
        <f t="shared" si="16"/>
        <v>0</v>
      </c>
      <c r="G26" s="2"/>
      <c r="H26" s="6"/>
      <c r="I26" s="2"/>
      <c r="J26" s="7">
        <f t="shared" si="17"/>
        <v>0</v>
      </c>
      <c r="K26" s="2"/>
      <c r="L26" s="6">
        <f t="shared" si="18"/>
        <v>0</v>
      </c>
      <c r="M26" s="2"/>
      <c r="N26" s="7">
        <f t="shared" si="19"/>
        <v>0</v>
      </c>
      <c r="O26" s="11"/>
      <c r="P26" s="6"/>
      <c r="Q26" s="2"/>
      <c r="R26" s="7">
        <f t="shared" si="20"/>
        <v>0</v>
      </c>
      <c r="S26" s="2"/>
      <c r="T26" s="6">
        <v>499.06</v>
      </c>
      <c r="U26" s="2"/>
      <c r="V26" s="7">
        <f t="shared" si="21"/>
        <v>0</v>
      </c>
      <c r="W26" s="2"/>
      <c r="X26" s="6">
        <f t="shared" si="22"/>
        <v>-499.06</v>
      </c>
      <c r="Y26" s="2"/>
      <c r="Z26" s="7">
        <f t="shared" si="23"/>
        <v>-1</v>
      </c>
    </row>
    <row r="27" spans="1:26" s="24" customFormat="1" hidden="1" outlineLevel="2" x14ac:dyDescent="0.3">
      <c r="A27" s="28"/>
      <c r="B27" s="11" t="str">
        <f>CONCATENATE("          ", "6113", " - ", "GROUP INSURANCE")</f>
        <v xml:space="preserve">          6113 - GROUP INSURANCE</v>
      </c>
      <c r="C27" s="11"/>
      <c r="D27" s="6"/>
      <c r="E27" s="2"/>
      <c r="F27" s="7">
        <f t="shared" si="16"/>
        <v>0</v>
      </c>
      <c r="G27" s="2"/>
      <c r="H27" s="6">
        <v>1976.89</v>
      </c>
      <c r="I27" s="2"/>
      <c r="J27" s="7">
        <f t="shared" si="17"/>
        <v>0</v>
      </c>
      <c r="K27" s="2"/>
      <c r="L27" s="6">
        <f t="shared" si="18"/>
        <v>-1976.89</v>
      </c>
      <c r="M27" s="2"/>
      <c r="N27" s="7">
        <f t="shared" si="19"/>
        <v>-1</v>
      </c>
      <c r="O27" s="11"/>
      <c r="P27" s="6"/>
      <c r="Q27" s="2"/>
      <c r="R27" s="7">
        <f t="shared" si="20"/>
        <v>0</v>
      </c>
      <c r="S27" s="2"/>
      <c r="T27" s="6">
        <v>12083.19</v>
      </c>
      <c r="U27" s="2"/>
      <c r="V27" s="7">
        <f t="shared" si="21"/>
        <v>0</v>
      </c>
      <c r="W27" s="2"/>
      <c r="X27" s="6">
        <f t="shared" si="22"/>
        <v>-12083.19</v>
      </c>
      <c r="Y27" s="2"/>
      <c r="Z27" s="7">
        <f t="shared" si="23"/>
        <v>-1</v>
      </c>
    </row>
    <row r="28" spans="1:26" s="24" customFormat="1" hidden="1" outlineLevel="2" x14ac:dyDescent="0.3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6"/>
      <c r="E28" s="2"/>
      <c r="F28" s="7">
        <f t="shared" si="16"/>
        <v>0</v>
      </c>
      <c r="G28" s="2"/>
      <c r="H28" s="6"/>
      <c r="I28" s="2"/>
      <c r="J28" s="7">
        <f t="shared" si="17"/>
        <v>0</v>
      </c>
      <c r="K28" s="2"/>
      <c r="L28" s="6">
        <f t="shared" si="18"/>
        <v>0</v>
      </c>
      <c r="M28" s="2"/>
      <c r="N28" s="7">
        <f t="shared" si="19"/>
        <v>0</v>
      </c>
      <c r="O28" s="11"/>
      <c r="P28" s="6"/>
      <c r="Q28" s="2"/>
      <c r="R28" s="7">
        <f t="shared" si="20"/>
        <v>0</v>
      </c>
      <c r="S28" s="2"/>
      <c r="T28" s="6">
        <v>70.14</v>
      </c>
      <c r="U28" s="2"/>
      <c r="V28" s="7">
        <f t="shared" si="21"/>
        <v>0</v>
      </c>
      <c r="W28" s="2"/>
      <c r="X28" s="6">
        <f t="shared" si="22"/>
        <v>-70.14</v>
      </c>
      <c r="Y28" s="2"/>
      <c r="Z28" s="7">
        <f t="shared" si="23"/>
        <v>-1</v>
      </c>
    </row>
    <row r="29" spans="1:26" s="24" customFormat="1" hidden="1" outlineLevel="2" x14ac:dyDescent="0.3">
      <c r="A29" s="28"/>
      <c r="B29" s="11" t="str">
        <f>CONCATENATE("          ", "6115", " - ", "P.E.R.S.")</f>
        <v xml:space="preserve">          6115 - P.E.R.S.</v>
      </c>
      <c r="C29" s="11"/>
      <c r="D29" s="6"/>
      <c r="E29" s="2"/>
      <c r="F29" s="7">
        <f t="shared" si="16"/>
        <v>0</v>
      </c>
      <c r="G29" s="2"/>
      <c r="H29" s="6"/>
      <c r="I29" s="2"/>
      <c r="J29" s="7">
        <f t="shared" si="17"/>
        <v>0</v>
      </c>
      <c r="K29" s="2"/>
      <c r="L29" s="6">
        <f t="shared" si="18"/>
        <v>0</v>
      </c>
      <c r="M29" s="2"/>
      <c r="N29" s="7">
        <f t="shared" si="19"/>
        <v>0</v>
      </c>
      <c r="O29" s="11"/>
      <c r="P29" s="6"/>
      <c r="Q29" s="2"/>
      <c r="R29" s="7">
        <f t="shared" si="20"/>
        <v>0</v>
      </c>
      <c r="S29" s="2"/>
      <c r="T29" s="6">
        <v>3490.92</v>
      </c>
      <c r="U29" s="2"/>
      <c r="V29" s="7">
        <f t="shared" si="21"/>
        <v>0</v>
      </c>
      <c r="W29" s="2"/>
      <c r="X29" s="6">
        <f t="shared" si="22"/>
        <v>-3490.92</v>
      </c>
      <c r="Y29" s="2"/>
      <c r="Z29" s="7">
        <f t="shared" si="23"/>
        <v>-1</v>
      </c>
    </row>
    <row r="30" spans="1:26" s="24" customFormat="1" hidden="1" outlineLevel="2" x14ac:dyDescent="0.3">
      <c r="A30" s="28"/>
      <c r="B30" s="11" t="str">
        <f>CONCATENATE("          ", "6118", " - ", "VACATION")</f>
        <v xml:space="preserve">          6118 - VACATION</v>
      </c>
      <c r="C30" s="11"/>
      <c r="D30" s="6"/>
      <c r="E30" s="2"/>
      <c r="F30" s="7">
        <f t="shared" si="16"/>
        <v>0</v>
      </c>
      <c r="G30" s="2"/>
      <c r="H30" s="6"/>
      <c r="I30" s="2"/>
      <c r="J30" s="7">
        <f t="shared" si="17"/>
        <v>0</v>
      </c>
      <c r="K30" s="2"/>
      <c r="L30" s="6">
        <f t="shared" si="18"/>
        <v>0</v>
      </c>
      <c r="M30" s="2"/>
      <c r="N30" s="7">
        <f t="shared" si="19"/>
        <v>0</v>
      </c>
      <c r="O30" s="11"/>
      <c r="P30" s="6"/>
      <c r="Q30" s="2"/>
      <c r="R30" s="7">
        <f t="shared" si="20"/>
        <v>0</v>
      </c>
      <c r="S30" s="2"/>
      <c r="T30" s="6">
        <v>2035.3</v>
      </c>
      <c r="U30" s="2"/>
      <c r="V30" s="7">
        <f t="shared" si="21"/>
        <v>0</v>
      </c>
      <c r="W30" s="2"/>
      <c r="X30" s="6">
        <f t="shared" si="22"/>
        <v>-2035.3</v>
      </c>
      <c r="Y30" s="2"/>
      <c r="Z30" s="7">
        <f t="shared" si="23"/>
        <v>-1</v>
      </c>
    </row>
    <row r="31" spans="1:26" s="24" customFormat="1" hidden="1" outlineLevel="2" x14ac:dyDescent="0.3">
      <c r="A31" s="28"/>
      <c r="B31" s="11" t="str">
        <f>CONCATENATE("          ", "6119", " - ", "SICK LEAVE")</f>
        <v xml:space="preserve">          6119 - SICK LEAVE</v>
      </c>
      <c r="C31" s="11"/>
      <c r="D31" s="6"/>
      <c r="E31" s="2"/>
      <c r="F31" s="7">
        <f t="shared" si="16"/>
        <v>0</v>
      </c>
      <c r="G31" s="2"/>
      <c r="H31" s="6"/>
      <c r="I31" s="2"/>
      <c r="J31" s="7">
        <f t="shared" si="17"/>
        <v>0</v>
      </c>
      <c r="K31" s="2"/>
      <c r="L31" s="6">
        <f t="shared" si="18"/>
        <v>0</v>
      </c>
      <c r="M31" s="2"/>
      <c r="N31" s="7">
        <f t="shared" si="19"/>
        <v>0</v>
      </c>
      <c r="O31" s="11"/>
      <c r="P31" s="6"/>
      <c r="Q31" s="2"/>
      <c r="R31" s="7">
        <f t="shared" si="20"/>
        <v>0</v>
      </c>
      <c r="S31" s="2"/>
      <c r="T31" s="6">
        <v>1283.8</v>
      </c>
      <c r="U31" s="2"/>
      <c r="V31" s="7">
        <f t="shared" si="21"/>
        <v>0</v>
      </c>
      <c r="W31" s="2"/>
      <c r="X31" s="6">
        <f t="shared" si="22"/>
        <v>-1283.8</v>
      </c>
      <c r="Y31" s="2"/>
      <c r="Z31" s="7">
        <f t="shared" si="23"/>
        <v>-1</v>
      </c>
    </row>
    <row r="32" spans="1:26" s="24" customFormat="1" hidden="1" outlineLevel="2" x14ac:dyDescent="0.3">
      <c r="A32" s="28"/>
      <c r="B32" s="11" t="str">
        <f>CONCATENATE("          ", "6156", " - ", "EMPLOYEE MEALS")</f>
        <v xml:space="preserve">          6156 - EMPLOYEE MEALS</v>
      </c>
      <c r="C32" s="11"/>
      <c r="D32" s="6"/>
      <c r="E32" s="2"/>
      <c r="F32" s="7">
        <f t="shared" si="16"/>
        <v>0</v>
      </c>
      <c r="G32" s="2"/>
      <c r="H32" s="6"/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/>
      <c r="Q32" s="2"/>
      <c r="R32" s="7">
        <f t="shared" si="20"/>
        <v>0</v>
      </c>
      <c r="S32" s="2"/>
      <c r="T32" s="6">
        <v>400.82</v>
      </c>
      <c r="U32" s="2"/>
      <c r="V32" s="7">
        <f t="shared" si="21"/>
        <v>0</v>
      </c>
      <c r="W32" s="2"/>
      <c r="X32" s="6">
        <f t="shared" si="22"/>
        <v>-400.82</v>
      </c>
      <c r="Y32" s="2"/>
      <c r="Z32" s="7">
        <f t="shared" si="23"/>
        <v>-1</v>
      </c>
    </row>
    <row r="33" spans="1:26" s="29" customFormat="1" outlineLevel="1" collapsed="1" x14ac:dyDescent="0.3">
      <c r="A33" s="27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0</v>
      </c>
      <c r="E33" s="1"/>
      <c r="F33" s="5">
        <f t="shared" ref="F33:F46" si="24">IF(D$12=0,0,D33/D$12)</f>
        <v>0</v>
      </c>
      <c r="G33" s="1"/>
      <c r="H33" s="1">
        <f>SUM(OSRRefH22_1x_0)</f>
        <v>0</v>
      </c>
      <c r="I33" s="1"/>
      <c r="J33" s="5">
        <f t="shared" ref="J33:J46" si="25">IF(H$12=0,0,H33/H$12)</f>
        <v>0</v>
      </c>
      <c r="K33" s="1"/>
      <c r="L33" s="1">
        <f t="shared" ref="L33:L46" si="26">+D33-H33</f>
        <v>0</v>
      </c>
      <c r="M33" s="1"/>
      <c r="N33" s="5">
        <f t="shared" ref="N33:N46" si="27">IF(H33=0,0,L33/H33)</f>
        <v>0</v>
      </c>
      <c r="O33" s="14"/>
      <c r="P33" s="1">
        <f>SUM(OSRRefP22_1x_0)</f>
        <v>0</v>
      </c>
      <c r="Q33" s="1"/>
      <c r="R33" s="5">
        <f t="shared" ref="R33:R46" si="28">IF(P$12=0,0,P33/P$12)</f>
        <v>0</v>
      </c>
      <c r="S33" s="1"/>
      <c r="T33" s="1">
        <f>SUM(OSRRefT22_1x_0)</f>
        <v>23136.42</v>
      </c>
      <c r="U33" s="1"/>
      <c r="V33" s="5">
        <f t="shared" ref="V33:V46" si="29">IF(T$12=0,0,T33/T$12)</f>
        <v>0</v>
      </c>
      <c r="W33" s="1"/>
      <c r="X33" s="1">
        <f t="shared" ref="X33:X46" si="30">+P33-T33</f>
        <v>-23136.42</v>
      </c>
      <c r="Y33" s="1"/>
      <c r="Z33" s="5">
        <f t="shared" ref="Z33:Z46" si="31">IF(T33=0,0,X33/T33)</f>
        <v>-1</v>
      </c>
    </row>
    <row r="34" spans="1:26" s="24" customFormat="1" hidden="1" outlineLevel="2" x14ac:dyDescent="0.3">
      <c r="A34" s="28"/>
      <c r="B34" s="11" t="str">
        <f>CONCATENATE("          ", "6002", " - ", "STAFF SALARIES")</f>
        <v xml:space="preserve">          6002 - STAFF SALARIES</v>
      </c>
      <c r="C34" s="11"/>
      <c r="D34" s="6"/>
      <c r="E34" s="2"/>
      <c r="F34" s="7">
        <f t="shared" si="24"/>
        <v>0</v>
      </c>
      <c r="G34" s="2"/>
      <c r="H34" s="6"/>
      <c r="I34" s="2"/>
      <c r="J34" s="7">
        <f t="shared" si="25"/>
        <v>0</v>
      </c>
      <c r="K34" s="2"/>
      <c r="L34" s="6">
        <f t="shared" si="26"/>
        <v>0</v>
      </c>
      <c r="M34" s="2"/>
      <c r="N34" s="7">
        <f t="shared" si="27"/>
        <v>0</v>
      </c>
      <c r="O34" s="11"/>
      <c r="P34" s="6"/>
      <c r="Q34" s="2"/>
      <c r="R34" s="7">
        <f t="shared" si="28"/>
        <v>0</v>
      </c>
      <c r="S34" s="2"/>
      <c r="T34" s="6">
        <v>23136.42</v>
      </c>
      <c r="U34" s="2"/>
      <c r="V34" s="7">
        <f t="shared" si="29"/>
        <v>0</v>
      </c>
      <c r="W34" s="2"/>
      <c r="X34" s="6">
        <f t="shared" si="30"/>
        <v>-23136.42</v>
      </c>
      <c r="Y34" s="2"/>
      <c r="Z34" s="7">
        <f t="shared" si="31"/>
        <v>-1</v>
      </c>
    </row>
    <row r="35" spans="1:26" s="29" customFormat="1" outlineLevel="1" collapsed="1" x14ac:dyDescent="0.3">
      <c r="A35" s="27"/>
      <c r="B35" s="14" t="str">
        <f>CONCATENATE("     ","Bank/card Fees                                    ")</f>
        <v xml:space="preserve">     Bank/card Fees                                    </v>
      </c>
      <c r="C35" s="14"/>
      <c r="D35" s="1">
        <f>SUM(OSRRefD22_2x_0)</f>
        <v>0</v>
      </c>
      <c r="E35" s="1"/>
      <c r="F35" s="5">
        <f t="shared" si="24"/>
        <v>0</v>
      </c>
      <c r="G35" s="1"/>
      <c r="H35" s="1">
        <f>SUM(OSRRefH22_2x_0)</f>
        <v>0</v>
      </c>
      <c r="I35" s="1"/>
      <c r="J35" s="5">
        <f t="shared" si="25"/>
        <v>0</v>
      </c>
      <c r="K35" s="1"/>
      <c r="L35" s="1">
        <f t="shared" si="26"/>
        <v>0</v>
      </c>
      <c r="M35" s="1"/>
      <c r="N35" s="5">
        <f t="shared" si="27"/>
        <v>0</v>
      </c>
      <c r="O35" s="14"/>
      <c r="P35" s="1">
        <f>SUM(OSRRefP22_2x_0)</f>
        <v>0</v>
      </c>
      <c r="Q35" s="1"/>
      <c r="R35" s="5">
        <f t="shared" si="28"/>
        <v>0</v>
      </c>
      <c r="S35" s="1"/>
      <c r="T35" s="1">
        <f>SUM(OSRRefT22_2x_0)</f>
        <v>240</v>
      </c>
      <c r="U35" s="1"/>
      <c r="V35" s="5">
        <f t="shared" si="29"/>
        <v>0</v>
      </c>
      <c r="W35" s="1"/>
      <c r="X35" s="1">
        <f t="shared" si="30"/>
        <v>-240</v>
      </c>
      <c r="Y35" s="1"/>
      <c r="Z35" s="5">
        <f t="shared" si="31"/>
        <v>-1</v>
      </c>
    </row>
    <row r="36" spans="1:26" s="24" customFormat="1" hidden="1" outlineLevel="2" x14ac:dyDescent="0.3">
      <c r="A36" s="28"/>
      <c r="B36" s="11" t="str">
        <f>CONCATENATE("          ", "6381", " - ", "BANK/CREDIT CARD FEES")</f>
        <v xml:space="preserve">          6381 - BANK/CREDIT CARD FEES</v>
      </c>
      <c r="C36" s="11"/>
      <c r="D36" s="6"/>
      <c r="E36" s="2"/>
      <c r="F36" s="7">
        <f t="shared" si="24"/>
        <v>0</v>
      </c>
      <c r="G36" s="2"/>
      <c r="H36" s="6"/>
      <c r="I36" s="2"/>
      <c r="J36" s="7">
        <f t="shared" si="25"/>
        <v>0</v>
      </c>
      <c r="K36" s="2"/>
      <c r="L36" s="6">
        <f t="shared" si="26"/>
        <v>0</v>
      </c>
      <c r="M36" s="2"/>
      <c r="N36" s="7">
        <f t="shared" si="27"/>
        <v>0</v>
      </c>
      <c r="O36" s="11"/>
      <c r="P36" s="6"/>
      <c r="Q36" s="2"/>
      <c r="R36" s="7">
        <f t="shared" si="28"/>
        <v>0</v>
      </c>
      <c r="S36" s="2"/>
      <c r="T36" s="6">
        <v>240</v>
      </c>
      <c r="U36" s="2"/>
      <c r="V36" s="7">
        <f t="shared" si="29"/>
        <v>0</v>
      </c>
      <c r="W36" s="2"/>
      <c r="X36" s="6">
        <f t="shared" si="30"/>
        <v>-240</v>
      </c>
      <c r="Y36" s="2"/>
      <c r="Z36" s="7">
        <f t="shared" si="31"/>
        <v>-1</v>
      </c>
    </row>
    <row r="37" spans="1:26" s="29" customFormat="1" outlineLevel="1" collapsed="1" x14ac:dyDescent="0.3">
      <c r="A37" s="27"/>
      <c r="B37" s="14" t="str">
        <f>CONCATENATE("     ","Freight out/Postage                               ")</f>
        <v xml:space="preserve">     Freight out/Postage                               </v>
      </c>
      <c r="C37" s="14"/>
      <c r="D37" s="1">
        <f>SUM(OSRRefD22_3x_0)</f>
        <v>0</v>
      </c>
      <c r="E37" s="1"/>
      <c r="F37" s="5">
        <f t="shared" si="24"/>
        <v>0</v>
      </c>
      <c r="G37" s="1"/>
      <c r="H37" s="1">
        <f>SUM(OSRRefH22_3x_0)</f>
        <v>3.93</v>
      </c>
      <c r="I37" s="1"/>
      <c r="J37" s="5">
        <f t="shared" si="25"/>
        <v>0</v>
      </c>
      <c r="K37" s="1"/>
      <c r="L37" s="1">
        <f t="shared" si="26"/>
        <v>-3.93</v>
      </c>
      <c r="M37" s="1"/>
      <c r="N37" s="5">
        <f t="shared" si="27"/>
        <v>-1</v>
      </c>
      <c r="O37" s="14"/>
      <c r="P37" s="1">
        <f>SUM(OSRRefP22_3x_0)</f>
        <v>0</v>
      </c>
      <c r="Q37" s="1"/>
      <c r="R37" s="5">
        <f t="shared" si="28"/>
        <v>0</v>
      </c>
      <c r="S37" s="1"/>
      <c r="T37" s="1">
        <f>SUM(OSRRefT22_3x_0)</f>
        <v>109.26</v>
      </c>
      <c r="U37" s="1"/>
      <c r="V37" s="5">
        <f t="shared" si="29"/>
        <v>0</v>
      </c>
      <c r="W37" s="1"/>
      <c r="X37" s="1">
        <f t="shared" si="30"/>
        <v>-109.26</v>
      </c>
      <c r="Y37" s="1"/>
      <c r="Z37" s="5">
        <f t="shared" si="31"/>
        <v>-1</v>
      </c>
    </row>
    <row r="38" spans="1:26" s="24" customFormat="1" hidden="1" outlineLevel="2" x14ac:dyDescent="0.3">
      <c r="A38" s="28"/>
      <c r="B38" s="11" t="str">
        <f>CONCATENATE("          ", "6305", " - ", "FREIGHT OUT")</f>
        <v xml:space="preserve">          6305 - FREIGHT OUT</v>
      </c>
      <c r="C38" s="11"/>
      <c r="D38" s="6"/>
      <c r="E38" s="2"/>
      <c r="F38" s="7">
        <f t="shared" si="24"/>
        <v>0</v>
      </c>
      <c r="G38" s="2"/>
      <c r="H38" s="6">
        <v>3.93</v>
      </c>
      <c r="I38" s="2"/>
      <c r="J38" s="7">
        <f t="shared" si="25"/>
        <v>0</v>
      </c>
      <c r="K38" s="2"/>
      <c r="L38" s="6">
        <f t="shared" si="26"/>
        <v>-3.93</v>
      </c>
      <c r="M38" s="2"/>
      <c r="N38" s="7">
        <f t="shared" si="27"/>
        <v>-1</v>
      </c>
      <c r="O38" s="11"/>
      <c r="P38" s="6"/>
      <c r="Q38" s="2"/>
      <c r="R38" s="7">
        <f t="shared" si="28"/>
        <v>0</v>
      </c>
      <c r="S38" s="2"/>
      <c r="T38" s="6">
        <v>109.26</v>
      </c>
      <c r="U38" s="2"/>
      <c r="V38" s="7">
        <f t="shared" si="29"/>
        <v>0</v>
      </c>
      <c r="W38" s="2"/>
      <c r="X38" s="6">
        <f t="shared" si="30"/>
        <v>-109.26</v>
      </c>
      <c r="Y38" s="2"/>
      <c r="Z38" s="7">
        <f t="shared" si="31"/>
        <v>-1</v>
      </c>
    </row>
    <row r="39" spans="1:26" s="29" customFormat="1" outlineLevel="1" collapsed="1" x14ac:dyDescent="0.3">
      <c r="A39" s="27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SUM(OSRRefD22_4x_0)</f>
        <v>0</v>
      </c>
      <c r="E39" s="1"/>
      <c r="F39" s="5">
        <f t="shared" si="24"/>
        <v>0</v>
      </c>
      <c r="G39" s="1"/>
      <c r="H39" s="1">
        <f>SUM(OSRRefH22_4x_0)</f>
        <v>160</v>
      </c>
      <c r="I39" s="1"/>
      <c r="J39" s="5">
        <f t="shared" si="25"/>
        <v>0</v>
      </c>
      <c r="K39" s="1"/>
      <c r="L39" s="1">
        <f t="shared" si="26"/>
        <v>-160</v>
      </c>
      <c r="M39" s="1"/>
      <c r="N39" s="5">
        <f t="shared" si="27"/>
        <v>-1</v>
      </c>
      <c r="O39" s="14"/>
      <c r="P39" s="1">
        <f>SUM(OSRRefP22_4x_0)</f>
        <v>0</v>
      </c>
      <c r="Q39" s="1"/>
      <c r="R39" s="5">
        <f t="shared" si="28"/>
        <v>0</v>
      </c>
      <c r="S39" s="1"/>
      <c r="T39" s="1">
        <f>SUM(OSRRefT22_4x_0)</f>
        <v>160</v>
      </c>
      <c r="U39" s="1"/>
      <c r="V39" s="5">
        <f t="shared" si="29"/>
        <v>0</v>
      </c>
      <c r="W39" s="1"/>
      <c r="X39" s="1">
        <f t="shared" si="30"/>
        <v>-160</v>
      </c>
      <c r="Y39" s="1"/>
      <c r="Z39" s="5">
        <f t="shared" si="31"/>
        <v>-1</v>
      </c>
    </row>
    <row r="40" spans="1:26" s="24" customFormat="1" hidden="1" outlineLevel="2" x14ac:dyDescent="0.3">
      <c r="A40" s="28"/>
      <c r="B40" s="11" t="str">
        <f>CONCATENATE("          ", "6279", " - ", "GENERAL EXPENSE")</f>
        <v xml:space="preserve">          6279 - GENERAL EXPENSE</v>
      </c>
      <c r="C40" s="11"/>
      <c r="D40" s="6"/>
      <c r="E40" s="2"/>
      <c r="F40" s="7">
        <f t="shared" si="24"/>
        <v>0</v>
      </c>
      <c r="G40" s="2"/>
      <c r="H40" s="6">
        <v>160</v>
      </c>
      <c r="I40" s="2"/>
      <c r="J40" s="7">
        <f t="shared" si="25"/>
        <v>0</v>
      </c>
      <c r="K40" s="2"/>
      <c r="L40" s="6">
        <f t="shared" si="26"/>
        <v>-160</v>
      </c>
      <c r="M40" s="2"/>
      <c r="N40" s="7">
        <f t="shared" si="27"/>
        <v>-1</v>
      </c>
      <c r="O40" s="11"/>
      <c r="P40" s="6"/>
      <c r="Q40" s="2"/>
      <c r="R40" s="7">
        <f t="shared" si="28"/>
        <v>0</v>
      </c>
      <c r="S40" s="2"/>
      <c r="T40" s="6">
        <v>160</v>
      </c>
      <c r="U40" s="2"/>
      <c r="V40" s="7">
        <f t="shared" si="29"/>
        <v>0</v>
      </c>
      <c r="W40" s="2"/>
      <c r="X40" s="6">
        <f t="shared" si="30"/>
        <v>-160</v>
      </c>
      <c r="Y40" s="2"/>
      <c r="Z40" s="7">
        <f t="shared" si="31"/>
        <v>-1</v>
      </c>
    </row>
    <row r="41" spans="1:26" s="29" customFormat="1" outlineLevel="1" collapsed="1" x14ac:dyDescent="0.3">
      <c r="A41" s="27"/>
      <c r="B41" s="14" t="str">
        <f>CONCATENATE("     ","Repair and Maintenance                            ")</f>
        <v xml:space="preserve">     Repair and Maintenance                            </v>
      </c>
      <c r="C41" s="14"/>
      <c r="D41" s="1">
        <f>SUM(OSRRefD22_5x_0)</f>
        <v>0</v>
      </c>
      <c r="E41" s="1"/>
      <c r="F41" s="5">
        <f t="shared" si="24"/>
        <v>0</v>
      </c>
      <c r="G41" s="1"/>
      <c r="H41" s="1">
        <f>SUM(OSRRefH22_5x_0)</f>
        <v>24.12</v>
      </c>
      <c r="I41" s="1"/>
      <c r="J41" s="5">
        <f t="shared" si="25"/>
        <v>0</v>
      </c>
      <c r="K41" s="1"/>
      <c r="L41" s="1">
        <f t="shared" si="26"/>
        <v>-24.12</v>
      </c>
      <c r="M41" s="1"/>
      <c r="N41" s="5">
        <f t="shared" si="27"/>
        <v>-1</v>
      </c>
      <c r="O41" s="14"/>
      <c r="P41" s="1">
        <f>SUM(OSRRefP22_5x_0)</f>
        <v>0</v>
      </c>
      <c r="Q41" s="1"/>
      <c r="R41" s="5">
        <f t="shared" si="28"/>
        <v>0</v>
      </c>
      <c r="S41" s="1"/>
      <c r="T41" s="1">
        <f>SUM(OSRRefT22_5x_0)</f>
        <v>48.24</v>
      </c>
      <c r="U41" s="1"/>
      <c r="V41" s="5">
        <f t="shared" si="29"/>
        <v>0</v>
      </c>
      <c r="W41" s="1"/>
      <c r="X41" s="1">
        <f t="shared" si="30"/>
        <v>-48.24</v>
      </c>
      <c r="Y41" s="1"/>
      <c r="Z41" s="5">
        <f t="shared" si="31"/>
        <v>-1</v>
      </c>
    </row>
    <row r="42" spans="1:26" s="24" customFormat="1" hidden="1" outlineLevel="2" x14ac:dyDescent="0.3">
      <c r="A42" s="28"/>
      <c r="B42" s="11" t="str">
        <f>CONCATENATE("          ", "6373", " - ", "MAINTENANCE CONTRACTS")</f>
        <v xml:space="preserve">          6373 - MAINTENANCE CONTRACTS</v>
      </c>
      <c r="C42" s="11"/>
      <c r="D42" s="6"/>
      <c r="E42" s="2"/>
      <c r="F42" s="7">
        <f t="shared" si="24"/>
        <v>0</v>
      </c>
      <c r="G42" s="2"/>
      <c r="H42" s="6">
        <v>24.12</v>
      </c>
      <c r="I42" s="2"/>
      <c r="J42" s="7">
        <f t="shared" si="25"/>
        <v>0</v>
      </c>
      <c r="K42" s="2"/>
      <c r="L42" s="6">
        <f t="shared" si="26"/>
        <v>-24.12</v>
      </c>
      <c r="M42" s="2"/>
      <c r="N42" s="7">
        <f t="shared" si="27"/>
        <v>-1</v>
      </c>
      <c r="O42" s="11"/>
      <c r="P42" s="6">
        <v>0</v>
      </c>
      <c r="Q42" s="2"/>
      <c r="R42" s="7">
        <f t="shared" si="28"/>
        <v>0</v>
      </c>
      <c r="S42" s="2"/>
      <c r="T42" s="6">
        <v>48.24</v>
      </c>
      <c r="U42" s="2"/>
      <c r="V42" s="7">
        <f t="shared" si="29"/>
        <v>0</v>
      </c>
      <c r="W42" s="2"/>
      <c r="X42" s="6">
        <f t="shared" si="30"/>
        <v>-48.24</v>
      </c>
      <c r="Y42" s="2"/>
      <c r="Z42" s="7">
        <f t="shared" si="31"/>
        <v>-1</v>
      </c>
    </row>
    <row r="43" spans="1:26" s="29" customFormat="1" outlineLevel="1" collapsed="1" x14ac:dyDescent="0.3">
      <c r="A43" s="27"/>
      <c r="B43" s="14" t="str">
        <f>CONCATENATE("     ","Supplies                                          ")</f>
        <v xml:space="preserve">     Supplies                                          </v>
      </c>
      <c r="C43" s="14"/>
      <c r="D43" s="1">
        <f>SUM(OSRRefD22_6x_0)</f>
        <v>0</v>
      </c>
      <c r="E43" s="1"/>
      <c r="F43" s="5">
        <f t="shared" si="24"/>
        <v>0</v>
      </c>
      <c r="G43" s="1"/>
      <c r="H43" s="1">
        <f>SUM(OSRRefH22_6x_0)</f>
        <v>0</v>
      </c>
      <c r="I43" s="1"/>
      <c r="J43" s="5">
        <f t="shared" si="25"/>
        <v>0</v>
      </c>
      <c r="K43" s="1"/>
      <c r="L43" s="1">
        <f t="shared" si="26"/>
        <v>0</v>
      </c>
      <c r="M43" s="1"/>
      <c r="N43" s="5">
        <f t="shared" si="27"/>
        <v>0</v>
      </c>
      <c r="O43" s="14"/>
      <c r="P43" s="1">
        <f>SUM(OSRRefP22_6x_0)</f>
        <v>0</v>
      </c>
      <c r="Q43" s="1"/>
      <c r="R43" s="5">
        <f t="shared" si="28"/>
        <v>0</v>
      </c>
      <c r="S43" s="1"/>
      <c r="T43" s="1">
        <f>SUM(OSRRefT22_6x_0)</f>
        <v>0</v>
      </c>
      <c r="U43" s="1"/>
      <c r="V43" s="5">
        <f t="shared" si="29"/>
        <v>0</v>
      </c>
      <c r="W43" s="1"/>
      <c r="X43" s="1">
        <f t="shared" si="30"/>
        <v>0</v>
      </c>
      <c r="Y43" s="1"/>
      <c r="Z43" s="5">
        <f t="shared" si="31"/>
        <v>0</v>
      </c>
    </row>
    <row r="44" spans="1:26" s="24" customFormat="1" hidden="1" outlineLevel="2" x14ac:dyDescent="0.3">
      <c r="A44" s="28"/>
      <c r="B44" s="11" t="str">
        <f>CONCATENATE("          ", "6247", " - ", "STORE SUPPLIES")</f>
        <v xml:space="preserve">          6247 - STORE SUPPLIES</v>
      </c>
      <c r="C44" s="11"/>
      <c r="D44" s="6"/>
      <c r="E44" s="2"/>
      <c r="F44" s="7">
        <f t="shared" si="24"/>
        <v>0</v>
      </c>
      <c r="G44" s="2"/>
      <c r="H44" s="6"/>
      <c r="I44" s="2"/>
      <c r="J44" s="7">
        <f t="shared" si="25"/>
        <v>0</v>
      </c>
      <c r="K44" s="2"/>
      <c r="L44" s="6">
        <f t="shared" si="26"/>
        <v>0</v>
      </c>
      <c r="M44" s="2"/>
      <c r="N44" s="7">
        <f t="shared" si="27"/>
        <v>0</v>
      </c>
      <c r="O44" s="11"/>
      <c r="P44" s="6">
        <v>0</v>
      </c>
      <c r="Q44" s="2"/>
      <c r="R44" s="7">
        <f t="shared" si="28"/>
        <v>0</v>
      </c>
      <c r="S44" s="2"/>
      <c r="T44" s="6"/>
      <c r="U44" s="2"/>
      <c r="V44" s="7">
        <f t="shared" si="29"/>
        <v>0</v>
      </c>
      <c r="W44" s="2"/>
      <c r="X44" s="6">
        <f t="shared" si="30"/>
        <v>0</v>
      </c>
      <c r="Y44" s="2"/>
      <c r="Z44" s="7">
        <f t="shared" si="31"/>
        <v>0</v>
      </c>
    </row>
    <row r="45" spans="1:26" s="29" customFormat="1" outlineLevel="1" collapsed="1" x14ac:dyDescent="0.3">
      <c r="A45" s="27"/>
      <c r="B45" s="14" t="str">
        <f>CONCATENATE("     ","Telephone/Data Lines                              ")</f>
        <v xml:space="preserve">     Telephone/Data Lines                              </v>
      </c>
      <c r="C45" s="14"/>
      <c r="D45" s="1">
        <f>SUM(OSRRefD22_7x_0)</f>
        <v>0</v>
      </c>
      <c r="E45" s="1"/>
      <c r="F45" s="5">
        <f t="shared" si="24"/>
        <v>0</v>
      </c>
      <c r="G45" s="1"/>
      <c r="H45" s="1">
        <f>SUM(OSRRefH22_7x_0)</f>
        <v>122.05</v>
      </c>
      <c r="I45" s="1"/>
      <c r="J45" s="5">
        <f t="shared" si="25"/>
        <v>0</v>
      </c>
      <c r="K45" s="1"/>
      <c r="L45" s="1">
        <f t="shared" si="26"/>
        <v>-122.05</v>
      </c>
      <c r="M45" s="1"/>
      <c r="N45" s="5">
        <f t="shared" si="27"/>
        <v>-1</v>
      </c>
      <c r="O45" s="14"/>
      <c r="P45" s="1">
        <f>SUM(OSRRefP22_7x_0)</f>
        <v>0</v>
      </c>
      <c r="Q45" s="1"/>
      <c r="R45" s="5">
        <f t="shared" si="28"/>
        <v>0</v>
      </c>
      <c r="S45" s="1"/>
      <c r="T45" s="1">
        <f>SUM(OSRRefT22_7x_0)</f>
        <v>780.4</v>
      </c>
      <c r="U45" s="1"/>
      <c r="V45" s="5">
        <f t="shared" si="29"/>
        <v>0</v>
      </c>
      <c r="W45" s="1"/>
      <c r="X45" s="1">
        <f t="shared" si="30"/>
        <v>-780.4</v>
      </c>
      <c r="Y45" s="1"/>
      <c r="Z45" s="5">
        <f t="shared" si="31"/>
        <v>-1</v>
      </c>
    </row>
    <row r="46" spans="1:26" s="24" customFormat="1" hidden="1" outlineLevel="2" x14ac:dyDescent="0.3">
      <c r="A46" s="28"/>
      <c r="B46" s="11" t="str">
        <f>CONCATENATE("          ", "6309", " - ", "TELEPHONE")</f>
        <v xml:space="preserve">          6309 - TELEPHONE</v>
      </c>
      <c r="C46" s="11"/>
      <c r="D46" s="6"/>
      <c r="E46" s="2"/>
      <c r="F46" s="7">
        <f t="shared" si="24"/>
        <v>0</v>
      </c>
      <c r="G46" s="2"/>
      <c r="H46" s="6">
        <v>122.05</v>
      </c>
      <c r="I46" s="2"/>
      <c r="J46" s="7">
        <f t="shared" si="25"/>
        <v>0</v>
      </c>
      <c r="K46" s="2"/>
      <c r="L46" s="6">
        <f t="shared" si="26"/>
        <v>-122.05</v>
      </c>
      <c r="M46" s="2"/>
      <c r="N46" s="7">
        <f t="shared" si="27"/>
        <v>-1</v>
      </c>
      <c r="O46" s="11"/>
      <c r="P46" s="6">
        <v>0</v>
      </c>
      <c r="Q46" s="2"/>
      <c r="R46" s="7">
        <f t="shared" si="28"/>
        <v>0</v>
      </c>
      <c r="S46" s="2"/>
      <c r="T46" s="6">
        <v>780.4</v>
      </c>
      <c r="U46" s="2"/>
      <c r="V46" s="7">
        <f t="shared" si="29"/>
        <v>0</v>
      </c>
      <c r="W46" s="2"/>
      <c r="X46" s="6">
        <f t="shared" si="30"/>
        <v>-780.4</v>
      </c>
      <c r="Y46" s="2"/>
      <c r="Z46" s="7">
        <f t="shared" si="31"/>
        <v>-1</v>
      </c>
    </row>
    <row r="47" spans="1:26" s="53" customFormat="1" x14ac:dyDescent="0.3">
      <c r="A47" s="37"/>
      <c r="B47" s="37"/>
      <c r="C47" s="37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3">
      <c r="A48" s="10"/>
      <c r="B48" s="25" t="s">
        <v>292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3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3">
      <c r="A50" s="10"/>
      <c r="B50" s="26" t="s">
        <v>276</v>
      </c>
      <c r="C50" s="26"/>
      <c r="D50" s="20">
        <f>+D21-D23+D48</f>
        <v>0</v>
      </c>
      <c r="E50" s="13"/>
      <c r="F50" s="21">
        <f>IF(D$12=0,0,D50/D$12)</f>
        <v>0</v>
      </c>
      <c r="G50" s="13"/>
      <c r="H50" s="20">
        <f>+H21-H23+H48</f>
        <v>-2286.9900000000002</v>
      </c>
      <c r="I50" s="13"/>
      <c r="J50" s="21">
        <f>IF(H$12=0,0,H50/H$12)</f>
        <v>0</v>
      </c>
      <c r="K50" s="15"/>
      <c r="L50" s="20">
        <f>+D50-H50</f>
        <v>2286.9900000000002</v>
      </c>
      <c r="M50" s="15"/>
      <c r="N50" s="21">
        <f>IF(H50=0,0,L50/H50)</f>
        <v>-1</v>
      </c>
      <c r="O50" s="25"/>
      <c r="P50" s="20">
        <f>+P21-P23+P48</f>
        <v>0</v>
      </c>
      <c r="Q50" s="13"/>
      <c r="R50" s="21">
        <f>IF(P$12=0,0,P50/P$12)</f>
        <v>0</v>
      </c>
      <c r="S50" s="13"/>
      <c r="T50" s="20">
        <f>+T21-T23+T48</f>
        <v>-45648.310000000005</v>
      </c>
      <c r="U50" s="13"/>
      <c r="V50" s="21">
        <f>IF(T$12=0,0,T50/T$12)</f>
        <v>0</v>
      </c>
      <c r="W50" s="15"/>
      <c r="X50" s="20">
        <f>+P50-T50</f>
        <v>45648.310000000005</v>
      </c>
      <c r="Y50" s="15"/>
      <c r="Z50" s="21">
        <f>IF(T50=0,0,X50/T50)</f>
        <v>-1</v>
      </c>
    </row>
    <row r="51" spans="1:26" x14ac:dyDescent="0.3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3">
      <c r="A52" s="51"/>
      <c r="B52" s="10" t="s">
        <v>127</v>
      </c>
      <c r="C52" s="10"/>
      <c r="D52" s="4"/>
      <c r="E52" s="4"/>
      <c r="F52" s="12">
        <f>IF(D$12=0,0,D52/D$12)</f>
        <v>0</v>
      </c>
      <c r="G52" s="4"/>
      <c r="H52" s="4"/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/>
      <c r="Q52" s="4"/>
      <c r="R52" s="12">
        <f>IF(P$12=0,0,P52/P$12)</f>
        <v>0</v>
      </c>
      <c r="S52" s="4"/>
      <c r="T52" s="4"/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3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" thickBot="1" x14ac:dyDescent="0.35">
      <c r="A54" s="10"/>
      <c r="B54" s="26" t="s">
        <v>125</v>
      </c>
      <c r="C54" s="26"/>
      <c r="D54" s="32">
        <f>+D50-D52</f>
        <v>0</v>
      </c>
      <c r="E54" s="13"/>
      <c r="F54" s="35">
        <f>IF(D$12=0,0,D54/D$12)</f>
        <v>0</v>
      </c>
      <c r="G54" s="13"/>
      <c r="H54" s="32">
        <f>+H50-H52</f>
        <v>-2286.9900000000002</v>
      </c>
      <c r="I54" s="13"/>
      <c r="J54" s="35">
        <f>IF(H$12=0,0,H54/H$12)</f>
        <v>0</v>
      </c>
      <c r="K54" s="15"/>
      <c r="L54" s="32">
        <f>D54-H54</f>
        <v>2286.9900000000002</v>
      </c>
      <c r="M54" s="15"/>
      <c r="N54" s="35">
        <f>IF(H54=0,0,L54/H54)</f>
        <v>-1</v>
      </c>
      <c r="O54" s="25"/>
      <c r="P54" s="32">
        <f>+P50-P52</f>
        <v>0</v>
      </c>
      <c r="Q54" s="13"/>
      <c r="R54" s="35">
        <f>IF(P$12=0,0,P54/P$12)</f>
        <v>0</v>
      </c>
      <c r="S54" s="13"/>
      <c r="T54" s="32">
        <f>+T50-T52</f>
        <v>-45648.310000000005</v>
      </c>
      <c r="U54" s="13"/>
      <c r="V54" s="35">
        <f>IF(T$12=0,0,T54/T$12)</f>
        <v>0</v>
      </c>
      <c r="W54" s="15"/>
      <c r="X54" s="32">
        <f>P54-T54</f>
        <v>45648.310000000005</v>
      </c>
      <c r="Y54" s="15"/>
      <c r="Z54" s="35">
        <f>IF(T54=0,0,X54/T54)</f>
        <v>-1</v>
      </c>
    </row>
    <row r="55" spans="1:26" ht="15" thickTop="1" x14ac:dyDescent="0.3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3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" thickBot="1" x14ac:dyDescent="0.35">
      <c r="A57" s="10"/>
      <c r="B57" s="26" t="s">
        <v>293</v>
      </c>
      <c r="C57" s="26"/>
      <c r="D57" s="31">
        <f>SUM(D54:D56)</f>
        <v>0</v>
      </c>
      <c r="E57" s="13"/>
      <c r="F57" s="33">
        <f>IF(D$12=0,0,D57/D$12)</f>
        <v>0</v>
      </c>
      <c r="G57" s="13"/>
      <c r="H57" s="31">
        <f>SUM(H54:H56)</f>
        <v>-2286.9900000000002</v>
      </c>
      <c r="I57" s="13"/>
      <c r="J57" s="33">
        <f>IF(H$12=0,0,H57/H$12)</f>
        <v>0</v>
      </c>
      <c r="K57" s="15"/>
      <c r="L57" s="31">
        <f>+D57-H57</f>
        <v>2286.9900000000002</v>
      </c>
      <c r="M57" s="15"/>
      <c r="N57" s="33">
        <f>IF(H57=0,0,L57/H57)</f>
        <v>-1</v>
      </c>
      <c r="O57" s="25"/>
      <c r="P57" s="31">
        <f>SUM(P54:P56)</f>
        <v>0</v>
      </c>
      <c r="Q57" s="13"/>
      <c r="R57" s="33">
        <f>IF(P$12=0,0,P57/P$12)</f>
        <v>0</v>
      </c>
      <c r="S57" s="13"/>
      <c r="T57" s="31">
        <f>SUM(T54:T56)</f>
        <v>-45648.310000000005</v>
      </c>
      <c r="U57" s="13"/>
      <c r="V57" s="33">
        <f>IF(T$12=0,0,T57/T$12)</f>
        <v>0</v>
      </c>
      <c r="W57" s="15"/>
      <c r="X57" s="31">
        <f>+P57-T57</f>
        <v>45648.310000000005</v>
      </c>
      <c r="Y57" s="15"/>
      <c r="Z57" s="33">
        <f>IF(T57=0,0,X57/T57)</f>
        <v>-1</v>
      </c>
    </row>
    <row r="58" spans="1:26" ht="15" thickTop="1" x14ac:dyDescent="0.3">
      <c r="A58" s="9"/>
      <c r="C58" s="9"/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  <row r="59" spans="1:26" x14ac:dyDescent="0.3">
      <c r="A59" s="9"/>
      <c r="B59" s="60">
        <v>44575.854680405093</v>
      </c>
      <c r="D59" s="17"/>
      <c r="E59" s="17"/>
      <c r="G59" s="17"/>
      <c r="H59" s="17"/>
      <c r="I59" s="17"/>
      <c r="J59" s="43"/>
      <c r="K59" s="17"/>
      <c r="L59" s="17"/>
      <c r="M59" s="17"/>
      <c r="P59" s="17"/>
      <c r="Q59" s="17"/>
      <c r="R59" s="43"/>
      <c r="S59" s="17"/>
      <c r="T59" s="17"/>
      <c r="U59" s="17"/>
      <c r="V59" s="43"/>
      <c r="W59" s="17"/>
      <c r="X59" s="17"/>
    </row>
    <row r="60" spans="1:26" x14ac:dyDescent="0.3">
      <c r="A60" s="9"/>
      <c r="B60" s="57" t="s">
        <v>56</v>
      </c>
      <c r="D60" s="17"/>
      <c r="E60" s="17"/>
      <c r="G60" s="17"/>
      <c r="H60" s="17"/>
      <c r="I60" s="17"/>
      <c r="J60" s="43"/>
      <c r="K60" s="17"/>
      <c r="L60" s="17"/>
      <c r="M60" s="17"/>
      <c r="P60" s="17"/>
      <c r="Q60" s="17"/>
      <c r="R60" s="43"/>
      <c r="S60" s="17"/>
      <c r="T60" s="17"/>
      <c r="U60" s="17"/>
      <c r="V60" s="43"/>
      <c r="W60" s="17"/>
      <c r="X60" s="17"/>
    </row>
    <row r="61" spans="1:26" x14ac:dyDescent="0.3">
      <c r="A61" s="9"/>
      <c r="B61" s="59"/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  <row r="62" spans="1:26" x14ac:dyDescent="0.3"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outlinePr summaryBelow="0" summaryRight="0"/>
  </sheetPr>
  <dimension ref="A2:Z7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","321", " - ", "Corner Market")</f>
        <v>Department 321 - Corner Market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2476.4700000000003</v>
      </c>
      <c r="U12" s="4"/>
      <c r="V12" s="12"/>
      <c r="W12" s="4"/>
      <c r="X12" s="4">
        <f t="shared" ref="X12:X14" si="2">+P12-T12</f>
        <v>-2476.4700000000003</v>
      </c>
      <c r="Y12" s="4"/>
      <c r="Z12" s="12">
        <f t="shared" ref="Z12:Z14" si="3">IF(T12=0,0,X12/T12)</f>
        <v>-1</v>
      </c>
    </row>
    <row r="13" spans="1:26" s="24" customFormat="1" hidden="1" outlineLevel="1" x14ac:dyDescent="0.3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4" si="6">0</f>
        <v>0</v>
      </c>
      <c r="Q13" s="2"/>
      <c r="R13" s="19"/>
      <c r="S13" s="2"/>
      <c r="T13" s="2">
        <f>--444.59</f>
        <v>444.59</v>
      </c>
      <c r="U13" s="2"/>
      <c r="V13" s="19"/>
      <c r="W13" s="2"/>
      <c r="X13" s="2">
        <f t="shared" si="2"/>
        <v>-444.59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6"/>
        <v>0</v>
      </c>
      <c r="Q14" s="2"/>
      <c r="R14" s="19"/>
      <c r="S14" s="2"/>
      <c r="T14" s="2">
        <f>--2031.88</f>
        <v>2031.88</v>
      </c>
      <c r="U14" s="2"/>
      <c r="V14" s="19"/>
      <c r="W14" s="2"/>
      <c r="X14" s="2">
        <f t="shared" si="2"/>
        <v>-2031.88</v>
      </c>
      <c r="Y14" s="2"/>
      <c r="Z14" s="19">
        <f t="shared" si="3"/>
        <v>-1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5" t="s">
        <v>256</v>
      </c>
      <c r="C16" s="10"/>
      <c r="D16" s="4">
        <f>SUM(OSRRefD16x_0)</f>
        <v>0</v>
      </c>
      <c r="E16" s="4"/>
      <c r="F16" s="12">
        <f t="shared" ref="F16:F18" si="7">IF(D$12=0,0,D16/D$12)</f>
        <v>0</v>
      </c>
      <c r="G16" s="4"/>
      <c r="H16" s="4">
        <f>SUM(OSRRefH16x_0)</f>
        <v>497</v>
      </c>
      <c r="I16" s="4"/>
      <c r="J16" s="12">
        <f t="shared" ref="J16:J18" si="8">IF(H$12=0,0,H16/H$12)</f>
        <v>0</v>
      </c>
      <c r="K16" s="4"/>
      <c r="L16" s="4">
        <f t="shared" ref="L16:L18" si="9">+D16-H16</f>
        <v>-497</v>
      </c>
      <c r="M16" s="4"/>
      <c r="N16" s="12">
        <f t="shared" ref="N16:N18" si="10">IF(H16=0,0,L16/H16)</f>
        <v>-1</v>
      </c>
      <c r="O16" s="10"/>
      <c r="P16" s="4">
        <f>SUM(OSRRefP16x_0)</f>
        <v>8639</v>
      </c>
      <c r="Q16" s="4"/>
      <c r="R16" s="12">
        <f t="shared" ref="R16:R18" si="11">IF(P$12=0,0,P16/P$12)</f>
        <v>0</v>
      </c>
      <c r="S16" s="4"/>
      <c r="T16" s="4">
        <f>SUM(OSRRefT16x_0)</f>
        <v>258.48</v>
      </c>
      <c r="U16" s="4"/>
      <c r="V16" s="12">
        <f t="shared" ref="V16:V18" si="12">IF(T$12=0,0,T16/T$12)</f>
        <v>0.10437437158536142</v>
      </c>
      <c r="W16" s="4"/>
      <c r="X16" s="4">
        <f t="shared" ref="X16:X18" si="13">+P16-T16</f>
        <v>8380.52</v>
      </c>
      <c r="Y16" s="4"/>
      <c r="Z16" s="12">
        <f t="shared" ref="Z16:Z18" si="14">IF(T16=0,0,X16/T16)</f>
        <v>32.4223150727329</v>
      </c>
    </row>
    <row r="17" spans="1:26" s="24" customFormat="1" hidden="1" outlineLevel="1" x14ac:dyDescent="0.3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7"/>
        <v>0</v>
      </c>
      <c r="G17" s="2"/>
      <c r="H17" s="2">
        <v>497</v>
      </c>
      <c r="I17" s="2"/>
      <c r="J17" s="19">
        <f t="shared" si="8"/>
        <v>0</v>
      </c>
      <c r="K17" s="2"/>
      <c r="L17" s="2">
        <f t="shared" si="9"/>
        <v>-497</v>
      </c>
      <c r="M17" s="2"/>
      <c r="N17" s="19">
        <f t="shared" si="10"/>
        <v>-1</v>
      </c>
      <c r="O17" s="11"/>
      <c r="P17" s="2"/>
      <c r="Q17" s="2"/>
      <c r="R17" s="19">
        <f t="shared" si="11"/>
        <v>0</v>
      </c>
      <c r="S17" s="2"/>
      <c r="T17" s="2">
        <v>258.48</v>
      </c>
      <c r="U17" s="2"/>
      <c r="V17" s="19">
        <f t="shared" si="12"/>
        <v>0.10437437158536142</v>
      </c>
      <c r="W17" s="2"/>
      <c r="X17" s="2">
        <f t="shared" si="13"/>
        <v>-258.48</v>
      </c>
      <c r="Y17" s="2"/>
      <c r="Z17" s="19">
        <f t="shared" si="14"/>
        <v>-1</v>
      </c>
    </row>
    <row r="18" spans="1:26" s="24" customFormat="1" hidden="1" outlineLevel="1" x14ac:dyDescent="0.3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1"/>
      <c r="P18" s="2">
        <v>8639</v>
      </c>
      <c r="Q18" s="2"/>
      <c r="R18" s="19">
        <f t="shared" si="11"/>
        <v>0</v>
      </c>
      <c r="S18" s="2"/>
      <c r="T18" s="2"/>
      <c r="U18" s="2"/>
      <c r="V18" s="19">
        <f t="shared" si="12"/>
        <v>0</v>
      </c>
      <c r="W18" s="2"/>
      <c r="X18" s="2">
        <f t="shared" si="13"/>
        <v>8639</v>
      </c>
      <c r="Y18" s="2"/>
      <c r="Z18" s="19">
        <f t="shared" si="14"/>
        <v>0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6" t="s">
        <v>107</v>
      </c>
      <c r="C20" s="26"/>
      <c r="D20" s="20">
        <f>D12-D16</f>
        <v>0</v>
      </c>
      <c r="E20" s="13"/>
      <c r="F20" s="21">
        <f>IF(D$12=0,0,D20/D$12)</f>
        <v>0</v>
      </c>
      <c r="G20" s="13"/>
      <c r="H20" s="20">
        <f>H12-H16</f>
        <v>-497</v>
      </c>
      <c r="I20" s="13"/>
      <c r="J20" s="21">
        <f>IF(H$12=0,0,H20/H$12)</f>
        <v>0</v>
      </c>
      <c r="K20" s="15"/>
      <c r="L20" s="20">
        <f>+D20-H20</f>
        <v>497</v>
      </c>
      <c r="M20" s="15"/>
      <c r="N20" s="21">
        <f>IF(H20=0,0,L20/H20)</f>
        <v>-1</v>
      </c>
      <c r="O20" s="25"/>
      <c r="P20" s="20">
        <f>P12-P16</f>
        <v>-8639</v>
      </c>
      <c r="Q20" s="13"/>
      <c r="R20" s="21">
        <f>IF(P$12=0,0,P20/P$12)</f>
        <v>0</v>
      </c>
      <c r="S20" s="13"/>
      <c r="T20" s="20">
        <f>T12-T16</f>
        <v>2217.9900000000002</v>
      </c>
      <c r="U20" s="13"/>
      <c r="V20" s="21">
        <f>IF(T$12=0,0,T20/T$12)</f>
        <v>0.89562562841463855</v>
      </c>
      <c r="W20" s="15"/>
      <c r="X20" s="20">
        <f>+P20-T20</f>
        <v>-10856.99</v>
      </c>
      <c r="Y20" s="15"/>
      <c r="Z20" s="21">
        <f>IF(T20=0,0,X20/T20)</f>
        <v>-4.8949679664921835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5" t="s">
        <v>294</v>
      </c>
      <c r="C22" s="10"/>
      <c r="D22" s="22">
        <f>SUM(OSRRefD22x_0)</f>
        <v>5106.0700000000006</v>
      </c>
      <c r="E22" s="22"/>
      <c r="F22" s="34">
        <f t="shared" ref="F22:F31" si="15">IF(D$12=0,0,D22/D$12)</f>
        <v>0</v>
      </c>
      <c r="G22" s="22"/>
      <c r="H22" s="22">
        <f>SUM(OSRRefH22x_0)</f>
        <v>3005.98</v>
      </c>
      <c r="I22" s="22"/>
      <c r="J22" s="34">
        <f t="shared" ref="J22:J31" si="16">IF(H$12=0,0,H22/H$12)</f>
        <v>0</v>
      </c>
      <c r="K22" s="4"/>
      <c r="L22" s="22">
        <f t="shared" ref="L22:L31" si="17">+D22-H22</f>
        <v>2100.0900000000006</v>
      </c>
      <c r="M22" s="4"/>
      <c r="N22" s="34">
        <f t="shared" ref="N22:N31" si="18">IF(H22=0,0,L22/H22)</f>
        <v>0.69863738281691845</v>
      </c>
      <c r="O22" s="10"/>
      <c r="P22" s="22">
        <f>SUM(OSRRefP22x_0)</f>
        <v>12591.73</v>
      </c>
      <c r="Q22" s="22"/>
      <c r="R22" s="34">
        <f t="shared" ref="R22:R31" si="19">IF(P$12=0,0,P22/P$12)</f>
        <v>0</v>
      </c>
      <c r="S22" s="22"/>
      <c r="T22" s="22">
        <f>SUM(OSRRefT22x_0)</f>
        <v>35177.789999999986</v>
      </c>
      <c r="U22" s="22"/>
      <c r="V22" s="34">
        <f t="shared" ref="V22:V31" si="20">IF(T$12=0,0,T22/T$12)</f>
        <v>14.204811687603719</v>
      </c>
      <c r="W22" s="4"/>
      <c r="X22" s="22">
        <f t="shared" ref="X22:X31" si="21">+P22-T22</f>
        <v>-22586.059999999987</v>
      </c>
      <c r="Y22" s="4"/>
      <c r="Z22" s="34">
        <f t="shared" ref="Z22:Z31" si="22">IF(T22=0,0,X22/T22)</f>
        <v>-0.64205454634870451</v>
      </c>
    </row>
    <row r="23" spans="1:26" s="29" customFormat="1" outlineLevel="1" collapsed="1" x14ac:dyDescent="0.3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868.76</v>
      </c>
      <c r="E23" s="1"/>
      <c r="F23" s="5">
        <f t="shared" si="15"/>
        <v>0</v>
      </c>
      <c r="G23" s="1"/>
      <c r="H23" s="1">
        <f>SUM(OSRRefH22_0x_0)</f>
        <v>650.5</v>
      </c>
      <c r="I23" s="1"/>
      <c r="J23" s="5">
        <f t="shared" si="16"/>
        <v>0</v>
      </c>
      <c r="K23" s="1"/>
      <c r="L23" s="1">
        <f t="shared" si="17"/>
        <v>218.26</v>
      </c>
      <c r="M23" s="1"/>
      <c r="N23" s="5">
        <f t="shared" si="18"/>
        <v>0.33552651806302841</v>
      </c>
      <c r="O23" s="14"/>
      <c r="P23" s="1">
        <f>SUM(OSRRefP22_0x_0)</f>
        <v>1186.9000000000001</v>
      </c>
      <c r="Q23" s="1"/>
      <c r="R23" s="5">
        <f t="shared" si="19"/>
        <v>0</v>
      </c>
      <c r="S23" s="1"/>
      <c r="T23" s="1">
        <f>SUM(OSRRefT22_0x_0)</f>
        <v>8751.99</v>
      </c>
      <c r="U23" s="1"/>
      <c r="V23" s="5">
        <f t="shared" si="20"/>
        <v>3.5340585591588023</v>
      </c>
      <c r="W23" s="1"/>
      <c r="X23" s="1">
        <f t="shared" si="21"/>
        <v>-7565.09</v>
      </c>
      <c r="Y23" s="1"/>
      <c r="Z23" s="5">
        <f t="shared" si="22"/>
        <v>-0.86438512841079573</v>
      </c>
    </row>
    <row r="24" spans="1:26" s="24" customFormat="1" hidden="1" outlineLevel="2" x14ac:dyDescent="0.3">
      <c r="A24" s="28"/>
      <c r="B24" s="11" t="str">
        <f>CONCATENATE("          ", "6111", " - ", "F.I.C.A.")</f>
        <v xml:space="preserve">          6111 - F.I.C.A.</v>
      </c>
      <c r="C24" s="11"/>
      <c r="D24" s="6">
        <v>235.51</v>
      </c>
      <c r="E24" s="2"/>
      <c r="F24" s="7">
        <f t="shared" si="15"/>
        <v>0</v>
      </c>
      <c r="G24" s="2"/>
      <c r="H24" s="6"/>
      <c r="I24" s="2"/>
      <c r="J24" s="7">
        <f t="shared" si="16"/>
        <v>0</v>
      </c>
      <c r="K24" s="2"/>
      <c r="L24" s="6">
        <f t="shared" si="17"/>
        <v>235.51</v>
      </c>
      <c r="M24" s="2"/>
      <c r="N24" s="7">
        <f t="shared" si="18"/>
        <v>0</v>
      </c>
      <c r="O24" s="11"/>
      <c r="P24" s="6">
        <v>278.14</v>
      </c>
      <c r="Q24" s="2"/>
      <c r="R24" s="7">
        <f t="shared" si="19"/>
        <v>0</v>
      </c>
      <c r="S24" s="2"/>
      <c r="T24" s="6">
        <v>1667.09</v>
      </c>
      <c r="U24" s="2"/>
      <c r="V24" s="7">
        <f t="shared" si="20"/>
        <v>0.67317189386505782</v>
      </c>
      <c r="W24" s="2"/>
      <c r="X24" s="6">
        <f t="shared" si="21"/>
        <v>-1388.9499999999998</v>
      </c>
      <c r="Y24" s="2"/>
      <c r="Z24" s="7">
        <f t="shared" si="22"/>
        <v>-0.83315837777204582</v>
      </c>
    </row>
    <row r="25" spans="1:26" s="24" customFormat="1" hidden="1" outlineLevel="2" x14ac:dyDescent="0.3">
      <c r="A25" s="28"/>
      <c r="B25" s="11" t="str">
        <f>CONCATENATE("          ", "6112", " - ", "COMPENSATION INSURANCE")</f>
        <v xml:space="preserve">          6112 - COMPENSATION INSURANCE</v>
      </c>
      <c r="C25" s="11"/>
      <c r="D25" s="6">
        <v>45.46</v>
      </c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45.46</v>
      </c>
      <c r="M25" s="2"/>
      <c r="N25" s="7">
        <f t="shared" si="18"/>
        <v>0</v>
      </c>
      <c r="O25" s="11"/>
      <c r="P25" s="6">
        <v>62.27</v>
      </c>
      <c r="Q25" s="2"/>
      <c r="R25" s="7">
        <f t="shared" si="19"/>
        <v>0</v>
      </c>
      <c r="S25" s="2"/>
      <c r="T25" s="6">
        <v>331.61</v>
      </c>
      <c r="U25" s="2"/>
      <c r="V25" s="7">
        <f t="shared" si="20"/>
        <v>0.13390430734069056</v>
      </c>
      <c r="W25" s="2"/>
      <c r="X25" s="6">
        <f t="shared" si="21"/>
        <v>-269.34000000000003</v>
      </c>
      <c r="Y25" s="2"/>
      <c r="Z25" s="7">
        <f t="shared" si="22"/>
        <v>-0.81221917312505665</v>
      </c>
    </row>
    <row r="26" spans="1:26" s="24" customFormat="1" hidden="1" outlineLevel="2" x14ac:dyDescent="0.3">
      <c r="A26" s="28"/>
      <c r="B26" s="11" t="str">
        <f>CONCATENATE("          ", "6113", " - ", "GROUP INSURANCE")</f>
        <v xml:space="preserve">          6113 - GROUP INSURANCE</v>
      </c>
      <c r="C26" s="11"/>
      <c r="D26" s="6">
        <v>33.81</v>
      </c>
      <c r="E26" s="2"/>
      <c r="F26" s="7">
        <f t="shared" si="15"/>
        <v>0</v>
      </c>
      <c r="G26" s="2"/>
      <c r="H26" s="6">
        <v>650.5</v>
      </c>
      <c r="I26" s="2"/>
      <c r="J26" s="7">
        <f t="shared" si="16"/>
        <v>0</v>
      </c>
      <c r="K26" s="2"/>
      <c r="L26" s="6">
        <f t="shared" si="17"/>
        <v>-616.69000000000005</v>
      </c>
      <c r="M26" s="2"/>
      <c r="N26" s="7">
        <f t="shared" si="18"/>
        <v>-0.9480245964642583</v>
      </c>
      <c r="O26" s="11"/>
      <c r="P26" s="6">
        <v>33.81</v>
      </c>
      <c r="Q26" s="2"/>
      <c r="R26" s="7">
        <f t="shared" si="19"/>
        <v>0</v>
      </c>
      <c r="S26" s="2"/>
      <c r="T26" s="6">
        <v>3385.22</v>
      </c>
      <c r="U26" s="2"/>
      <c r="V26" s="7">
        <f t="shared" si="20"/>
        <v>1.366953768872629</v>
      </c>
      <c r="W26" s="2"/>
      <c r="X26" s="6">
        <f t="shared" si="21"/>
        <v>-3351.41</v>
      </c>
      <c r="Y26" s="2"/>
      <c r="Z26" s="7">
        <f t="shared" si="22"/>
        <v>-0.9900124659549453</v>
      </c>
    </row>
    <row r="27" spans="1:26" s="24" customFormat="1" hidden="1" outlineLevel="2" x14ac:dyDescent="0.3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>
        <v>7.99</v>
      </c>
      <c r="E27" s="2"/>
      <c r="F27" s="7">
        <f t="shared" si="15"/>
        <v>0</v>
      </c>
      <c r="G27" s="2"/>
      <c r="H27" s="6"/>
      <c r="I27" s="2"/>
      <c r="J27" s="7">
        <f t="shared" si="16"/>
        <v>0</v>
      </c>
      <c r="K27" s="2"/>
      <c r="L27" s="6">
        <f t="shared" si="17"/>
        <v>7.99</v>
      </c>
      <c r="M27" s="2"/>
      <c r="N27" s="7">
        <f t="shared" si="18"/>
        <v>0</v>
      </c>
      <c r="O27" s="11"/>
      <c r="P27" s="6">
        <v>9.1999999999999993</v>
      </c>
      <c r="Q27" s="2"/>
      <c r="R27" s="7">
        <f t="shared" si="19"/>
        <v>0</v>
      </c>
      <c r="S27" s="2"/>
      <c r="T27" s="6">
        <v>62.01</v>
      </c>
      <c r="U27" s="2"/>
      <c r="V27" s="7">
        <f t="shared" si="20"/>
        <v>2.5039673406098192E-2</v>
      </c>
      <c r="W27" s="2"/>
      <c r="X27" s="6">
        <f t="shared" si="21"/>
        <v>-52.81</v>
      </c>
      <c r="Y27" s="2"/>
      <c r="Z27" s="7">
        <f t="shared" si="22"/>
        <v>-0.85163683276890834</v>
      </c>
    </row>
    <row r="28" spans="1:26" s="24" customFormat="1" hidden="1" outlineLevel="2" x14ac:dyDescent="0.3">
      <c r="A28" s="28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5"/>
        <v>0</v>
      </c>
      <c r="G28" s="2"/>
      <c r="H28" s="6"/>
      <c r="I28" s="2"/>
      <c r="J28" s="7">
        <f t="shared" si="16"/>
        <v>0</v>
      </c>
      <c r="K28" s="2"/>
      <c r="L28" s="6">
        <f t="shared" si="17"/>
        <v>0</v>
      </c>
      <c r="M28" s="2"/>
      <c r="N28" s="7">
        <f t="shared" si="18"/>
        <v>0</v>
      </c>
      <c r="O28" s="11"/>
      <c r="P28" s="6"/>
      <c r="Q28" s="2"/>
      <c r="R28" s="7">
        <f t="shared" si="19"/>
        <v>0</v>
      </c>
      <c r="S28" s="2"/>
      <c r="T28" s="6">
        <v>1254.1099999999999</v>
      </c>
      <c r="U28" s="2"/>
      <c r="V28" s="7">
        <f t="shared" si="20"/>
        <v>0.50641033406421232</v>
      </c>
      <c r="W28" s="2"/>
      <c r="X28" s="6">
        <f t="shared" si="21"/>
        <v>-1254.1099999999999</v>
      </c>
      <c r="Y28" s="2"/>
      <c r="Z28" s="7">
        <f t="shared" si="22"/>
        <v>-1</v>
      </c>
    </row>
    <row r="29" spans="1:26" s="24" customFormat="1" hidden="1" outlineLevel="2" x14ac:dyDescent="0.3">
      <c r="A29" s="28"/>
      <c r="B29" s="11" t="str">
        <f>CONCATENATE("          ", "6118", " - ", "VACATION")</f>
        <v xml:space="preserve">          6118 - VACATION</v>
      </c>
      <c r="C29" s="11"/>
      <c r="D29" s="6">
        <v>163.24</v>
      </c>
      <c r="E29" s="2"/>
      <c r="F29" s="7">
        <f t="shared" si="15"/>
        <v>0</v>
      </c>
      <c r="G29" s="2"/>
      <c r="H29" s="6"/>
      <c r="I29" s="2"/>
      <c r="J29" s="7">
        <f t="shared" si="16"/>
        <v>0</v>
      </c>
      <c r="K29" s="2"/>
      <c r="L29" s="6">
        <f t="shared" si="17"/>
        <v>163.24</v>
      </c>
      <c r="M29" s="2"/>
      <c r="N29" s="7">
        <f t="shared" si="18"/>
        <v>0</v>
      </c>
      <c r="O29" s="11"/>
      <c r="P29" s="6">
        <v>244.86</v>
      </c>
      <c r="Q29" s="2"/>
      <c r="R29" s="7">
        <f t="shared" si="19"/>
        <v>0</v>
      </c>
      <c r="S29" s="2"/>
      <c r="T29" s="6">
        <v>958.88</v>
      </c>
      <c r="U29" s="2"/>
      <c r="V29" s="7">
        <f t="shared" si="20"/>
        <v>0.38719629149555612</v>
      </c>
      <c r="W29" s="2"/>
      <c r="X29" s="6">
        <f t="shared" si="21"/>
        <v>-714.02</v>
      </c>
      <c r="Y29" s="2"/>
      <c r="Z29" s="7">
        <f t="shared" si="22"/>
        <v>-0.74463957950942761</v>
      </c>
    </row>
    <row r="30" spans="1:26" s="24" customFormat="1" hidden="1" outlineLevel="2" x14ac:dyDescent="0.3">
      <c r="A30" s="28"/>
      <c r="B30" s="11" t="str">
        <f>CONCATENATE("          ", "6119", " - ", "SICK LEAVE")</f>
        <v xml:space="preserve">          6119 - SICK LEAVE</v>
      </c>
      <c r="C30" s="11"/>
      <c r="D30" s="6">
        <v>195.58</v>
      </c>
      <c r="E30" s="2"/>
      <c r="F30" s="7">
        <f t="shared" si="15"/>
        <v>0</v>
      </c>
      <c r="G30" s="2"/>
      <c r="H30" s="6"/>
      <c r="I30" s="2"/>
      <c r="J30" s="7">
        <f t="shared" si="16"/>
        <v>0</v>
      </c>
      <c r="K30" s="2"/>
      <c r="L30" s="6">
        <f t="shared" si="17"/>
        <v>195.58</v>
      </c>
      <c r="M30" s="2"/>
      <c r="N30" s="7">
        <f t="shared" si="18"/>
        <v>0</v>
      </c>
      <c r="O30" s="11"/>
      <c r="P30" s="6">
        <v>293.37</v>
      </c>
      <c r="Q30" s="2"/>
      <c r="R30" s="7">
        <f t="shared" si="19"/>
        <v>0</v>
      </c>
      <c r="S30" s="2"/>
      <c r="T30" s="6">
        <v>767.52</v>
      </c>
      <c r="U30" s="2"/>
      <c r="V30" s="7">
        <f t="shared" si="20"/>
        <v>0.30992501423397006</v>
      </c>
      <c r="W30" s="2"/>
      <c r="X30" s="6">
        <f t="shared" si="21"/>
        <v>-474.15</v>
      </c>
      <c r="Y30" s="2"/>
      <c r="Z30" s="7">
        <f t="shared" si="22"/>
        <v>-0.61776891807379608</v>
      </c>
    </row>
    <row r="31" spans="1:26" s="24" customFormat="1" hidden="1" outlineLevel="2" x14ac:dyDescent="0.3">
      <c r="A31" s="28"/>
      <c r="B31" s="11" t="str">
        <f>CONCATENATE("          ", "6156", " - ", "EMPLOYEE MEALS")</f>
        <v xml:space="preserve">          6156 - EMPLOYEE MEALS</v>
      </c>
      <c r="C31" s="11"/>
      <c r="D31" s="6">
        <v>187.17</v>
      </c>
      <c r="E31" s="2"/>
      <c r="F31" s="7">
        <f t="shared" si="15"/>
        <v>0</v>
      </c>
      <c r="G31" s="2"/>
      <c r="H31" s="6"/>
      <c r="I31" s="2"/>
      <c r="J31" s="7">
        <f t="shared" si="16"/>
        <v>0</v>
      </c>
      <c r="K31" s="2"/>
      <c r="L31" s="6">
        <f t="shared" si="17"/>
        <v>187.17</v>
      </c>
      <c r="M31" s="2"/>
      <c r="N31" s="7">
        <f t="shared" si="18"/>
        <v>0</v>
      </c>
      <c r="O31" s="11"/>
      <c r="P31" s="6">
        <v>265.25</v>
      </c>
      <c r="Q31" s="2"/>
      <c r="R31" s="7">
        <f t="shared" si="19"/>
        <v>0</v>
      </c>
      <c r="S31" s="2"/>
      <c r="T31" s="6">
        <v>325.55</v>
      </c>
      <c r="U31" s="2"/>
      <c r="V31" s="7">
        <f t="shared" si="20"/>
        <v>0.13145727588058809</v>
      </c>
      <c r="W31" s="2"/>
      <c r="X31" s="6">
        <f t="shared" si="21"/>
        <v>-60.300000000000011</v>
      </c>
      <c r="Y31" s="2"/>
      <c r="Z31" s="7">
        <f t="shared" si="22"/>
        <v>-0.18522500383965598</v>
      </c>
    </row>
    <row r="32" spans="1:26" s="29" customFormat="1" outlineLevel="1" collapsed="1" x14ac:dyDescent="0.3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3071.88</v>
      </c>
      <c r="E32" s="1"/>
      <c r="F32" s="5">
        <f t="shared" ref="F32:F36" si="23">IF(D$12=0,0,D32/D$12)</f>
        <v>0</v>
      </c>
      <c r="G32" s="1"/>
      <c r="H32" s="1">
        <f>SUM(OSRRefH22_1x_0)</f>
        <v>0</v>
      </c>
      <c r="I32" s="1"/>
      <c r="J32" s="5">
        <f t="shared" ref="J32:J36" si="24">IF(H$12=0,0,H32/H$12)</f>
        <v>0</v>
      </c>
      <c r="K32" s="1"/>
      <c r="L32" s="1">
        <f t="shared" ref="L32:L36" si="25">+D32-H32</f>
        <v>3071.88</v>
      </c>
      <c r="M32" s="1"/>
      <c r="N32" s="5">
        <f t="shared" ref="N32:N36" si="26">IF(H32=0,0,L32/H32)</f>
        <v>0</v>
      </c>
      <c r="O32" s="14"/>
      <c r="P32" s="1">
        <f>SUM(OSRRefP22_1x_0)</f>
        <v>3629.11</v>
      </c>
      <c r="Q32" s="1"/>
      <c r="R32" s="5">
        <f t="shared" ref="R32:R36" si="27">IF(P$12=0,0,P32/P$12)</f>
        <v>0</v>
      </c>
      <c r="S32" s="1"/>
      <c r="T32" s="1">
        <f>SUM(OSRRefT22_1x_0)</f>
        <v>15859.96</v>
      </c>
      <c r="U32" s="1"/>
      <c r="V32" s="5">
        <f t="shared" ref="V32:V36" si="28">IF(T$12=0,0,T32/T$12)</f>
        <v>6.404260903624917</v>
      </c>
      <c r="W32" s="1"/>
      <c r="X32" s="1">
        <f t="shared" ref="X32:X36" si="29">+P32-T32</f>
        <v>-12230.849999999999</v>
      </c>
      <c r="Y32" s="1"/>
      <c r="Z32" s="5">
        <f t="shared" ref="Z32:Z36" si="30">IF(T32=0,0,X32/T32)</f>
        <v>-0.77117785921275961</v>
      </c>
    </row>
    <row r="33" spans="1:26" s="24" customFormat="1" hidden="1" outlineLevel="2" x14ac:dyDescent="0.3">
      <c r="A33" s="28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3"/>
        <v>0</v>
      </c>
      <c r="G33" s="2"/>
      <c r="H33" s="6"/>
      <c r="I33" s="2"/>
      <c r="J33" s="7">
        <f t="shared" si="24"/>
        <v>0</v>
      </c>
      <c r="K33" s="2"/>
      <c r="L33" s="6">
        <f t="shared" si="25"/>
        <v>0</v>
      </c>
      <c r="M33" s="2"/>
      <c r="N33" s="7">
        <f t="shared" si="26"/>
        <v>0</v>
      </c>
      <c r="O33" s="11"/>
      <c r="P33" s="6"/>
      <c r="Q33" s="2"/>
      <c r="R33" s="7">
        <f t="shared" si="27"/>
        <v>0</v>
      </c>
      <c r="S33" s="2"/>
      <c r="T33" s="6">
        <v>13728</v>
      </c>
      <c r="U33" s="2"/>
      <c r="V33" s="7">
        <f t="shared" si="28"/>
        <v>5.5433742383311726</v>
      </c>
      <c r="W33" s="2"/>
      <c r="X33" s="6">
        <f t="shared" si="29"/>
        <v>-13728</v>
      </c>
      <c r="Y33" s="2"/>
      <c r="Z33" s="7">
        <f t="shared" si="30"/>
        <v>-1</v>
      </c>
    </row>
    <row r="34" spans="1:26" s="24" customFormat="1" hidden="1" outlineLevel="2" x14ac:dyDescent="0.3">
      <c r="A34" s="28"/>
      <c r="B34" s="11" t="str">
        <f>CONCATENATE("          ", "6004", " - ", "STAFF HOURLY")</f>
        <v xml:space="preserve">          6004 - STAFF HOURLY</v>
      </c>
      <c r="C34" s="11"/>
      <c r="D34" s="6">
        <v>3071.88</v>
      </c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3071.88</v>
      </c>
      <c r="M34" s="2"/>
      <c r="N34" s="7">
        <f t="shared" si="26"/>
        <v>0</v>
      </c>
      <c r="O34" s="11"/>
      <c r="P34" s="6">
        <v>3538.81</v>
      </c>
      <c r="Q34" s="2"/>
      <c r="R34" s="7">
        <f t="shared" si="27"/>
        <v>0</v>
      </c>
      <c r="S34" s="2"/>
      <c r="T34" s="6"/>
      <c r="U34" s="2"/>
      <c r="V34" s="7">
        <f t="shared" si="28"/>
        <v>0</v>
      </c>
      <c r="W34" s="2"/>
      <c r="X34" s="6">
        <f t="shared" si="29"/>
        <v>3538.81</v>
      </c>
      <c r="Y34" s="2"/>
      <c r="Z34" s="7">
        <f t="shared" si="30"/>
        <v>0</v>
      </c>
    </row>
    <row r="35" spans="1:26" s="24" customFormat="1" hidden="1" outlineLevel="2" x14ac:dyDescent="0.3">
      <c r="A35" s="28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1"/>
      <c r="P35" s="6">
        <v>90.3</v>
      </c>
      <c r="Q35" s="2"/>
      <c r="R35" s="7">
        <f t="shared" si="27"/>
        <v>0</v>
      </c>
      <c r="S35" s="2"/>
      <c r="T35" s="6">
        <v>2131.96</v>
      </c>
      <c r="U35" s="2"/>
      <c r="V35" s="7">
        <f t="shared" si="28"/>
        <v>0.86088666529374469</v>
      </c>
      <c r="W35" s="2"/>
      <c r="X35" s="6">
        <f t="shared" si="29"/>
        <v>-2041.66</v>
      </c>
      <c r="Y35" s="2"/>
      <c r="Z35" s="7">
        <f t="shared" si="30"/>
        <v>-0.95764460871686152</v>
      </c>
    </row>
    <row r="36" spans="1:26" s="24" customFormat="1" hidden="1" outlineLevel="2" x14ac:dyDescent="0.3">
      <c r="A36" s="28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1"/>
      <c r="P36" s="6"/>
      <c r="Q36" s="2"/>
      <c r="R36" s="7">
        <f t="shared" si="27"/>
        <v>0</v>
      </c>
      <c r="S36" s="2"/>
      <c r="T36" s="6">
        <v>0</v>
      </c>
      <c r="U36" s="2"/>
      <c r="V36" s="7">
        <f t="shared" si="28"/>
        <v>0</v>
      </c>
      <c r="W36" s="2"/>
      <c r="X36" s="6">
        <f t="shared" si="29"/>
        <v>0</v>
      </c>
      <c r="Y36" s="2"/>
      <c r="Z36" s="7">
        <f t="shared" si="30"/>
        <v>0</v>
      </c>
    </row>
    <row r="37" spans="1:26" s="29" customFormat="1" outlineLevel="1" collapsed="1" x14ac:dyDescent="0.3">
      <c r="A37" s="27"/>
      <c r="B37" s="14" t="str">
        <f>CONCATENATE("     ","Bad Debts/Over/Short                              ")</f>
        <v xml:space="preserve">     Bad Debts/Over/Short                              </v>
      </c>
      <c r="C37" s="14"/>
      <c r="D37" s="1">
        <f>SUM(OSRRefD22_2x_0)</f>
        <v>0</v>
      </c>
      <c r="E37" s="1"/>
      <c r="F37" s="5">
        <f t="shared" ref="F37:F47" si="31">IF(D$12=0,0,D37/D$12)</f>
        <v>0</v>
      </c>
      <c r="G37" s="1"/>
      <c r="H37" s="1">
        <f>SUM(OSRRefH22_2x_0)</f>
        <v>0</v>
      </c>
      <c r="I37" s="1"/>
      <c r="J37" s="5">
        <f t="shared" ref="J37:J47" si="32">IF(H$12=0,0,H37/H$12)</f>
        <v>0</v>
      </c>
      <c r="K37" s="1"/>
      <c r="L37" s="1">
        <f t="shared" ref="L37:L47" si="33">+D37-H37</f>
        <v>0</v>
      </c>
      <c r="M37" s="1"/>
      <c r="N37" s="5">
        <f t="shared" ref="N37:N47" si="34">IF(H37=0,0,L37/H37)</f>
        <v>0</v>
      </c>
      <c r="O37" s="14"/>
      <c r="P37" s="1">
        <f>SUM(OSRRefP22_2x_0)</f>
        <v>0</v>
      </c>
      <c r="Q37" s="1"/>
      <c r="R37" s="5">
        <f t="shared" ref="R37:R47" si="35">IF(P$12=0,0,P37/P$12)</f>
        <v>0</v>
      </c>
      <c r="S37" s="1"/>
      <c r="T37" s="1">
        <f>SUM(OSRRefT22_2x_0)</f>
        <v>3.31</v>
      </c>
      <c r="U37" s="1"/>
      <c r="V37" s="5">
        <f t="shared" ref="V37:V47" si="36">IF(T$12=0,0,T37/T$12)</f>
        <v>1.3365798899239642E-3</v>
      </c>
      <c r="W37" s="1"/>
      <c r="X37" s="1">
        <f t="shared" ref="X37:X47" si="37">+P37-T37</f>
        <v>-3.31</v>
      </c>
      <c r="Y37" s="1"/>
      <c r="Z37" s="5">
        <f t="shared" ref="Z37:Z47" si="38">IF(T37=0,0,X37/T37)</f>
        <v>-1</v>
      </c>
    </row>
    <row r="38" spans="1:26" s="24" customFormat="1" hidden="1" outlineLevel="2" x14ac:dyDescent="0.3">
      <c r="A38" s="28"/>
      <c r="B38" s="11" t="str">
        <f>CONCATENATE("          ", "6272", " - ", "CASH (OVER/SHORT)")</f>
        <v xml:space="preserve">          6272 - CASH (OVER/SHORT)</v>
      </c>
      <c r="C38" s="11"/>
      <c r="D38" s="6"/>
      <c r="E38" s="2"/>
      <c r="F38" s="7">
        <f t="shared" si="31"/>
        <v>0</v>
      </c>
      <c r="G38" s="2"/>
      <c r="H38" s="6"/>
      <c r="I38" s="2"/>
      <c r="J38" s="7">
        <f t="shared" si="32"/>
        <v>0</v>
      </c>
      <c r="K38" s="2"/>
      <c r="L38" s="6">
        <f t="shared" si="33"/>
        <v>0</v>
      </c>
      <c r="M38" s="2"/>
      <c r="N38" s="7">
        <f t="shared" si="34"/>
        <v>0</v>
      </c>
      <c r="O38" s="11"/>
      <c r="P38" s="6"/>
      <c r="Q38" s="2"/>
      <c r="R38" s="7">
        <f t="shared" si="35"/>
        <v>0</v>
      </c>
      <c r="S38" s="2"/>
      <c r="T38" s="6">
        <v>3.31</v>
      </c>
      <c r="U38" s="2"/>
      <c r="V38" s="7">
        <f t="shared" si="36"/>
        <v>1.3365798899239642E-3</v>
      </c>
      <c r="W38" s="2"/>
      <c r="X38" s="6">
        <f t="shared" si="37"/>
        <v>-3.31</v>
      </c>
      <c r="Y38" s="2"/>
      <c r="Z38" s="7">
        <f t="shared" si="38"/>
        <v>-1</v>
      </c>
    </row>
    <row r="39" spans="1:26" s="29" customFormat="1" outlineLevel="1" collapsed="1" x14ac:dyDescent="0.3">
      <c r="A39" s="27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SUM(OSRRefD22_3x_0)</f>
        <v>25</v>
      </c>
      <c r="E39" s="1"/>
      <c r="F39" s="5">
        <f t="shared" si="31"/>
        <v>0</v>
      </c>
      <c r="G39" s="1"/>
      <c r="H39" s="1">
        <f>SUM(OSRRefH22_3x_0)</f>
        <v>274</v>
      </c>
      <c r="I39" s="1"/>
      <c r="J39" s="5">
        <f t="shared" si="32"/>
        <v>0</v>
      </c>
      <c r="K39" s="1"/>
      <c r="L39" s="1">
        <f t="shared" si="33"/>
        <v>-249</v>
      </c>
      <c r="M39" s="1"/>
      <c r="N39" s="5">
        <f t="shared" si="34"/>
        <v>-0.90875912408759119</v>
      </c>
      <c r="O39" s="14"/>
      <c r="P39" s="1">
        <f>SUM(OSRRefP22_3x_0)</f>
        <v>425.36</v>
      </c>
      <c r="Q39" s="1"/>
      <c r="R39" s="5">
        <f t="shared" si="35"/>
        <v>0</v>
      </c>
      <c r="S39" s="1"/>
      <c r="T39" s="1">
        <f>SUM(OSRRefT22_3x_0)</f>
        <v>673.33</v>
      </c>
      <c r="U39" s="1"/>
      <c r="V39" s="5">
        <f t="shared" si="36"/>
        <v>0.27189103845392837</v>
      </c>
      <c r="W39" s="1"/>
      <c r="X39" s="1">
        <f t="shared" si="37"/>
        <v>-247.97000000000003</v>
      </c>
      <c r="Y39" s="1"/>
      <c r="Z39" s="5">
        <f t="shared" si="38"/>
        <v>-0.3682741003668335</v>
      </c>
    </row>
    <row r="40" spans="1:26" s="24" customFormat="1" hidden="1" outlineLevel="2" x14ac:dyDescent="0.3">
      <c r="A40" s="28"/>
      <c r="B40" s="11" t="str">
        <f>CONCATENATE("          ", "6381", " - ", "BANK/CREDIT CARD FEES")</f>
        <v xml:space="preserve">          6381 - BANK/CREDIT CARD FEES</v>
      </c>
      <c r="C40" s="11"/>
      <c r="D40" s="6">
        <v>25</v>
      </c>
      <c r="E40" s="2"/>
      <c r="F40" s="7">
        <f t="shared" si="31"/>
        <v>0</v>
      </c>
      <c r="G40" s="2"/>
      <c r="H40" s="6">
        <v>274</v>
      </c>
      <c r="I40" s="2"/>
      <c r="J40" s="7">
        <f t="shared" si="32"/>
        <v>0</v>
      </c>
      <c r="K40" s="2"/>
      <c r="L40" s="6">
        <f t="shared" si="33"/>
        <v>-249</v>
      </c>
      <c r="M40" s="2"/>
      <c r="N40" s="7">
        <f t="shared" si="34"/>
        <v>-0.90875912408759119</v>
      </c>
      <c r="O40" s="11"/>
      <c r="P40" s="6">
        <v>425.36</v>
      </c>
      <c r="Q40" s="2"/>
      <c r="R40" s="7">
        <f t="shared" si="35"/>
        <v>0</v>
      </c>
      <c r="S40" s="2"/>
      <c r="T40" s="6">
        <v>673.33</v>
      </c>
      <c r="U40" s="2"/>
      <c r="V40" s="7">
        <f t="shared" si="36"/>
        <v>0.27189103845392837</v>
      </c>
      <c r="W40" s="2"/>
      <c r="X40" s="6">
        <f t="shared" si="37"/>
        <v>-247.97000000000003</v>
      </c>
      <c r="Y40" s="2"/>
      <c r="Z40" s="7">
        <f t="shared" si="38"/>
        <v>-0.3682741003668335</v>
      </c>
    </row>
    <row r="41" spans="1:26" s="29" customFormat="1" outlineLevel="1" collapsed="1" x14ac:dyDescent="0.3">
      <c r="A41" s="27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SUM(OSRRefD22_4x_0)</f>
        <v>264.60000000000002</v>
      </c>
      <c r="E41" s="1"/>
      <c r="F41" s="5">
        <f t="shared" si="31"/>
        <v>0</v>
      </c>
      <c r="G41" s="1"/>
      <c r="H41" s="1">
        <f>SUM(OSRRefH22_4x_0)</f>
        <v>1075.3699999999999</v>
      </c>
      <c r="I41" s="1"/>
      <c r="J41" s="5">
        <f t="shared" si="32"/>
        <v>0</v>
      </c>
      <c r="K41" s="1"/>
      <c r="L41" s="1">
        <f t="shared" si="33"/>
        <v>-810.76999999999987</v>
      </c>
      <c r="M41" s="1"/>
      <c r="N41" s="5">
        <f t="shared" si="34"/>
        <v>-0.753945153761031</v>
      </c>
      <c r="O41" s="14"/>
      <c r="P41" s="1">
        <f>SUM(OSRRefP22_4x_0)</f>
        <v>4019.96</v>
      </c>
      <c r="Q41" s="1"/>
      <c r="R41" s="5">
        <f t="shared" si="35"/>
        <v>0</v>
      </c>
      <c r="S41" s="1"/>
      <c r="T41" s="1">
        <f>SUM(OSRRefT22_4x_0)</f>
        <v>6452.22</v>
      </c>
      <c r="U41" s="1"/>
      <c r="V41" s="5">
        <f t="shared" si="36"/>
        <v>2.6054101200499096</v>
      </c>
      <c r="W41" s="1"/>
      <c r="X41" s="1">
        <f t="shared" si="37"/>
        <v>-2432.2600000000002</v>
      </c>
      <c r="Y41" s="1"/>
      <c r="Z41" s="5">
        <f t="shared" si="38"/>
        <v>-0.37696482760972194</v>
      </c>
    </row>
    <row r="42" spans="1:26" s="24" customFormat="1" hidden="1" outlineLevel="2" x14ac:dyDescent="0.3">
      <c r="A42" s="28"/>
      <c r="B42" s="11" t="str">
        <f>CONCATENATE("          ", "6322", " - ", "EQUIPMENT DEPRECIATION EXPENSE")</f>
        <v xml:space="preserve">          6322 - EQUIPMENT DEPRECIATION EXPENSE</v>
      </c>
      <c r="C42" s="11"/>
      <c r="D42" s="6">
        <v>264.60000000000002</v>
      </c>
      <c r="E42" s="2"/>
      <c r="F42" s="7">
        <f t="shared" si="31"/>
        <v>0</v>
      </c>
      <c r="G42" s="2"/>
      <c r="H42" s="6">
        <v>1075.3699999999999</v>
      </c>
      <c r="I42" s="2"/>
      <c r="J42" s="7">
        <f t="shared" si="32"/>
        <v>0</v>
      </c>
      <c r="K42" s="2"/>
      <c r="L42" s="6">
        <f t="shared" si="33"/>
        <v>-810.76999999999987</v>
      </c>
      <c r="M42" s="2"/>
      <c r="N42" s="7">
        <f t="shared" si="34"/>
        <v>-0.753945153761031</v>
      </c>
      <c r="O42" s="11"/>
      <c r="P42" s="6">
        <v>4019.96</v>
      </c>
      <c r="Q42" s="2"/>
      <c r="R42" s="7">
        <f t="shared" si="35"/>
        <v>0</v>
      </c>
      <c r="S42" s="2"/>
      <c r="T42" s="6">
        <v>6452.22</v>
      </c>
      <c r="U42" s="2"/>
      <c r="V42" s="7">
        <f t="shared" si="36"/>
        <v>2.6054101200499096</v>
      </c>
      <c r="W42" s="2"/>
      <c r="X42" s="6">
        <f t="shared" si="37"/>
        <v>-2432.2600000000002</v>
      </c>
      <c r="Y42" s="2"/>
      <c r="Z42" s="7">
        <f t="shared" si="38"/>
        <v>-0.37696482760972194</v>
      </c>
    </row>
    <row r="43" spans="1:26" s="29" customFormat="1" outlineLevel="1" collapsed="1" x14ac:dyDescent="0.3">
      <c r="A43" s="27"/>
      <c r="B43" s="14" t="str">
        <f>CONCATENATE("     ","General                                           ")</f>
        <v xml:space="preserve">     General                                           </v>
      </c>
      <c r="C43" s="14"/>
      <c r="D43" s="1">
        <f>SUM(OSRRefD22_5x_0)</f>
        <v>272.19</v>
      </c>
      <c r="E43" s="1"/>
      <c r="F43" s="5">
        <f t="shared" si="31"/>
        <v>0</v>
      </c>
      <c r="G43" s="1"/>
      <c r="H43" s="1">
        <f>SUM(OSRRefH22_5x_0)</f>
        <v>806.38</v>
      </c>
      <c r="I43" s="1"/>
      <c r="J43" s="5">
        <f t="shared" si="32"/>
        <v>0</v>
      </c>
      <c r="K43" s="1"/>
      <c r="L43" s="1">
        <f t="shared" si="33"/>
        <v>-534.19000000000005</v>
      </c>
      <c r="M43" s="1"/>
      <c r="N43" s="5">
        <f t="shared" si="34"/>
        <v>-0.66245442595302473</v>
      </c>
      <c r="O43" s="14"/>
      <c r="P43" s="1">
        <f>SUM(OSRRefP22_5x_0)</f>
        <v>1153.93</v>
      </c>
      <c r="Q43" s="1"/>
      <c r="R43" s="5">
        <f t="shared" si="35"/>
        <v>0</v>
      </c>
      <c r="S43" s="1"/>
      <c r="T43" s="1">
        <f>SUM(OSRRefT22_5x_0)</f>
        <v>1560.93</v>
      </c>
      <c r="U43" s="1"/>
      <c r="V43" s="5">
        <f t="shared" si="36"/>
        <v>0.63030442525045727</v>
      </c>
      <c r="W43" s="1"/>
      <c r="X43" s="1">
        <f t="shared" si="37"/>
        <v>-407</v>
      </c>
      <c r="Y43" s="1"/>
      <c r="Z43" s="5">
        <f t="shared" si="38"/>
        <v>-0.26074199355512417</v>
      </c>
    </row>
    <row r="44" spans="1:26" s="24" customFormat="1" hidden="1" outlineLevel="2" x14ac:dyDescent="0.3">
      <c r="A44" s="28"/>
      <c r="B44" s="11" t="str">
        <f>CONCATENATE("          ", "6279", " - ", "GENERAL EXPENSE")</f>
        <v xml:space="preserve">          6279 - GENERAL EXPENSE</v>
      </c>
      <c r="C44" s="11"/>
      <c r="D44" s="6">
        <v>272.19</v>
      </c>
      <c r="E44" s="2"/>
      <c r="F44" s="7">
        <f t="shared" si="31"/>
        <v>0</v>
      </c>
      <c r="G44" s="2"/>
      <c r="H44" s="6">
        <v>806.38</v>
      </c>
      <c r="I44" s="2"/>
      <c r="J44" s="7">
        <f t="shared" si="32"/>
        <v>0</v>
      </c>
      <c r="K44" s="2"/>
      <c r="L44" s="6">
        <f t="shared" si="33"/>
        <v>-534.19000000000005</v>
      </c>
      <c r="M44" s="2"/>
      <c r="N44" s="7">
        <f t="shared" si="34"/>
        <v>-0.66245442595302473</v>
      </c>
      <c r="O44" s="11"/>
      <c r="P44" s="6">
        <v>1153.93</v>
      </c>
      <c r="Q44" s="2"/>
      <c r="R44" s="7">
        <f t="shared" si="35"/>
        <v>0</v>
      </c>
      <c r="S44" s="2"/>
      <c r="T44" s="6">
        <v>1560.93</v>
      </c>
      <c r="U44" s="2"/>
      <c r="V44" s="7">
        <f t="shared" si="36"/>
        <v>0.63030442525045727</v>
      </c>
      <c r="W44" s="2"/>
      <c r="X44" s="6">
        <f t="shared" si="37"/>
        <v>-407</v>
      </c>
      <c r="Y44" s="2"/>
      <c r="Z44" s="7">
        <f t="shared" si="38"/>
        <v>-0.26074199355512417</v>
      </c>
    </row>
    <row r="45" spans="1:26" s="29" customFormat="1" outlineLevel="1" collapsed="1" x14ac:dyDescent="0.3">
      <c r="A45" s="27"/>
      <c r="B45" s="14" t="str">
        <f>CONCATENATE("     ","Repair and Maintenance                            ")</f>
        <v xml:space="preserve">     Repair and Maintenance                            </v>
      </c>
      <c r="C45" s="14"/>
      <c r="D45" s="1">
        <f>SUM(OSRRefD22_6x_0)</f>
        <v>49.93</v>
      </c>
      <c r="E45" s="1"/>
      <c r="F45" s="5">
        <f t="shared" si="31"/>
        <v>0</v>
      </c>
      <c r="G45" s="1"/>
      <c r="H45" s="1">
        <f>SUM(OSRRefH22_6x_0)</f>
        <v>48.23</v>
      </c>
      <c r="I45" s="1"/>
      <c r="J45" s="5">
        <f t="shared" si="32"/>
        <v>0</v>
      </c>
      <c r="K45" s="1"/>
      <c r="L45" s="1">
        <f t="shared" si="33"/>
        <v>1.7000000000000028</v>
      </c>
      <c r="M45" s="1"/>
      <c r="N45" s="5">
        <f t="shared" si="34"/>
        <v>3.5247771096827765E-2</v>
      </c>
      <c r="O45" s="14"/>
      <c r="P45" s="1">
        <f>SUM(OSRRefP22_6x_0)</f>
        <v>97.83</v>
      </c>
      <c r="Q45" s="1"/>
      <c r="R45" s="5">
        <f t="shared" si="35"/>
        <v>0</v>
      </c>
      <c r="S45" s="1"/>
      <c r="T45" s="1">
        <f>SUM(OSRRefT22_6x_0)</f>
        <v>492.62</v>
      </c>
      <c r="U45" s="1"/>
      <c r="V45" s="5">
        <f t="shared" si="36"/>
        <v>0.19892023727321548</v>
      </c>
      <c r="W45" s="1"/>
      <c r="X45" s="1">
        <f t="shared" si="37"/>
        <v>-394.79</v>
      </c>
      <c r="Y45" s="1"/>
      <c r="Z45" s="5">
        <f t="shared" si="38"/>
        <v>-0.80140879379643537</v>
      </c>
    </row>
    <row r="46" spans="1:26" s="24" customFormat="1" hidden="1" outlineLevel="2" x14ac:dyDescent="0.3">
      <c r="A46" s="28"/>
      <c r="B46" s="11" t="str">
        <f>CONCATENATE("          ", "6373", " - ", "MAINTENANCE CONTRACTS")</f>
        <v xml:space="preserve">          6373 - MAINTENANCE CONTRACTS</v>
      </c>
      <c r="C46" s="11"/>
      <c r="D46" s="6">
        <v>49.93</v>
      </c>
      <c r="E46" s="2"/>
      <c r="F46" s="7">
        <f t="shared" si="31"/>
        <v>0</v>
      </c>
      <c r="G46" s="2"/>
      <c r="H46" s="6">
        <v>48.23</v>
      </c>
      <c r="I46" s="2"/>
      <c r="J46" s="7">
        <f t="shared" si="32"/>
        <v>0</v>
      </c>
      <c r="K46" s="2"/>
      <c r="L46" s="6">
        <f t="shared" si="33"/>
        <v>1.7000000000000028</v>
      </c>
      <c r="M46" s="2"/>
      <c r="N46" s="7">
        <f t="shared" si="34"/>
        <v>3.5247771096827765E-2</v>
      </c>
      <c r="O46" s="11"/>
      <c r="P46" s="6">
        <v>97.83</v>
      </c>
      <c r="Q46" s="2"/>
      <c r="R46" s="7">
        <f t="shared" si="35"/>
        <v>0</v>
      </c>
      <c r="S46" s="2"/>
      <c r="T46" s="6">
        <v>175.06</v>
      </c>
      <c r="U46" s="2"/>
      <c r="V46" s="7">
        <f t="shared" si="36"/>
        <v>7.0689327954709724E-2</v>
      </c>
      <c r="W46" s="2"/>
      <c r="X46" s="6">
        <f t="shared" si="37"/>
        <v>-77.23</v>
      </c>
      <c r="Y46" s="2"/>
      <c r="Z46" s="7">
        <f t="shared" si="38"/>
        <v>-0.44116302981834798</v>
      </c>
    </row>
    <row r="47" spans="1:26" s="24" customFormat="1" hidden="1" outlineLevel="2" x14ac:dyDescent="0.3">
      <c r="A47" s="28"/>
      <c r="B47" s="11" t="str">
        <f>CONCATENATE("          ", "6375", " - ", "OUTSIDE REPAIRS &amp; MAINTENANCE")</f>
        <v xml:space="preserve">          6375 - OUTSIDE REPAIRS &amp; MAINTENANCE</v>
      </c>
      <c r="C47" s="11"/>
      <c r="D47" s="6"/>
      <c r="E47" s="2"/>
      <c r="F47" s="7">
        <f t="shared" si="31"/>
        <v>0</v>
      </c>
      <c r="G47" s="2"/>
      <c r="H47" s="6"/>
      <c r="I47" s="2"/>
      <c r="J47" s="7">
        <f t="shared" si="32"/>
        <v>0</v>
      </c>
      <c r="K47" s="2"/>
      <c r="L47" s="6">
        <f t="shared" si="33"/>
        <v>0</v>
      </c>
      <c r="M47" s="2"/>
      <c r="N47" s="7">
        <f t="shared" si="34"/>
        <v>0</v>
      </c>
      <c r="O47" s="11"/>
      <c r="P47" s="6"/>
      <c r="Q47" s="2"/>
      <c r="R47" s="7">
        <f t="shared" si="35"/>
        <v>0</v>
      </c>
      <c r="S47" s="2"/>
      <c r="T47" s="6">
        <v>317.56</v>
      </c>
      <c r="U47" s="2"/>
      <c r="V47" s="7">
        <f t="shared" si="36"/>
        <v>0.12823090931850575</v>
      </c>
      <c r="W47" s="2"/>
      <c r="X47" s="6">
        <f t="shared" si="37"/>
        <v>-317.56</v>
      </c>
      <c r="Y47" s="2"/>
      <c r="Z47" s="7">
        <f t="shared" si="38"/>
        <v>-1</v>
      </c>
    </row>
    <row r="48" spans="1:26" s="29" customFormat="1" outlineLevel="1" collapsed="1" x14ac:dyDescent="0.3">
      <c r="A48" s="27"/>
      <c r="B48" s="14" t="str">
        <f>CONCATENATE("     ","Royalty &amp; Commissions                             ")</f>
        <v xml:space="preserve">     Royalty &amp; Commissions                             </v>
      </c>
      <c r="C48" s="14"/>
      <c r="D48" s="1">
        <f>SUM(OSRRefD22_7x_0)</f>
        <v>0</v>
      </c>
      <c r="E48" s="1"/>
      <c r="F48" s="5">
        <f t="shared" ref="F48:F52" si="39">IF(D$12=0,0,D48/D$12)</f>
        <v>0</v>
      </c>
      <c r="G48" s="1"/>
      <c r="H48" s="1">
        <f>SUM(OSRRefH22_7x_0)</f>
        <v>0</v>
      </c>
      <c r="I48" s="1"/>
      <c r="J48" s="5">
        <f t="shared" ref="J48:J52" si="40">IF(H$12=0,0,H48/H$12)</f>
        <v>0</v>
      </c>
      <c r="K48" s="1"/>
      <c r="L48" s="1">
        <f t="shared" ref="L48:L52" si="41">+D48-H48</f>
        <v>0</v>
      </c>
      <c r="M48" s="1"/>
      <c r="N48" s="5">
        <f t="shared" ref="N48:N52" si="42">IF(H48=0,0,L48/H48)</f>
        <v>0</v>
      </c>
      <c r="O48" s="14"/>
      <c r="P48" s="1">
        <f>SUM(OSRRefP22_7x_0)</f>
        <v>0</v>
      </c>
      <c r="Q48" s="1"/>
      <c r="R48" s="5">
        <f t="shared" ref="R48:R52" si="43">IF(P$12=0,0,P48/P$12)</f>
        <v>0</v>
      </c>
      <c r="S48" s="1"/>
      <c r="T48" s="1">
        <f>SUM(OSRRefT22_7x_0)</f>
        <v>185.7</v>
      </c>
      <c r="U48" s="1"/>
      <c r="V48" s="5">
        <f t="shared" ref="V48:V52" si="44">IF(T$12=0,0,T48/T$12)</f>
        <v>7.4985766029873155E-2</v>
      </c>
      <c r="W48" s="1"/>
      <c r="X48" s="1">
        <f t="shared" ref="X48:X52" si="45">+P48-T48</f>
        <v>-185.7</v>
      </c>
      <c r="Y48" s="1"/>
      <c r="Z48" s="5">
        <f t="shared" ref="Z48:Z52" si="46">IF(T48=0,0,X48/T48)</f>
        <v>-1</v>
      </c>
    </row>
    <row r="49" spans="1:26" s="24" customFormat="1" hidden="1" outlineLevel="2" x14ac:dyDescent="0.3">
      <c r="A49" s="28"/>
      <c r="B49" s="11" t="str">
        <f>CONCATENATE("          ", "6254", " - ", "ROYALTY &amp; COMMISSIONS")</f>
        <v xml:space="preserve">          6254 - ROYALTY &amp; COMMISSIONS</v>
      </c>
      <c r="C49" s="11"/>
      <c r="D49" s="6"/>
      <c r="E49" s="2"/>
      <c r="F49" s="7">
        <f t="shared" si="39"/>
        <v>0</v>
      </c>
      <c r="G49" s="2"/>
      <c r="H49" s="6"/>
      <c r="I49" s="2"/>
      <c r="J49" s="7">
        <f t="shared" si="40"/>
        <v>0</v>
      </c>
      <c r="K49" s="2"/>
      <c r="L49" s="6">
        <f t="shared" si="41"/>
        <v>0</v>
      </c>
      <c r="M49" s="2"/>
      <c r="N49" s="7">
        <f t="shared" si="42"/>
        <v>0</v>
      </c>
      <c r="O49" s="11"/>
      <c r="P49" s="6"/>
      <c r="Q49" s="2"/>
      <c r="R49" s="7">
        <f t="shared" si="43"/>
        <v>0</v>
      </c>
      <c r="S49" s="2"/>
      <c r="T49" s="6">
        <v>185.7</v>
      </c>
      <c r="U49" s="2"/>
      <c r="V49" s="7">
        <f t="shared" si="44"/>
        <v>7.4985766029873155E-2</v>
      </c>
      <c r="W49" s="2"/>
      <c r="X49" s="6">
        <f t="shared" si="45"/>
        <v>-185.7</v>
      </c>
      <c r="Y49" s="2"/>
      <c r="Z49" s="7">
        <f t="shared" si="46"/>
        <v>-1</v>
      </c>
    </row>
    <row r="50" spans="1:26" s="29" customFormat="1" outlineLevel="1" collapsed="1" x14ac:dyDescent="0.3">
      <c r="A50" s="27"/>
      <c r="B50" s="14" t="str">
        <f>CONCATENATE("     ","Services                                          ")</f>
        <v xml:space="preserve">     Services                                          </v>
      </c>
      <c r="C50" s="14"/>
      <c r="D50" s="1">
        <f>SUM(OSRRefD22_8x_0)</f>
        <v>0</v>
      </c>
      <c r="E50" s="1"/>
      <c r="F50" s="5">
        <f t="shared" si="39"/>
        <v>0</v>
      </c>
      <c r="G50" s="1"/>
      <c r="H50" s="1">
        <f>SUM(OSRRefH22_8x_0)</f>
        <v>0</v>
      </c>
      <c r="I50" s="1"/>
      <c r="J50" s="5">
        <f t="shared" si="40"/>
        <v>0</v>
      </c>
      <c r="K50" s="1"/>
      <c r="L50" s="1">
        <f t="shared" si="41"/>
        <v>0</v>
      </c>
      <c r="M50" s="1"/>
      <c r="N50" s="5">
        <f t="shared" si="42"/>
        <v>0</v>
      </c>
      <c r="O50" s="14"/>
      <c r="P50" s="1">
        <f>SUM(OSRRefP22_8x_0)</f>
        <v>103.2</v>
      </c>
      <c r="Q50" s="1"/>
      <c r="R50" s="5">
        <f t="shared" si="43"/>
        <v>0</v>
      </c>
      <c r="S50" s="1"/>
      <c r="T50" s="1">
        <f>SUM(OSRRefT22_8x_0)</f>
        <v>-63.319999999999993</v>
      </c>
      <c r="U50" s="1"/>
      <c r="V50" s="5">
        <f t="shared" si="44"/>
        <v>-2.556865215407414E-2</v>
      </c>
      <c r="W50" s="1"/>
      <c r="X50" s="1">
        <f t="shared" si="45"/>
        <v>166.51999999999998</v>
      </c>
      <c r="Y50" s="1"/>
      <c r="Z50" s="5">
        <f t="shared" si="46"/>
        <v>-2.6298168035375871</v>
      </c>
    </row>
    <row r="51" spans="1:26" s="24" customFormat="1" hidden="1" outlineLevel="2" x14ac:dyDescent="0.3">
      <c r="A51" s="28"/>
      <c r="B51" s="11" t="str">
        <f>CONCATENATE("          ", "6282", " - ", "JANITORIAL/EXTERMINATOR EXPENS")</f>
        <v xml:space="preserve">          6282 - JANITORIAL/EXTERMINATOR EXPENS</v>
      </c>
      <c r="C51" s="11"/>
      <c r="D51" s="6"/>
      <c r="E51" s="2"/>
      <c r="F51" s="7">
        <f t="shared" si="39"/>
        <v>0</v>
      </c>
      <c r="G51" s="2"/>
      <c r="H51" s="6"/>
      <c r="I51" s="2"/>
      <c r="J51" s="7">
        <f t="shared" si="40"/>
        <v>0</v>
      </c>
      <c r="K51" s="2"/>
      <c r="L51" s="6">
        <f t="shared" si="41"/>
        <v>0</v>
      </c>
      <c r="M51" s="2"/>
      <c r="N51" s="7">
        <f t="shared" si="42"/>
        <v>0</v>
      </c>
      <c r="O51" s="11"/>
      <c r="P51" s="6"/>
      <c r="Q51" s="2"/>
      <c r="R51" s="7">
        <f t="shared" si="43"/>
        <v>0</v>
      </c>
      <c r="S51" s="2"/>
      <c r="T51" s="6">
        <v>82</v>
      </c>
      <c r="U51" s="2"/>
      <c r="V51" s="7">
        <f t="shared" si="44"/>
        <v>3.3111646819868598E-2</v>
      </c>
      <c r="W51" s="2"/>
      <c r="X51" s="6">
        <f t="shared" si="45"/>
        <v>-82</v>
      </c>
      <c r="Y51" s="2"/>
      <c r="Z51" s="7">
        <f t="shared" si="46"/>
        <v>-1</v>
      </c>
    </row>
    <row r="52" spans="1:26" s="24" customFormat="1" hidden="1" outlineLevel="2" x14ac:dyDescent="0.3">
      <c r="A52" s="28"/>
      <c r="B52" s="11" t="str">
        <f>CONCATENATE("          ", "6285", " - ", "JANITORIAL SERVICES")</f>
        <v xml:space="preserve">          6285 - JANITORIAL SERVICES</v>
      </c>
      <c r="C52" s="11"/>
      <c r="D52" s="6"/>
      <c r="E52" s="2"/>
      <c r="F52" s="7">
        <f t="shared" si="39"/>
        <v>0</v>
      </c>
      <c r="G52" s="2"/>
      <c r="H52" s="6"/>
      <c r="I52" s="2"/>
      <c r="J52" s="7">
        <f t="shared" si="40"/>
        <v>0</v>
      </c>
      <c r="K52" s="2"/>
      <c r="L52" s="6">
        <f t="shared" si="41"/>
        <v>0</v>
      </c>
      <c r="M52" s="2"/>
      <c r="N52" s="7">
        <f t="shared" si="42"/>
        <v>0</v>
      </c>
      <c r="O52" s="11"/>
      <c r="P52" s="6">
        <v>103.2</v>
      </c>
      <c r="Q52" s="2"/>
      <c r="R52" s="7">
        <f t="shared" si="43"/>
        <v>0</v>
      </c>
      <c r="S52" s="2"/>
      <c r="T52" s="6">
        <v>-145.32</v>
      </c>
      <c r="U52" s="2"/>
      <c r="V52" s="7">
        <f t="shared" si="44"/>
        <v>-5.8680298973942738E-2</v>
      </c>
      <c r="W52" s="2"/>
      <c r="X52" s="6">
        <f t="shared" si="45"/>
        <v>248.51999999999998</v>
      </c>
      <c r="Y52" s="2"/>
      <c r="Z52" s="7">
        <f t="shared" si="46"/>
        <v>-1.7101568951279933</v>
      </c>
    </row>
    <row r="53" spans="1:26" s="29" customFormat="1" outlineLevel="1" collapsed="1" x14ac:dyDescent="0.3">
      <c r="A53" s="27"/>
      <c r="B53" s="14" t="str">
        <f>CONCATENATE("     ","Supplies                                          ")</f>
        <v xml:space="preserve">     Supplies                                          </v>
      </c>
      <c r="C53" s="14"/>
      <c r="D53" s="1">
        <f>SUM(OSRRefD22_9x_0)</f>
        <v>2.21</v>
      </c>
      <c r="E53" s="1"/>
      <c r="F53" s="5">
        <f t="shared" ref="F53:F58" si="47">IF(D$12=0,0,D53/D$12)</f>
        <v>0</v>
      </c>
      <c r="G53" s="1"/>
      <c r="H53" s="1">
        <f>SUM(OSRRefH22_9x_0)</f>
        <v>0</v>
      </c>
      <c r="I53" s="1"/>
      <c r="J53" s="5">
        <f t="shared" ref="J53:J58" si="48">IF(H$12=0,0,H53/H$12)</f>
        <v>0</v>
      </c>
      <c r="K53" s="1"/>
      <c r="L53" s="1">
        <f t="shared" ref="L53:L58" si="49">+D53-H53</f>
        <v>2.21</v>
      </c>
      <c r="M53" s="1"/>
      <c r="N53" s="5">
        <f t="shared" ref="N53:N58" si="50">IF(H53=0,0,L53/H53)</f>
        <v>0</v>
      </c>
      <c r="O53" s="14"/>
      <c r="P53" s="1">
        <f>SUM(OSRRefP22_9x_0)</f>
        <v>1239.94</v>
      </c>
      <c r="Q53" s="1"/>
      <c r="R53" s="5">
        <f t="shared" ref="R53:R58" si="51">IF(P$12=0,0,P53/P$12)</f>
        <v>0</v>
      </c>
      <c r="S53" s="1"/>
      <c r="T53" s="1">
        <f>SUM(OSRRefT22_9x_0)</f>
        <v>328.55</v>
      </c>
      <c r="U53" s="1"/>
      <c r="V53" s="5">
        <f t="shared" ref="V53:V58" si="52">IF(T$12=0,0,T53/T$12)</f>
        <v>0.13266867759351011</v>
      </c>
      <c r="W53" s="1"/>
      <c r="X53" s="1">
        <f t="shared" ref="X53:X58" si="53">+P53-T53</f>
        <v>911.3900000000001</v>
      </c>
      <c r="Y53" s="1"/>
      <c r="Z53" s="5">
        <f t="shared" ref="Z53:Z58" si="54">IF(T53=0,0,X53/T53)</f>
        <v>2.7739765636889366</v>
      </c>
    </row>
    <row r="54" spans="1:26" s="24" customFormat="1" hidden="1" outlineLevel="2" x14ac:dyDescent="0.3">
      <c r="A54" s="28"/>
      <c r="B54" s="11" t="str">
        <f>CONCATENATE("          ", "6234", " - ", "EXPENDABLE SUPPLIES &amp; EQUIPMEN")</f>
        <v xml:space="preserve">          6234 - EXPENDABLE SUPPLIES &amp; EQUIPMEN</v>
      </c>
      <c r="C54" s="11"/>
      <c r="D54" s="6"/>
      <c r="E54" s="2"/>
      <c r="F54" s="7">
        <f t="shared" si="47"/>
        <v>0</v>
      </c>
      <c r="G54" s="2"/>
      <c r="H54" s="6"/>
      <c r="I54" s="2"/>
      <c r="J54" s="7">
        <f t="shared" si="48"/>
        <v>0</v>
      </c>
      <c r="K54" s="2"/>
      <c r="L54" s="6">
        <f t="shared" si="49"/>
        <v>0</v>
      </c>
      <c r="M54" s="2"/>
      <c r="N54" s="7">
        <f t="shared" si="50"/>
        <v>0</v>
      </c>
      <c r="O54" s="11"/>
      <c r="P54" s="6">
        <v>1194.8900000000001</v>
      </c>
      <c r="Q54" s="2"/>
      <c r="R54" s="7">
        <f t="shared" si="51"/>
        <v>0</v>
      </c>
      <c r="S54" s="2"/>
      <c r="T54" s="6"/>
      <c r="U54" s="2"/>
      <c r="V54" s="7">
        <f t="shared" si="52"/>
        <v>0</v>
      </c>
      <c r="W54" s="2"/>
      <c r="X54" s="6">
        <f t="shared" si="53"/>
        <v>1194.8900000000001</v>
      </c>
      <c r="Y54" s="2"/>
      <c r="Z54" s="7">
        <f t="shared" si="54"/>
        <v>0</v>
      </c>
    </row>
    <row r="55" spans="1:26" s="24" customFormat="1" hidden="1" outlineLevel="2" x14ac:dyDescent="0.3">
      <c r="A55" s="28"/>
      <c r="B55" s="11" t="str">
        <f>CONCATENATE("          ", "6235", " - ", "COVID-19 EXPENSES")</f>
        <v xml:space="preserve">          6235 - COVID-19 EXPENSES</v>
      </c>
      <c r="C55" s="11"/>
      <c r="D55" s="6"/>
      <c r="E55" s="2"/>
      <c r="F55" s="7">
        <f t="shared" si="47"/>
        <v>0</v>
      </c>
      <c r="G55" s="2"/>
      <c r="H55" s="6"/>
      <c r="I55" s="2"/>
      <c r="J55" s="7">
        <f t="shared" si="48"/>
        <v>0</v>
      </c>
      <c r="K55" s="2"/>
      <c r="L55" s="6">
        <f t="shared" si="49"/>
        <v>0</v>
      </c>
      <c r="M55" s="2"/>
      <c r="N55" s="7">
        <f t="shared" si="50"/>
        <v>0</v>
      </c>
      <c r="O55" s="11"/>
      <c r="P55" s="6"/>
      <c r="Q55" s="2"/>
      <c r="R55" s="7">
        <f t="shared" si="51"/>
        <v>0</v>
      </c>
      <c r="S55" s="2"/>
      <c r="T55" s="6">
        <v>207.27</v>
      </c>
      <c r="U55" s="2"/>
      <c r="V55" s="7">
        <f t="shared" si="52"/>
        <v>8.3695744345782502E-2</v>
      </c>
      <c r="W55" s="2"/>
      <c r="X55" s="6">
        <f t="shared" si="53"/>
        <v>-207.27</v>
      </c>
      <c r="Y55" s="2"/>
      <c r="Z55" s="7">
        <f t="shared" si="54"/>
        <v>-1</v>
      </c>
    </row>
    <row r="56" spans="1:26" s="24" customFormat="1" hidden="1" outlineLevel="2" x14ac:dyDescent="0.3">
      <c r="A56" s="28"/>
      <c r="B56" s="11" t="str">
        <f>CONCATENATE("          ", "6237", " - ", "JANITORIAL SUPPLIES")</f>
        <v xml:space="preserve">          6237 - JANITORIAL SUPPLIES</v>
      </c>
      <c r="C56" s="11"/>
      <c r="D56" s="6"/>
      <c r="E56" s="2"/>
      <c r="F56" s="7">
        <f t="shared" si="47"/>
        <v>0</v>
      </c>
      <c r="G56" s="2"/>
      <c r="H56" s="6"/>
      <c r="I56" s="2"/>
      <c r="J56" s="7">
        <f t="shared" si="48"/>
        <v>0</v>
      </c>
      <c r="K56" s="2"/>
      <c r="L56" s="6">
        <f t="shared" si="49"/>
        <v>0</v>
      </c>
      <c r="M56" s="2"/>
      <c r="N56" s="7">
        <f t="shared" si="50"/>
        <v>0</v>
      </c>
      <c r="O56" s="11"/>
      <c r="P56" s="6">
        <v>38.340000000000003</v>
      </c>
      <c r="Q56" s="2"/>
      <c r="R56" s="7">
        <f t="shared" si="51"/>
        <v>0</v>
      </c>
      <c r="S56" s="2"/>
      <c r="T56" s="6"/>
      <c r="U56" s="2"/>
      <c r="V56" s="7">
        <f t="shared" si="52"/>
        <v>0</v>
      </c>
      <c r="W56" s="2"/>
      <c r="X56" s="6">
        <f t="shared" si="53"/>
        <v>38.340000000000003</v>
      </c>
      <c r="Y56" s="2"/>
      <c r="Z56" s="7">
        <f t="shared" si="54"/>
        <v>0</v>
      </c>
    </row>
    <row r="57" spans="1:26" s="24" customFormat="1" hidden="1" outlineLevel="2" x14ac:dyDescent="0.3">
      <c r="A57" s="28"/>
      <c r="B57" s="11" t="str">
        <f>CONCATENATE("          ", "6241", " - ", "OFFICE EXPENSE")</f>
        <v xml:space="preserve">          6241 - OFFICE EXPENSE</v>
      </c>
      <c r="C57" s="11"/>
      <c r="D57" s="6">
        <v>2.21</v>
      </c>
      <c r="E57" s="2"/>
      <c r="F57" s="7">
        <f t="shared" si="47"/>
        <v>0</v>
      </c>
      <c r="G57" s="2"/>
      <c r="H57" s="6"/>
      <c r="I57" s="2"/>
      <c r="J57" s="7">
        <f t="shared" si="48"/>
        <v>0</v>
      </c>
      <c r="K57" s="2"/>
      <c r="L57" s="6">
        <f t="shared" si="49"/>
        <v>2.21</v>
      </c>
      <c r="M57" s="2"/>
      <c r="N57" s="7">
        <f t="shared" si="50"/>
        <v>0</v>
      </c>
      <c r="O57" s="11"/>
      <c r="P57" s="6">
        <v>6.71</v>
      </c>
      <c r="Q57" s="2"/>
      <c r="R57" s="7">
        <f t="shared" si="51"/>
        <v>0</v>
      </c>
      <c r="S57" s="2"/>
      <c r="T57" s="6"/>
      <c r="U57" s="2"/>
      <c r="V57" s="7">
        <f t="shared" si="52"/>
        <v>0</v>
      </c>
      <c r="W57" s="2"/>
      <c r="X57" s="6">
        <f t="shared" si="53"/>
        <v>6.71</v>
      </c>
      <c r="Y57" s="2"/>
      <c r="Z57" s="7">
        <f t="shared" si="54"/>
        <v>0</v>
      </c>
    </row>
    <row r="58" spans="1:26" s="24" customFormat="1" hidden="1" outlineLevel="2" x14ac:dyDescent="0.3">
      <c r="A58" s="28"/>
      <c r="B58" s="11" t="str">
        <f>CONCATENATE("          ", "6247", " - ", "STORE SUPPLIES")</f>
        <v xml:space="preserve">          6247 - STORE SUPPLIES</v>
      </c>
      <c r="C58" s="11"/>
      <c r="D58" s="6"/>
      <c r="E58" s="2"/>
      <c r="F58" s="7">
        <f t="shared" si="47"/>
        <v>0</v>
      </c>
      <c r="G58" s="2"/>
      <c r="H58" s="6"/>
      <c r="I58" s="2"/>
      <c r="J58" s="7">
        <f t="shared" si="48"/>
        <v>0</v>
      </c>
      <c r="K58" s="2"/>
      <c r="L58" s="6">
        <f t="shared" si="49"/>
        <v>0</v>
      </c>
      <c r="M58" s="2"/>
      <c r="N58" s="7">
        <f t="shared" si="50"/>
        <v>0</v>
      </c>
      <c r="O58" s="11"/>
      <c r="P58" s="6"/>
      <c r="Q58" s="2"/>
      <c r="R58" s="7">
        <f t="shared" si="51"/>
        <v>0</v>
      </c>
      <c r="S58" s="2"/>
      <c r="T58" s="6">
        <v>121.28</v>
      </c>
      <c r="U58" s="2"/>
      <c r="V58" s="7">
        <f t="shared" si="52"/>
        <v>4.8972933247727606E-2</v>
      </c>
      <c r="W58" s="2"/>
      <c r="X58" s="6">
        <f t="shared" si="53"/>
        <v>-121.28</v>
      </c>
      <c r="Y58" s="2"/>
      <c r="Z58" s="7">
        <f t="shared" si="54"/>
        <v>-1</v>
      </c>
    </row>
    <row r="59" spans="1:26" s="29" customFormat="1" outlineLevel="1" collapsed="1" x14ac:dyDescent="0.3">
      <c r="A59" s="27"/>
      <c r="B59" s="14" t="str">
        <f>CONCATENATE("     ","Telephone/Data Lines                              ")</f>
        <v xml:space="preserve">     Telephone/Data Lines                              </v>
      </c>
      <c r="C59" s="14"/>
      <c r="D59" s="1">
        <f>SUM(OSRRefD22_10x_0)</f>
        <v>551.5</v>
      </c>
      <c r="E59" s="1"/>
      <c r="F59" s="5">
        <f t="shared" ref="F59:F62" si="55">IF(D$12=0,0,D59/D$12)</f>
        <v>0</v>
      </c>
      <c r="G59" s="1"/>
      <c r="H59" s="1">
        <f>SUM(OSRRefH22_10x_0)</f>
        <v>101.5</v>
      </c>
      <c r="I59" s="1"/>
      <c r="J59" s="5">
        <f t="shared" ref="J59:J62" si="56">IF(H$12=0,0,H59/H$12)</f>
        <v>0</v>
      </c>
      <c r="K59" s="1"/>
      <c r="L59" s="1">
        <f t="shared" ref="L59:L62" si="57">+D59-H59</f>
        <v>450</v>
      </c>
      <c r="M59" s="1"/>
      <c r="N59" s="5">
        <f t="shared" ref="N59:N62" si="58">IF(H59=0,0,L59/H59)</f>
        <v>4.4334975369458132</v>
      </c>
      <c r="O59" s="14"/>
      <c r="P59" s="1">
        <f>SUM(OSRRefP22_10x_0)</f>
        <v>735.5</v>
      </c>
      <c r="Q59" s="1"/>
      <c r="R59" s="5">
        <f t="shared" ref="R59:R62" si="59">IF(P$12=0,0,P59/P$12)</f>
        <v>0</v>
      </c>
      <c r="S59" s="1"/>
      <c r="T59" s="1">
        <f>SUM(OSRRefT22_10x_0)</f>
        <v>632.5</v>
      </c>
      <c r="U59" s="1"/>
      <c r="V59" s="5">
        <f t="shared" ref="V59:V62" si="60">IF(T$12=0,0,T59/T$12)</f>
        <v>0.25540386114105962</v>
      </c>
      <c r="W59" s="1"/>
      <c r="X59" s="1">
        <f t="shared" ref="X59:X62" si="61">+P59-T59</f>
        <v>103</v>
      </c>
      <c r="Y59" s="1"/>
      <c r="Z59" s="5">
        <f t="shared" ref="Z59:Z62" si="62">IF(T59=0,0,X59/T59)</f>
        <v>0.16284584980237155</v>
      </c>
    </row>
    <row r="60" spans="1:26" s="24" customFormat="1" hidden="1" outlineLevel="2" x14ac:dyDescent="0.3">
      <c r="A60" s="28"/>
      <c r="B60" s="11" t="str">
        <f>CONCATENATE("          ", "6309", " - ", "TELEPHONE")</f>
        <v xml:space="preserve">          6309 - TELEPHONE</v>
      </c>
      <c r="C60" s="11"/>
      <c r="D60" s="6">
        <v>551.5</v>
      </c>
      <c r="E60" s="2"/>
      <c r="F60" s="7">
        <f t="shared" si="55"/>
        <v>0</v>
      </c>
      <c r="G60" s="2"/>
      <c r="H60" s="6">
        <v>101.5</v>
      </c>
      <c r="I60" s="2"/>
      <c r="J60" s="7">
        <f t="shared" si="56"/>
        <v>0</v>
      </c>
      <c r="K60" s="2"/>
      <c r="L60" s="6">
        <f t="shared" si="57"/>
        <v>450</v>
      </c>
      <c r="M60" s="2"/>
      <c r="N60" s="7">
        <f t="shared" si="58"/>
        <v>4.4334975369458132</v>
      </c>
      <c r="O60" s="11"/>
      <c r="P60" s="6">
        <v>735.5</v>
      </c>
      <c r="Q60" s="2"/>
      <c r="R60" s="7">
        <f t="shared" si="59"/>
        <v>0</v>
      </c>
      <c r="S60" s="2"/>
      <c r="T60" s="6">
        <v>632.5</v>
      </c>
      <c r="U60" s="2"/>
      <c r="V60" s="7">
        <f t="shared" si="60"/>
        <v>0.25540386114105962</v>
      </c>
      <c r="W60" s="2"/>
      <c r="X60" s="6">
        <f t="shared" si="61"/>
        <v>103</v>
      </c>
      <c r="Y60" s="2"/>
      <c r="Z60" s="7">
        <f t="shared" si="62"/>
        <v>0.16284584980237155</v>
      </c>
    </row>
    <row r="61" spans="1:26" s="29" customFormat="1" outlineLevel="1" collapsed="1" x14ac:dyDescent="0.3">
      <c r="A61" s="27"/>
      <c r="B61" s="14" t="str">
        <f>CONCATENATE("     ","Utilities                                         ")</f>
        <v xml:space="preserve">     Utilities                                         </v>
      </c>
      <c r="C61" s="14"/>
      <c r="D61" s="1">
        <f>SUM(OSRRefD22_11x_0)</f>
        <v>0</v>
      </c>
      <c r="E61" s="1"/>
      <c r="F61" s="5">
        <f t="shared" si="55"/>
        <v>0</v>
      </c>
      <c r="G61" s="1"/>
      <c r="H61" s="1">
        <f>SUM(OSRRefH22_11x_0)</f>
        <v>50</v>
      </c>
      <c r="I61" s="1"/>
      <c r="J61" s="5">
        <f t="shared" si="56"/>
        <v>0</v>
      </c>
      <c r="K61" s="1"/>
      <c r="L61" s="1">
        <f t="shared" si="57"/>
        <v>-50</v>
      </c>
      <c r="M61" s="1"/>
      <c r="N61" s="5">
        <f t="shared" si="58"/>
        <v>-1</v>
      </c>
      <c r="O61" s="14"/>
      <c r="P61" s="1">
        <f>SUM(OSRRefP22_11x_0)</f>
        <v>0</v>
      </c>
      <c r="Q61" s="1"/>
      <c r="R61" s="5">
        <f t="shared" si="59"/>
        <v>0</v>
      </c>
      <c r="S61" s="1"/>
      <c r="T61" s="1">
        <f>SUM(OSRRefT22_11x_0)</f>
        <v>300</v>
      </c>
      <c r="U61" s="1"/>
      <c r="V61" s="5">
        <f t="shared" si="60"/>
        <v>0.1211401712922022</v>
      </c>
      <c r="W61" s="1"/>
      <c r="X61" s="1">
        <f t="shared" si="61"/>
        <v>-300</v>
      </c>
      <c r="Y61" s="1"/>
      <c r="Z61" s="5">
        <f t="shared" si="62"/>
        <v>-1</v>
      </c>
    </row>
    <row r="62" spans="1:26" s="24" customFormat="1" hidden="1" outlineLevel="2" x14ac:dyDescent="0.3">
      <c r="A62" s="28"/>
      <c r="B62" s="11" t="str">
        <f>CONCATENATE("          ", "6274", " - ", "UTILITIES")</f>
        <v xml:space="preserve">          6274 - UTILITIES</v>
      </c>
      <c r="C62" s="11"/>
      <c r="D62" s="6"/>
      <c r="E62" s="2"/>
      <c r="F62" s="7">
        <f t="shared" si="55"/>
        <v>0</v>
      </c>
      <c r="G62" s="2"/>
      <c r="H62" s="6">
        <v>50</v>
      </c>
      <c r="I62" s="2"/>
      <c r="J62" s="7">
        <f t="shared" si="56"/>
        <v>0</v>
      </c>
      <c r="K62" s="2"/>
      <c r="L62" s="6">
        <f t="shared" si="57"/>
        <v>-50</v>
      </c>
      <c r="M62" s="2"/>
      <c r="N62" s="7">
        <f t="shared" si="58"/>
        <v>-1</v>
      </c>
      <c r="O62" s="11"/>
      <c r="P62" s="6"/>
      <c r="Q62" s="2"/>
      <c r="R62" s="7">
        <f t="shared" si="59"/>
        <v>0</v>
      </c>
      <c r="S62" s="2"/>
      <c r="T62" s="6">
        <v>300</v>
      </c>
      <c r="U62" s="2"/>
      <c r="V62" s="7">
        <f t="shared" si="60"/>
        <v>0.1211401712922022</v>
      </c>
      <c r="W62" s="2"/>
      <c r="X62" s="6">
        <f t="shared" si="61"/>
        <v>-300</v>
      </c>
      <c r="Y62" s="2"/>
      <c r="Z62" s="7">
        <f t="shared" si="62"/>
        <v>-1</v>
      </c>
    </row>
    <row r="63" spans="1:26" s="53" customFormat="1" x14ac:dyDescent="0.3">
      <c r="A63" s="37"/>
      <c r="B63" s="37"/>
      <c r="C63" s="37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7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x14ac:dyDescent="0.3">
      <c r="A64" s="10"/>
      <c r="B64" s="25" t="s">
        <v>292</v>
      </c>
      <c r="C64" s="10"/>
      <c r="D64" s="4">
        <f>SUM(0)</f>
        <v>0</v>
      </c>
      <c r="E64" s="4"/>
      <c r="F64" s="12">
        <f>IF(D$12=0,0,D64/D$12)</f>
        <v>0</v>
      </c>
      <c r="G64" s="4"/>
      <c r="H64" s="4">
        <f>SUM(0)</f>
        <v>0</v>
      </c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>
        <f>SUM(0)</f>
        <v>0</v>
      </c>
      <c r="Q64" s="4"/>
      <c r="R64" s="12">
        <f>IF(P$12=0,0,P64/P$12)</f>
        <v>0</v>
      </c>
      <c r="S64" s="4"/>
      <c r="T64" s="4">
        <f>SUM(0)</f>
        <v>0</v>
      </c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3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3">
      <c r="A66" s="10"/>
      <c r="B66" s="26" t="s">
        <v>276</v>
      </c>
      <c r="C66" s="26"/>
      <c r="D66" s="20">
        <f>+D20-D22+D64</f>
        <v>-5106.0700000000006</v>
      </c>
      <c r="E66" s="13"/>
      <c r="F66" s="21">
        <f>IF(D$12=0,0,D66/D$12)</f>
        <v>0</v>
      </c>
      <c r="G66" s="13"/>
      <c r="H66" s="20">
        <f>+H20-H22+H64</f>
        <v>-3502.98</v>
      </c>
      <c r="I66" s="13"/>
      <c r="J66" s="21">
        <f>IF(H$12=0,0,H66/H$12)</f>
        <v>0</v>
      </c>
      <c r="K66" s="15"/>
      <c r="L66" s="20">
        <f>+D66-H66</f>
        <v>-1603.0900000000006</v>
      </c>
      <c r="M66" s="15"/>
      <c r="N66" s="21">
        <f>IF(H66=0,0,L66/H66)</f>
        <v>0.45763606986051891</v>
      </c>
      <c r="O66" s="25"/>
      <c r="P66" s="20">
        <f>+P20-P22+P64</f>
        <v>-21230.73</v>
      </c>
      <c r="Q66" s="13"/>
      <c r="R66" s="21">
        <f>IF(P$12=0,0,P66/P$12)</f>
        <v>0</v>
      </c>
      <c r="S66" s="13"/>
      <c r="T66" s="20">
        <f>+T20-T22+T64</f>
        <v>-32959.799999999988</v>
      </c>
      <c r="U66" s="13"/>
      <c r="V66" s="21">
        <f>IF(T$12=0,0,T66/T$12)</f>
        <v>-13.309186059189082</v>
      </c>
      <c r="W66" s="15"/>
      <c r="X66" s="20">
        <f>+P66-T66</f>
        <v>11729.069999999989</v>
      </c>
      <c r="Y66" s="15"/>
      <c r="Z66" s="21">
        <f>IF(T66=0,0,X66/T66)</f>
        <v>-0.35585986565452438</v>
      </c>
    </row>
    <row r="67" spans="1:26" x14ac:dyDescent="0.3">
      <c r="A67" s="9"/>
      <c r="B67" s="10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3">
      <c r="A68" s="51"/>
      <c r="B68" s="10" t="s">
        <v>127</v>
      </c>
      <c r="C68" s="10"/>
      <c r="D68" s="4"/>
      <c r="E68" s="4"/>
      <c r="F68" s="12">
        <f>IF(D$12=0,0,D68/D$12)</f>
        <v>0</v>
      </c>
      <c r="G68" s="4"/>
      <c r="H68" s="4">
        <v>64.69</v>
      </c>
      <c r="I68" s="4"/>
      <c r="J68" s="12">
        <f>IF(H$12=0,0,H68/H$12)</f>
        <v>0</v>
      </c>
      <c r="K68" s="4"/>
      <c r="L68" s="4">
        <f>+D68-H68</f>
        <v>-64.69</v>
      </c>
      <c r="M68" s="4"/>
      <c r="N68" s="12">
        <f>IF(H68=0,0,L68/H68)</f>
        <v>-1</v>
      </c>
      <c r="O68" s="10"/>
      <c r="P68" s="4"/>
      <c r="Q68" s="4"/>
      <c r="R68" s="12">
        <f>IF(P$12=0,0,P68/P$12)</f>
        <v>0</v>
      </c>
      <c r="S68" s="4"/>
      <c r="T68" s="4">
        <v>458.2</v>
      </c>
      <c r="U68" s="4"/>
      <c r="V68" s="12">
        <f>IF(T$12=0,0,T68/T$12)</f>
        <v>0.18502142162029014</v>
      </c>
      <c r="W68" s="4"/>
      <c r="X68" s="4">
        <f>+P68-T68</f>
        <v>-458.2</v>
      </c>
      <c r="Y68" s="4"/>
      <c r="Z68" s="12">
        <f>IF(T68=0,0,X68/T68)</f>
        <v>-1</v>
      </c>
    </row>
    <row r="69" spans="1:26" x14ac:dyDescent="0.3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" thickBot="1" x14ac:dyDescent="0.35">
      <c r="A70" s="10"/>
      <c r="B70" s="26" t="s">
        <v>125</v>
      </c>
      <c r="C70" s="26"/>
      <c r="D70" s="32">
        <f>+D66-D68</f>
        <v>-5106.0700000000006</v>
      </c>
      <c r="E70" s="13"/>
      <c r="F70" s="35">
        <f>IF(D$12=0,0,D70/D$12)</f>
        <v>0</v>
      </c>
      <c r="G70" s="13"/>
      <c r="H70" s="32">
        <f>+H66-H68</f>
        <v>-3567.67</v>
      </c>
      <c r="I70" s="13"/>
      <c r="J70" s="35">
        <f>IF(H$12=0,0,H70/H$12)</f>
        <v>0</v>
      </c>
      <c r="K70" s="15"/>
      <c r="L70" s="32">
        <f>D70-H70</f>
        <v>-1538.4000000000005</v>
      </c>
      <c r="M70" s="15"/>
      <c r="N70" s="35">
        <f>IF(H70=0,0,L70/H70)</f>
        <v>0.4312058009849567</v>
      </c>
      <c r="O70" s="25"/>
      <c r="P70" s="32">
        <f>+P66-P68</f>
        <v>-21230.73</v>
      </c>
      <c r="Q70" s="13"/>
      <c r="R70" s="35">
        <f>IF(P$12=0,0,P70/P$12)</f>
        <v>0</v>
      </c>
      <c r="S70" s="13"/>
      <c r="T70" s="32">
        <f>+T66-T68</f>
        <v>-33417.999999999985</v>
      </c>
      <c r="U70" s="13"/>
      <c r="V70" s="35">
        <f>IF(T$12=0,0,T70/T$12)</f>
        <v>-13.49420748080937</v>
      </c>
      <c r="W70" s="15"/>
      <c r="X70" s="32">
        <f>P70-T70</f>
        <v>12187.269999999986</v>
      </c>
      <c r="Y70" s="15"/>
      <c r="Z70" s="35">
        <f>IF(T70=0,0,X70/T70)</f>
        <v>-0.36469178287150611</v>
      </c>
    </row>
    <row r="71" spans="1:26" ht="15" thickTop="1" x14ac:dyDescent="0.3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x14ac:dyDescent="0.3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" thickBot="1" x14ac:dyDescent="0.35">
      <c r="A73" s="10"/>
      <c r="B73" s="26" t="s">
        <v>293</v>
      </c>
      <c r="C73" s="26"/>
      <c r="D73" s="31">
        <f>SUM(D70:D72)</f>
        <v>-5106.0700000000006</v>
      </c>
      <c r="E73" s="13"/>
      <c r="F73" s="33">
        <f>IF(D$12=0,0,D73/D$12)</f>
        <v>0</v>
      </c>
      <c r="G73" s="13"/>
      <c r="H73" s="31">
        <f>SUM(H70:H72)</f>
        <v>-3567.67</v>
      </c>
      <c r="I73" s="13"/>
      <c r="J73" s="33">
        <f>IF(H$12=0,0,H73/H$12)</f>
        <v>0</v>
      </c>
      <c r="K73" s="15"/>
      <c r="L73" s="31">
        <f>+D73-H73</f>
        <v>-1538.4000000000005</v>
      </c>
      <c r="M73" s="15"/>
      <c r="N73" s="33">
        <f>IF(H73=0,0,L73/H73)</f>
        <v>0.4312058009849567</v>
      </c>
      <c r="O73" s="25"/>
      <c r="P73" s="31">
        <f>SUM(P70:P72)</f>
        <v>-21230.73</v>
      </c>
      <c r="Q73" s="13"/>
      <c r="R73" s="33">
        <f>IF(P$12=0,0,P73/P$12)</f>
        <v>0</v>
      </c>
      <c r="S73" s="13"/>
      <c r="T73" s="31">
        <f>SUM(T70:T72)</f>
        <v>-33417.999999999985</v>
      </c>
      <c r="U73" s="13"/>
      <c r="V73" s="33">
        <f>IF(T$12=0,0,T73/T$12)</f>
        <v>-13.49420748080937</v>
      </c>
      <c r="W73" s="15"/>
      <c r="X73" s="31">
        <f>+P73-T73</f>
        <v>12187.269999999986</v>
      </c>
      <c r="Y73" s="15"/>
      <c r="Z73" s="33">
        <f>IF(T73=0,0,X73/T73)</f>
        <v>-0.36469178287150611</v>
      </c>
    </row>
    <row r="74" spans="1:26" ht="15" thickTop="1" x14ac:dyDescent="0.3">
      <c r="A74" s="9"/>
      <c r="C74" s="9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3">
      <c r="A75" s="9"/>
      <c r="B75" s="60">
        <v>44575.854680405093</v>
      </c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3">
      <c r="A76" s="9"/>
      <c r="B76" s="57" t="s">
        <v>56</v>
      </c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3">
      <c r="A77" s="9"/>
      <c r="B77" s="59"/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3"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outlinePr summaryBelow="0" summaryRight="0"/>
  </sheetPr>
  <dimension ref="A2:Z5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","322", " - ", "Beach Hut")</f>
        <v>Department 322 - Beach Hut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3">
      <c r="A14" s="10"/>
      <c r="B14" s="25" t="s">
        <v>256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-1222.33</v>
      </c>
      <c r="U14" s="4"/>
      <c r="V14" s="12">
        <f t="shared" ref="V14:V15" si="5">IF(T$12=0,0,T14/T$12)</f>
        <v>0</v>
      </c>
      <c r="W14" s="4"/>
      <c r="X14" s="4">
        <f t="shared" ref="X14:X15" si="6">+P14-T14</f>
        <v>1222.33</v>
      </c>
      <c r="Y14" s="4"/>
      <c r="Z14" s="12">
        <f t="shared" ref="Z14:Z15" si="7">IF(T14=0,0,X14/T14)</f>
        <v>-1</v>
      </c>
    </row>
    <row r="15" spans="1:26" s="24" customFormat="1" hidden="1" outlineLevel="1" x14ac:dyDescent="0.3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/>
      <c r="Q15" s="2"/>
      <c r="R15" s="19">
        <f t="shared" si="4"/>
        <v>0</v>
      </c>
      <c r="S15" s="2"/>
      <c r="T15" s="2">
        <v>-1222.33</v>
      </c>
      <c r="U15" s="2"/>
      <c r="V15" s="19">
        <f t="shared" si="5"/>
        <v>0</v>
      </c>
      <c r="W15" s="2"/>
      <c r="X15" s="2">
        <f t="shared" si="6"/>
        <v>1222.33</v>
      </c>
      <c r="Y15" s="2"/>
      <c r="Z15" s="19">
        <f t="shared" si="7"/>
        <v>-1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6" t="s">
        <v>107</v>
      </c>
      <c r="C17" s="26"/>
      <c r="D17" s="20">
        <f>D12-D14</f>
        <v>0</v>
      </c>
      <c r="E17" s="13"/>
      <c r="F17" s="21">
        <f>IF(D$12=0,0,D17/D$12)</f>
        <v>0</v>
      </c>
      <c r="G17" s="13"/>
      <c r="H17" s="20">
        <f>H12-H14</f>
        <v>0</v>
      </c>
      <c r="I17" s="13"/>
      <c r="J17" s="21">
        <f>IF(H$12=0,0,H17/H$12)</f>
        <v>0</v>
      </c>
      <c r="K17" s="15"/>
      <c r="L17" s="20">
        <f>+D17-H17</f>
        <v>0</v>
      </c>
      <c r="M17" s="15"/>
      <c r="N17" s="21">
        <f>IF(H17=0,0,L17/H17)</f>
        <v>0</v>
      </c>
      <c r="O17" s="25"/>
      <c r="P17" s="20">
        <f>P12-P14</f>
        <v>0</v>
      </c>
      <c r="Q17" s="13"/>
      <c r="R17" s="21">
        <f>IF(P$12=0,0,P17/P$12)</f>
        <v>0</v>
      </c>
      <c r="S17" s="13"/>
      <c r="T17" s="20">
        <f>T12-T14</f>
        <v>1222.33</v>
      </c>
      <c r="U17" s="13"/>
      <c r="V17" s="21">
        <f>IF(T$12=0,0,T17/T$12)</f>
        <v>0</v>
      </c>
      <c r="W17" s="15"/>
      <c r="X17" s="20">
        <f>+P17-T17</f>
        <v>-1222.33</v>
      </c>
      <c r="Y17" s="15"/>
      <c r="Z17" s="21">
        <f>IF(T17=0,0,X17/T17)</f>
        <v>-1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294</v>
      </c>
      <c r="C19" s="10"/>
      <c r="D19" s="22">
        <f>SUM(OSRRefD22x_0)</f>
        <v>0</v>
      </c>
      <c r="E19" s="22"/>
      <c r="F19" s="34">
        <f t="shared" ref="F19:F25" si="8">IF(D$12=0,0,D19/D$12)</f>
        <v>0</v>
      </c>
      <c r="G19" s="22"/>
      <c r="H19" s="22">
        <f>SUM(OSRRefH22x_0)</f>
        <v>2297.69</v>
      </c>
      <c r="I19" s="22"/>
      <c r="J19" s="34">
        <f t="shared" ref="J19:J25" si="9">IF(H$12=0,0,H19/H$12)</f>
        <v>0</v>
      </c>
      <c r="K19" s="4"/>
      <c r="L19" s="22">
        <f t="shared" ref="L19:L25" si="10">+D19-H19</f>
        <v>-2297.69</v>
      </c>
      <c r="M19" s="4"/>
      <c r="N19" s="34">
        <f t="shared" ref="N19:N25" si="11">IF(H19=0,0,L19/H19)</f>
        <v>-1</v>
      </c>
      <c r="O19" s="10"/>
      <c r="P19" s="22">
        <f>SUM(OSRRefP22x_0)</f>
        <v>0</v>
      </c>
      <c r="Q19" s="22"/>
      <c r="R19" s="34">
        <f t="shared" ref="R19:R25" si="12">IF(P$12=0,0,P19/P$12)</f>
        <v>0</v>
      </c>
      <c r="S19" s="22"/>
      <c r="T19" s="22">
        <f>SUM(OSRRefT22x_0)</f>
        <v>15790.289999999999</v>
      </c>
      <c r="U19" s="22"/>
      <c r="V19" s="34">
        <f t="shared" ref="V19:V25" si="13">IF(T$12=0,0,T19/T$12)</f>
        <v>0</v>
      </c>
      <c r="W19" s="4"/>
      <c r="X19" s="22">
        <f t="shared" ref="X19:X25" si="14">+P19-T19</f>
        <v>-15790.289999999999</v>
      </c>
      <c r="Y19" s="4"/>
      <c r="Z19" s="34">
        <f t="shared" ref="Z19:Z25" si="15">IF(T19=0,0,X19/T19)</f>
        <v>-1</v>
      </c>
    </row>
    <row r="20" spans="1:26" s="29" customFormat="1" outlineLevel="1" collapsed="1" x14ac:dyDescent="0.3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0</v>
      </c>
      <c r="M20" s="1"/>
      <c r="N20" s="5">
        <f t="shared" si="11"/>
        <v>0</v>
      </c>
      <c r="O20" s="14"/>
      <c r="P20" s="1">
        <f>SUM(OSRRefP22_0x_0)</f>
        <v>0</v>
      </c>
      <c r="Q20" s="1"/>
      <c r="R20" s="5">
        <f t="shared" si="12"/>
        <v>0</v>
      </c>
      <c r="S20" s="1"/>
      <c r="T20" s="1">
        <f>SUM(OSRRefT22_0x_0)</f>
        <v>1595.9699999999998</v>
      </c>
      <c r="U20" s="1"/>
      <c r="V20" s="5">
        <f t="shared" si="13"/>
        <v>0</v>
      </c>
      <c r="W20" s="1"/>
      <c r="X20" s="1">
        <f t="shared" si="14"/>
        <v>-1595.9699999999998</v>
      </c>
      <c r="Y20" s="1"/>
      <c r="Z20" s="5">
        <f t="shared" si="15"/>
        <v>-1</v>
      </c>
    </row>
    <row r="21" spans="1:26" s="24" customFormat="1" hidden="1" outlineLevel="2" x14ac:dyDescent="0.3">
      <c r="A21" s="28"/>
      <c r="B21" s="11" t="str">
        <f>CONCATENATE("          ", "6111", " - ", "F.I.C.A.")</f>
        <v xml:space="preserve">          6111 - F.I.C.A.</v>
      </c>
      <c r="C21" s="11"/>
      <c r="D21" s="6"/>
      <c r="E21" s="2"/>
      <c r="F21" s="7">
        <f t="shared" si="8"/>
        <v>0</v>
      </c>
      <c r="G21" s="2"/>
      <c r="H21" s="6"/>
      <c r="I21" s="2"/>
      <c r="J21" s="7">
        <f t="shared" si="9"/>
        <v>0</v>
      </c>
      <c r="K21" s="2"/>
      <c r="L21" s="6">
        <f t="shared" si="10"/>
        <v>0</v>
      </c>
      <c r="M21" s="2"/>
      <c r="N21" s="7">
        <f t="shared" si="11"/>
        <v>0</v>
      </c>
      <c r="O21" s="11"/>
      <c r="P21" s="6"/>
      <c r="Q21" s="2"/>
      <c r="R21" s="7">
        <f t="shared" si="12"/>
        <v>0</v>
      </c>
      <c r="S21" s="2"/>
      <c r="T21" s="6">
        <v>159.12</v>
      </c>
      <c r="U21" s="2"/>
      <c r="V21" s="7">
        <f t="shared" si="13"/>
        <v>0</v>
      </c>
      <c r="W21" s="2"/>
      <c r="X21" s="6">
        <f t="shared" si="14"/>
        <v>-159.12</v>
      </c>
      <c r="Y21" s="2"/>
      <c r="Z21" s="7">
        <f t="shared" si="15"/>
        <v>-1</v>
      </c>
    </row>
    <row r="22" spans="1:26" s="24" customFormat="1" hidden="1" outlineLevel="2" x14ac:dyDescent="0.3">
      <c r="A22" s="28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8"/>
        <v>0</v>
      </c>
      <c r="G22" s="2"/>
      <c r="H22" s="6"/>
      <c r="I22" s="2"/>
      <c r="J22" s="7">
        <f t="shared" si="9"/>
        <v>0</v>
      </c>
      <c r="K22" s="2"/>
      <c r="L22" s="6">
        <f t="shared" si="10"/>
        <v>0</v>
      </c>
      <c r="M22" s="2"/>
      <c r="N22" s="7">
        <f t="shared" si="11"/>
        <v>0</v>
      </c>
      <c r="O22" s="11"/>
      <c r="P22" s="6"/>
      <c r="Q22" s="2"/>
      <c r="R22" s="7">
        <f t="shared" si="12"/>
        <v>0</v>
      </c>
      <c r="S22" s="2"/>
      <c r="T22" s="6">
        <v>683.68</v>
      </c>
      <c r="U22" s="2"/>
      <c r="V22" s="7">
        <f t="shared" si="13"/>
        <v>0</v>
      </c>
      <c r="W22" s="2"/>
      <c r="X22" s="6">
        <f t="shared" si="14"/>
        <v>-683.68</v>
      </c>
      <c r="Y22" s="2"/>
      <c r="Z22" s="7">
        <f t="shared" si="15"/>
        <v>-1</v>
      </c>
    </row>
    <row r="23" spans="1:26" s="24" customFormat="1" hidden="1" outlineLevel="2" x14ac:dyDescent="0.3">
      <c r="A23" s="28"/>
      <c r="B23" s="11" t="str">
        <f>CONCATENATE("          ", "6115", " - ", "P.E.R.S.")</f>
        <v xml:space="preserve">          6115 - P.E.R.S.</v>
      </c>
      <c r="C23" s="11"/>
      <c r="D23" s="6"/>
      <c r="E23" s="2"/>
      <c r="F23" s="7">
        <f t="shared" si="8"/>
        <v>0</v>
      </c>
      <c r="G23" s="2"/>
      <c r="H23" s="6"/>
      <c r="I23" s="2"/>
      <c r="J23" s="7">
        <f t="shared" si="9"/>
        <v>0</v>
      </c>
      <c r="K23" s="2"/>
      <c r="L23" s="6">
        <f t="shared" si="10"/>
        <v>0</v>
      </c>
      <c r="M23" s="2"/>
      <c r="N23" s="7">
        <f t="shared" si="11"/>
        <v>0</v>
      </c>
      <c r="O23" s="11"/>
      <c r="P23" s="6"/>
      <c r="Q23" s="2"/>
      <c r="R23" s="7">
        <f t="shared" si="12"/>
        <v>0</v>
      </c>
      <c r="S23" s="2"/>
      <c r="T23" s="6">
        <v>321.57</v>
      </c>
      <c r="U23" s="2"/>
      <c r="V23" s="7">
        <f t="shared" si="13"/>
        <v>0</v>
      </c>
      <c r="W23" s="2"/>
      <c r="X23" s="6">
        <f t="shared" si="14"/>
        <v>-321.57</v>
      </c>
      <c r="Y23" s="2"/>
      <c r="Z23" s="7">
        <f t="shared" si="15"/>
        <v>-1</v>
      </c>
    </row>
    <row r="24" spans="1:26" s="24" customFormat="1" hidden="1" outlineLevel="2" x14ac:dyDescent="0.3">
      <c r="A24" s="28"/>
      <c r="B24" s="11" t="str">
        <f>CONCATENATE("          ", "6118", " - ", "VACATION")</f>
        <v xml:space="preserve">          6118 - VACATION</v>
      </c>
      <c r="C24" s="11"/>
      <c r="D24" s="6"/>
      <c r="E24" s="2"/>
      <c r="F24" s="7">
        <f t="shared" si="8"/>
        <v>0</v>
      </c>
      <c r="G24" s="2"/>
      <c r="H24" s="6"/>
      <c r="I24" s="2"/>
      <c r="J24" s="7">
        <f t="shared" si="9"/>
        <v>0</v>
      </c>
      <c r="K24" s="2"/>
      <c r="L24" s="6">
        <f t="shared" si="10"/>
        <v>0</v>
      </c>
      <c r="M24" s="2"/>
      <c r="N24" s="7">
        <f t="shared" si="11"/>
        <v>0</v>
      </c>
      <c r="O24" s="11"/>
      <c r="P24" s="6"/>
      <c r="Q24" s="2"/>
      <c r="R24" s="7">
        <f t="shared" si="12"/>
        <v>0</v>
      </c>
      <c r="S24" s="2"/>
      <c r="T24" s="6">
        <v>239.72</v>
      </c>
      <c r="U24" s="2"/>
      <c r="V24" s="7">
        <f t="shared" si="13"/>
        <v>0</v>
      </c>
      <c r="W24" s="2"/>
      <c r="X24" s="6">
        <f t="shared" si="14"/>
        <v>-239.72</v>
      </c>
      <c r="Y24" s="2"/>
      <c r="Z24" s="7">
        <f t="shared" si="15"/>
        <v>-1</v>
      </c>
    </row>
    <row r="25" spans="1:26" s="24" customFormat="1" hidden="1" outlineLevel="2" x14ac:dyDescent="0.3">
      <c r="A25" s="28"/>
      <c r="B25" s="11" t="str">
        <f>CONCATENATE("          ", "6119", " - ", "SICK LEAVE")</f>
        <v xml:space="preserve">          6119 - SICK LEAVE</v>
      </c>
      <c r="C25" s="11"/>
      <c r="D25" s="6"/>
      <c r="E25" s="2"/>
      <c r="F25" s="7">
        <f t="shared" si="8"/>
        <v>0</v>
      </c>
      <c r="G25" s="2"/>
      <c r="H25" s="6"/>
      <c r="I25" s="2"/>
      <c r="J25" s="7">
        <f t="shared" si="9"/>
        <v>0</v>
      </c>
      <c r="K25" s="2"/>
      <c r="L25" s="6">
        <f t="shared" si="10"/>
        <v>0</v>
      </c>
      <c r="M25" s="2"/>
      <c r="N25" s="7">
        <f t="shared" si="11"/>
        <v>0</v>
      </c>
      <c r="O25" s="11"/>
      <c r="P25" s="6"/>
      <c r="Q25" s="2"/>
      <c r="R25" s="7">
        <f t="shared" si="12"/>
        <v>0</v>
      </c>
      <c r="S25" s="2"/>
      <c r="T25" s="6">
        <v>191.88</v>
      </c>
      <c r="U25" s="2"/>
      <c r="V25" s="7">
        <f t="shared" si="13"/>
        <v>0</v>
      </c>
      <c r="W25" s="2"/>
      <c r="X25" s="6">
        <f t="shared" si="14"/>
        <v>-191.88</v>
      </c>
      <c r="Y25" s="2"/>
      <c r="Z25" s="7">
        <f t="shared" si="15"/>
        <v>-1</v>
      </c>
    </row>
    <row r="26" spans="1:26" s="29" customFormat="1" outlineLevel="1" collapsed="1" x14ac:dyDescent="0.3">
      <c r="A26" s="27"/>
      <c r="B26" s="14" t="str">
        <f>CONCATENATE("     ","*Payroll                                          ")</f>
        <v xml:space="preserve">     *Payroll                                          </v>
      </c>
      <c r="C26" s="14"/>
      <c r="D26" s="1">
        <f>SUM(OSRRefD22_1x_0)</f>
        <v>0</v>
      </c>
      <c r="E26" s="1"/>
      <c r="F26" s="5">
        <f t="shared" ref="F26:F34" si="16">IF(D$12=0,0,D26/D$12)</f>
        <v>0</v>
      </c>
      <c r="G26" s="1"/>
      <c r="H26" s="1">
        <f>SUM(OSRRefH22_1x_0)</f>
        <v>0</v>
      </c>
      <c r="I26" s="1"/>
      <c r="J26" s="5">
        <f t="shared" ref="J26:J34" si="17">IF(H$12=0,0,H26/H$12)</f>
        <v>0</v>
      </c>
      <c r="K26" s="1"/>
      <c r="L26" s="1">
        <f t="shared" ref="L26:L34" si="18">+D26-H26</f>
        <v>0</v>
      </c>
      <c r="M26" s="1"/>
      <c r="N26" s="5">
        <f t="shared" ref="N26:N34" si="19">IF(H26=0,0,L26/H26)</f>
        <v>0</v>
      </c>
      <c r="O26" s="14"/>
      <c r="P26" s="1">
        <f>SUM(OSRRefP22_1x_0)</f>
        <v>0</v>
      </c>
      <c r="Q26" s="1"/>
      <c r="R26" s="5">
        <f t="shared" ref="R26:R34" si="20">IF(P$12=0,0,P26/P$12)</f>
        <v>0</v>
      </c>
      <c r="S26" s="1"/>
      <c r="T26" s="1">
        <f>SUM(OSRRefT22_1x_0)</f>
        <v>2080</v>
      </c>
      <c r="U26" s="1"/>
      <c r="V26" s="5">
        <f t="shared" ref="V26:V34" si="21">IF(T$12=0,0,T26/T$12)</f>
        <v>0</v>
      </c>
      <c r="W26" s="1"/>
      <c r="X26" s="1">
        <f t="shared" ref="X26:X34" si="22">+P26-T26</f>
        <v>-2080</v>
      </c>
      <c r="Y26" s="1"/>
      <c r="Z26" s="5">
        <f t="shared" ref="Z26:Z34" si="23">IF(T26=0,0,X26/T26)</f>
        <v>-1</v>
      </c>
    </row>
    <row r="27" spans="1:26" s="24" customFormat="1" hidden="1" outlineLevel="2" x14ac:dyDescent="0.3">
      <c r="A27" s="28"/>
      <c r="B27" s="11" t="str">
        <f>CONCATENATE("          ", "6002", " - ", "STAFF SALARIES")</f>
        <v xml:space="preserve">          6002 - STAFF SALARIES</v>
      </c>
      <c r="C27" s="11"/>
      <c r="D27" s="6"/>
      <c r="E27" s="2"/>
      <c r="F27" s="7">
        <f t="shared" si="16"/>
        <v>0</v>
      </c>
      <c r="G27" s="2"/>
      <c r="H27" s="6"/>
      <c r="I27" s="2"/>
      <c r="J27" s="7">
        <f t="shared" si="17"/>
        <v>0</v>
      </c>
      <c r="K27" s="2"/>
      <c r="L27" s="6">
        <f t="shared" si="18"/>
        <v>0</v>
      </c>
      <c r="M27" s="2"/>
      <c r="N27" s="7">
        <f t="shared" si="19"/>
        <v>0</v>
      </c>
      <c r="O27" s="11"/>
      <c r="P27" s="6"/>
      <c r="Q27" s="2"/>
      <c r="R27" s="7">
        <f t="shared" si="20"/>
        <v>0</v>
      </c>
      <c r="S27" s="2"/>
      <c r="T27" s="6">
        <v>2080</v>
      </c>
      <c r="U27" s="2"/>
      <c r="V27" s="7">
        <f t="shared" si="21"/>
        <v>0</v>
      </c>
      <c r="W27" s="2"/>
      <c r="X27" s="6">
        <f t="shared" si="22"/>
        <v>-2080</v>
      </c>
      <c r="Y27" s="2"/>
      <c r="Z27" s="7">
        <f t="shared" si="23"/>
        <v>-1</v>
      </c>
    </row>
    <row r="28" spans="1:26" s="29" customFormat="1" outlineLevel="1" collapsed="1" x14ac:dyDescent="0.3">
      <c r="A28" s="27"/>
      <c r="B28" s="14" t="str">
        <f>CONCATENATE("     ","Depreciation                                      ")</f>
        <v xml:space="preserve">     Depreciation                                      </v>
      </c>
      <c r="C28" s="14"/>
      <c r="D28" s="1">
        <f>SUM(OSRRefD22_2x_0)</f>
        <v>0</v>
      </c>
      <c r="E28" s="1"/>
      <c r="F28" s="5">
        <f t="shared" si="16"/>
        <v>0</v>
      </c>
      <c r="G28" s="1"/>
      <c r="H28" s="1">
        <f>SUM(OSRRefH22_2x_0)</f>
        <v>2017.34</v>
      </c>
      <c r="I28" s="1"/>
      <c r="J28" s="5">
        <f t="shared" si="17"/>
        <v>0</v>
      </c>
      <c r="K28" s="1"/>
      <c r="L28" s="1">
        <f t="shared" si="18"/>
        <v>-2017.34</v>
      </c>
      <c r="M28" s="1"/>
      <c r="N28" s="5">
        <f t="shared" si="19"/>
        <v>-1</v>
      </c>
      <c r="O28" s="14"/>
      <c r="P28" s="1">
        <f>SUM(OSRRefP22_2x_0)</f>
        <v>0</v>
      </c>
      <c r="Q28" s="1"/>
      <c r="R28" s="5">
        <f t="shared" si="20"/>
        <v>0</v>
      </c>
      <c r="S28" s="1"/>
      <c r="T28" s="1">
        <f>SUM(OSRRefT22_2x_0)</f>
        <v>12104.04</v>
      </c>
      <c r="U28" s="1"/>
      <c r="V28" s="5">
        <f t="shared" si="21"/>
        <v>0</v>
      </c>
      <c r="W28" s="1"/>
      <c r="X28" s="1">
        <f t="shared" si="22"/>
        <v>-12104.04</v>
      </c>
      <c r="Y28" s="1"/>
      <c r="Z28" s="5">
        <f t="shared" si="23"/>
        <v>-1</v>
      </c>
    </row>
    <row r="29" spans="1:26" s="24" customFormat="1" hidden="1" outlineLevel="2" x14ac:dyDescent="0.3">
      <c r="A29" s="28"/>
      <c r="B29" s="11" t="str">
        <f>CONCATENATE("          ", "6322", " - ", "EQUIPMENT DEPRECIATION EXPENSE")</f>
        <v xml:space="preserve">          6322 - EQUIPMENT DEPRECIATION EXPENSE</v>
      </c>
      <c r="C29" s="11"/>
      <c r="D29" s="6"/>
      <c r="E29" s="2"/>
      <c r="F29" s="7">
        <f t="shared" si="16"/>
        <v>0</v>
      </c>
      <c r="G29" s="2"/>
      <c r="H29" s="6">
        <v>2017.34</v>
      </c>
      <c r="I29" s="2"/>
      <c r="J29" s="7">
        <f t="shared" si="17"/>
        <v>0</v>
      </c>
      <c r="K29" s="2"/>
      <c r="L29" s="6">
        <f t="shared" si="18"/>
        <v>-2017.34</v>
      </c>
      <c r="M29" s="2"/>
      <c r="N29" s="7">
        <f t="shared" si="19"/>
        <v>-1</v>
      </c>
      <c r="O29" s="11"/>
      <c r="P29" s="6"/>
      <c r="Q29" s="2"/>
      <c r="R29" s="7">
        <f t="shared" si="20"/>
        <v>0</v>
      </c>
      <c r="S29" s="2"/>
      <c r="T29" s="6">
        <v>12104.04</v>
      </c>
      <c r="U29" s="2"/>
      <c r="V29" s="7">
        <f t="shared" si="21"/>
        <v>0</v>
      </c>
      <c r="W29" s="2"/>
      <c r="X29" s="6">
        <f t="shared" si="22"/>
        <v>-12104.04</v>
      </c>
      <c r="Y29" s="2"/>
      <c r="Z29" s="7">
        <f t="shared" si="23"/>
        <v>-1</v>
      </c>
    </row>
    <row r="30" spans="1:26" s="29" customFormat="1" outlineLevel="1" collapsed="1" x14ac:dyDescent="0.3">
      <c r="A30" s="27"/>
      <c r="B30" s="14" t="str">
        <f>CONCATENATE("     ","Repair and Maintenance                            ")</f>
        <v xml:space="preserve">     Repair and Maintenance                            </v>
      </c>
      <c r="C30" s="14"/>
      <c r="D30" s="1">
        <f>SUM(OSRRefD22_3x_0)</f>
        <v>0</v>
      </c>
      <c r="E30" s="1"/>
      <c r="F30" s="5">
        <f t="shared" si="16"/>
        <v>0</v>
      </c>
      <c r="G30" s="1"/>
      <c r="H30" s="1">
        <f>SUM(OSRRefH22_3x_0)</f>
        <v>72.349999999999994</v>
      </c>
      <c r="I30" s="1"/>
      <c r="J30" s="5">
        <f t="shared" si="17"/>
        <v>0</v>
      </c>
      <c r="K30" s="1"/>
      <c r="L30" s="1">
        <f t="shared" si="18"/>
        <v>-72.349999999999994</v>
      </c>
      <c r="M30" s="1"/>
      <c r="N30" s="5">
        <f t="shared" si="19"/>
        <v>-1</v>
      </c>
      <c r="O30" s="14"/>
      <c r="P30" s="1">
        <f>SUM(OSRRefP22_3x_0)</f>
        <v>0</v>
      </c>
      <c r="Q30" s="1"/>
      <c r="R30" s="5">
        <f t="shared" si="20"/>
        <v>0</v>
      </c>
      <c r="S30" s="1"/>
      <c r="T30" s="1">
        <f>SUM(OSRRefT22_3x_0)</f>
        <v>223.3</v>
      </c>
      <c r="U30" s="1"/>
      <c r="V30" s="5">
        <f t="shared" si="21"/>
        <v>0</v>
      </c>
      <c r="W30" s="1"/>
      <c r="X30" s="1">
        <f t="shared" si="22"/>
        <v>-223.3</v>
      </c>
      <c r="Y30" s="1"/>
      <c r="Z30" s="5">
        <f t="shared" si="23"/>
        <v>-1</v>
      </c>
    </row>
    <row r="31" spans="1:26" s="24" customFormat="1" hidden="1" outlineLevel="2" x14ac:dyDescent="0.3">
      <c r="A31" s="28"/>
      <c r="B31" s="11" t="str">
        <f>CONCATENATE("          ", "6373", " - ", "MAINTENANCE CONTRACTS")</f>
        <v xml:space="preserve">          6373 - MAINTENANCE CONTRACTS</v>
      </c>
      <c r="C31" s="11"/>
      <c r="D31" s="6"/>
      <c r="E31" s="2"/>
      <c r="F31" s="7">
        <f t="shared" si="16"/>
        <v>0</v>
      </c>
      <c r="G31" s="2"/>
      <c r="H31" s="6">
        <v>72.349999999999994</v>
      </c>
      <c r="I31" s="2"/>
      <c r="J31" s="7">
        <f t="shared" si="17"/>
        <v>0</v>
      </c>
      <c r="K31" s="2"/>
      <c r="L31" s="6">
        <f t="shared" si="18"/>
        <v>-72.349999999999994</v>
      </c>
      <c r="M31" s="2"/>
      <c r="N31" s="7">
        <f t="shared" si="19"/>
        <v>-1</v>
      </c>
      <c r="O31" s="11"/>
      <c r="P31" s="6">
        <v>0</v>
      </c>
      <c r="Q31" s="2"/>
      <c r="R31" s="7">
        <f t="shared" si="20"/>
        <v>0</v>
      </c>
      <c r="S31" s="2"/>
      <c r="T31" s="6">
        <v>223.3</v>
      </c>
      <c r="U31" s="2"/>
      <c r="V31" s="7">
        <f t="shared" si="21"/>
        <v>0</v>
      </c>
      <c r="W31" s="2"/>
      <c r="X31" s="6">
        <f t="shared" si="22"/>
        <v>-223.3</v>
      </c>
      <c r="Y31" s="2"/>
      <c r="Z31" s="7">
        <f t="shared" si="23"/>
        <v>-1</v>
      </c>
    </row>
    <row r="32" spans="1:26" s="29" customFormat="1" outlineLevel="1" collapsed="1" x14ac:dyDescent="0.3">
      <c r="A32" s="27"/>
      <c r="B32" s="14" t="str">
        <f>CONCATENATE("     ","Services                                          ")</f>
        <v xml:space="preserve">     Services                                          </v>
      </c>
      <c r="C32" s="14"/>
      <c r="D32" s="1">
        <f>SUM(OSRRefD22_4x_0)</f>
        <v>0</v>
      </c>
      <c r="E32" s="1"/>
      <c r="F32" s="5">
        <f t="shared" si="16"/>
        <v>0</v>
      </c>
      <c r="G32" s="1"/>
      <c r="H32" s="1">
        <f>SUM(OSRRefH22_4x_0)</f>
        <v>0</v>
      </c>
      <c r="I32" s="1"/>
      <c r="J32" s="5">
        <f t="shared" si="17"/>
        <v>0</v>
      </c>
      <c r="K32" s="1"/>
      <c r="L32" s="1">
        <f t="shared" si="18"/>
        <v>0</v>
      </c>
      <c r="M32" s="1"/>
      <c r="N32" s="5">
        <f t="shared" si="19"/>
        <v>0</v>
      </c>
      <c r="O32" s="14"/>
      <c r="P32" s="1">
        <f>SUM(OSRRefP22_4x_0)</f>
        <v>0</v>
      </c>
      <c r="Q32" s="1"/>
      <c r="R32" s="5">
        <f t="shared" si="20"/>
        <v>0</v>
      </c>
      <c r="S32" s="1"/>
      <c r="T32" s="1">
        <f>SUM(OSRRefT22_4x_0)</f>
        <v>-1053.52</v>
      </c>
      <c r="U32" s="1"/>
      <c r="V32" s="5">
        <f t="shared" si="21"/>
        <v>0</v>
      </c>
      <c r="W32" s="1"/>
      <c r="X32" s="1">
        <f t="shared" si="22"/>
        <v>1053.52</v>
      </c>
      <c r="Y32" s="1"/>
      <c r="Z32" s="5">
        <f t="shared" si="23"/>
        <v>-1</v>
      </c>
    </row>
    <row r="33" spans="1:26" s="24" customFormat="1" hidden="1" outlineLevel="2" x14ac:dyDescent="0.3">
      <c r="A33" s="28"/>
      <c r="B33" s="11" t="str">
        <f>CONCATENATE("          ", "6282", " - ", "JANITORIAL/EXTERMINATOR EXPENS")</f>
        <v xml:space="preserve">          6282 - JANITORIAL/EXTERMINATOR EXPENS</v>
      </c>
      <c r="C33" s="11"/>
      <c r="D33" s="6"/>
      <c r="E33" s="2"/>
      <c r="F33" s="7">
        <f t="shared" si="16"/>
        <v>0</v>
      </c>
      <c r="G33" s="2"/>
      <c r="H33" s="6"/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/>
      <c r="Q33" s="2"/>
      <c r="R33" s="7">
        <f t="shared" si="20"/>
        <v>0</v>
      </c>
      <c r="S33" s="2"/>
      <c r="T33" s="6">
        <v>-567.28</v>
      </c>
      <c r="U33" s="2"/>
      <c r="V33" s="7">
        <f t="shared" si="21"/>
        <v>0</v>
      </c>
      <c r="W33" s="2"/>
      <c r="X33" s="6">
        <f t="shared" si="22"/>
        <v>567.28</v>
      </c>
      <c r="Y33" s="2"/>
      <c r="Z33" s="7">
        <f t="shared" si="23"/>
        <v>-1</v>
      </c>
    </row>
    <row r="34" spans="1:26" s="24" customFormat="1" hidden="1" outlineLevel="2" x14ac:dyDescent="0.3">
      <c r="A34" s="28"/>
      <c r="B34" s="11" t="str">
        <f>CONCATENATE("          ", "6285", " - ", "JANITORIAL SERVICES")</f>
        <v xml:space="preserve">          6285 - JANITORIAL SERVICES</v>
      </c>
      <c r="C34" s="11"/>
      <c r="D34" s="6"/>
      <c r="E34" s="2"/>
      <c r="F34" s="7">
        <f t="shared" si="16"/>
        <v>0</v>
      </c>
      <c r="G34" s="2"/>
      <c r="H34" s="6"/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-486.24</v>
      </c>
      <c r="U34" s="2"/>
      <c r="V34" s="7">
        <f t="shared" si="21"/>
        <v>0</v>
      </c>
      <c r="W34" s="2"/>
      <c r="X34" s="6">
        <f t="shared" si="22"/>
        <v>486.24</v>
      </c>
      <c r="Y34" s="2"/>
      <c r="Z34" s="7">
        <f t="shared" si="23"/>
        <v>-1</v>
      </c>
    </row>
    <row r="35" spans="1:26" s="29" customFormat="1" outlineLevel="1" collapsed="1" x14ac:dyDescent="0.3">
      <c r="A35" s="27"/>
      <c r="B35" s="14" t="str">
        <f>CONCATENATE("     ","Supplies                                          ")</f>
        <v xml:space="preserve">     Supplies                                          </v>
      </c>
      <c r="C35" s="14"/>
      <c r="D35" s="1">
        <f>SUM(OSRRefD22_5x_0)</f>
        <v>0</v>
      </c>
      <c r="E35" s="1"/>
      <c r="F35" s="5">
        <f t="shared" ref="F35:F40" si="24">IF(D$12=0,0,D35/D$12)</f>
        <v>0</v>
      </c>
      <c r="G35" s="1"/>
      <c r="H35" s="1">
        <f>SUM(OSRRefH22_5x_0)</f>
        <v>0</v>
      </c>
      <c r="I35" s="1"/>
      <c r="J35" s="5">
        <f t="shared" ref="J35:J40" si="25">IF(H$12=0,0,H35/H$12)</f>
        <v>0</v>
      </c>
      <c r="K35" s="1"/>
      <c r="L35" s="1">
        <f t="shared" ref="L35:L40" si="26">+D35-H35</f>
        <v>0</v>
      </c>
      <c r="M35" s="1"/>
      <c r="N35" s="5">
        <f t="shared" ref="N35:N40" si="27">IF(H35=0,0,L35/H35)</f>
        <v>0</v>
      </c>
      <c r="O35" s="14"/>
      <c r="P35" s="1">
        <f>SUM(OSRRefP22_5x_0)</f>
        <v>0</v>
      </c>
      <c r="Q35" s="1"/>
      <c r="R35" s="5">
        <f t="shared" ref="R35:R40" si="28">IF(P$12=0,0,P35/P$12)</f>
        <v>0</v>
      </c>
      <c r="S35" s="1"/>
      <c r="T35" s="1">
        <f>SUM(OSRRefT22_5x_0)</f>
        <v>131.30000000000001</v>
      </c>
      <c r="U35" s="1"/>
      <c r="V35" s="5">
        <f t="shared" ref="V35:V40" si="29">IF(T$12=0,0,T35/T$12)</f>
        <v>0</v>
      </c>
      <c r="W35" s="1"/>
      <c r="X35" s="1">
        <f t="shared" ref="X35:X40" si="30">+P35-T35</f>
        <v>-131.30000000000001</v>
      </c>
      <c r="Y35" s="1"/>
      <c r="Z35" s="5">
        <f t="shared" ref="Z35:Z40" si="31">IF(T35=0,0,X35/T35)</f>
        <v>-1</v>
      </c>
    </row>
    <row r="36" spans="1:26" s="24" customFormat="1" hidden="1" outlineLevel="2" x14ac:dyDescent="0.3">
      <c r="A36" s="28"/>
      <c r="B36" s="11" t="str">
        <f>CONCATENATE("          ", "6241", " - ", "OFFICE EXPENSE")</f>
        <v xml:space="preserve">          6241 - OFFICE EXPENSE</v>
      </c>
      <c r="C36" s="11"/>
      <c r="D36" s="6"/>
      <c r="E36" s="2"/>
      <c r="F36" s="7">
        <f t="shared" si="24"/>
        <v>0</v>
      </c>
      <c r="G36" s="2"/>
      <c r="H36" s="6"/>
      <c r="I36" s="2"/>
      <c r="J36" s="7">
        <f t="shared" si="25"/>
        <v>0</v>
      </c>
      <c r="K36" s="2"/>
      <c r="L36" s="6">
        <f t="shared" si="26"/>
        <v>0</v>
      </c>
      <c r="M36" s="2"/>
      <c r="N36" s="7">
        <f t="shared" si="27"/>
        <v>0</v>
      </c>
      <c r="O36" s="11"/>
      <c r="P36" s="6"/>
      <c r="Q36" s="2"/>
      <c r="R36" s="7">
        <f t="shared" si="28"/>
        <v>0</v>
      </c>
      <c r="S36" s="2"/>
      <c r="T36" s="6">
        <v>131.30000000000001</v>
      </c>
      <c r="U36" s="2"/>
      <c r="V36" s="7">
        <f t="shared" si="29"/>
        <v>0</v>
      </c>
      <c r="W36" s="2"/>
      <c r="X36" s="6">
        <f t="shared" si="30"/>
        <v>-131.30000000000001</v>
      </c>
      <c r="Y36" s="2"/>
      <c r="Z36" s="7">
        <f t="shared" si="31"/>
        <v>-1</v>
      </c>
    </row>
    <row r="37" spans="1:26" s="29" customFormat="1" outlineLevel="1" collapsed="1" x14ac:dyDescent="0.3">
      <c r="A37" s="27"/>
      <c r="B37" s="14" t="str">
        <f>CONCATENATE("     ","Telephone/Data Lines                              ")</f>
        <v xml:space="preserve">     Telephone/Data Lines                              </v>
      </c>
      <c r="C37" s="14"/>
      <c r="D37" s="1">
        <f>SUM(OSRRefD22_6x_0)</f>
        <v>0</v>
      </c>
      <c r="E37" s="1"/>
      <c r="F37" s="5">
        <f t="shared" si="24"/>
        <v>0</v>
      </c>
      <c r="G37" s="1"/>
      <c r="H37" s="1">
        <f>SUM(OSRRefH22_6x_0)</f>
        <v>0</v>
      </c>
      <c r="I37" s="1"/>
      <c r="J37" s="5">
        <f t="shared" si="25"/>
        <v>0</v>
      </c>
      <c r="K37" s="1"/>
      <c r="L37" s="1">
        <f t="shared" si="26"/>
        <v>0</v>
      </c>
      <c r="M37" s="1"/>
      <c r="N37" s="5">
        <f t="shared" si="27"/>
        <v>0</v>
      </c>
      <c r="O37" s="14"/>
      <c r="P37" s="1">
        <f>SUM(OSRRefP22_6x_0)</f>
        <v>0</v>
      </c>
      <c r="Q37" s="1"/>
      <c r="R37" s="5">
        <f t="shared" si="28"/>
        <v>0</v>
      </c>
      <c r="S37" s="1"/>
      <c r="T37" s="1">
        <f>SUM(OSRRefT22_6x_0)</f>
        <v>85.2</v>
      </c>
      <c r="U37" s="1"/>
      <c r="V37" s="5">
        <f t="shared" si="29"/>
        <v>0</v>
      </c>
      <c r="W37" s="1"/>
      <c r="X37" s="1">
        <f t="shared" si="30"/>
        <v>-85.2</v>
      </c>
      <c r="Y37" s="1"/>
      <c r="Z37" s="5">
        <f t="shared" si="31"/>
        <v>-1</v>
      </c>
    </row>
    <row r="38" spans="1:26" s="24" customFormat="1" hidden="1" outlineLevel="2" x14ac:dyDescent="0.3">
      <c r="A38" s="28"/>
      <c r="B38" s="11" t="str">
        <f>CONCATENATE("          ", "6309", " - ", "TELEPHONE")</f>
        <v xml:space="preserve">          6309 - TELEPHONE</v>
      </c>
      <c r="C38" s="11"/>
      <c r="D38" s="6"/>
      <c r="E38" s="2"/>
      <c r="F38" s="7">
        <f t="shared" si="24"/>
        <v>0</v>
      </c>
      <c r="G38" s="2"/>
      <c r="H38" s="6"/>
      <c r="I38" s="2"/>
      <c r="J38" s="7">
        <f t="shared" si="25"/>
        <v>0</v>
      </c>
      <c r="K38" s="2"/>
      <c r="L38" s="6">
        <f t="shared" si="26"/>
        <v>0</v>
      </c>
      <c r="M38" s="2"/>
      <c r="N38" s="7">
        <f t="shared" si="27"/>
        <v>0</v>
      </c>
      <c r="O38" s="11"/>
      <c r="P38" s="6"/>
      <c r="Q38" s="2"/>
      <c r="R38" s="7">
        <f t="shared" si="28"/>
        <v>0</v>
      </c>
      <c r="S38" s="2"/>
      <c r="T38" s="6">
        <v>85.2</v>
      </c>
      <c r="U38" s="2"/>
      <c r="V38" s="7">
        <f t="shared" si="29"/>
        <v>0</v>
      </c>
      <c r="W38" s="2"/>
      <c r="X38" s="6">
        <f t="shared" si="30"/>
        <v>-85.2</v>
      </c>
      <c r="Y38" s="2"/>
      <c r="Z38" s="7">
        <f t="shared" si="31"/>
        <v>-1</v>
      </c>
    </row>
    <row r="39" spans="1:26" s="29" customFormat="1" outlineLevel="1" collapsed="1" x14ac:dyDescent="0.3">
      <c r="A39" s="27"/>
      <c r="B39" s="14" t="str">
        <f>CONCATENATE("     ","Utilities                                         ")</f>
        <v xml:space="preserve">     Utilities                                         </v>
      </c>
      <c r="C39" s="14"/>
      <c r="D39" s="1">
        <f>SUM(OSRRefD22_7x_0)</f>
        <v>0</v>
      </c>
      <c r="E39" s="1"/>
      <c r="F39" s="5">
        <f t="shared" si="24"/>
        <v>0</v>
      </c>
      <c r="G39" s="1"/>
      <c r="H39" s="1">
        <f>SUM(OSRRefH22_7x_0)</f>
        <v>208</v>
      </c>
      <c r="I39" s="1"/>
      <c r="J39" s="5">
        <f t="shared" si="25"/>
        <v>0</v>
      </c>
      <c r="K39" s="1"/>
      <c r="L39" s="1">
        <f t="shared" si="26"/>
        <v>-208</v>
      </c>
      <c r="M39" s="1"/>
      <c r="N39" s="5">
        <f t="shared" si="27"/>
        <v>-1</v>
      </c>
      <c r="O39" s="14"/>
      <c r="P39" s="1">
        <f>SUM(OSRRefP22_7x_0)</f>
        <v>0</v>
      </c>
      <c r="Q39" s="1"/>
      <c r="R39" s="5">
        <f t="shared" si="28"/>
        <v>0</v>
      </c>
      <c r="S39" s="1"/>
      <c r="T39" s="1">
        <f>SUM(OSRRefT22_7x_0)</f>
        <v>624</v>
      </c>
      <c r="U39" s="1"/>
      <c r="V39" s="5">
        <f t="shared" si="29"/>
        <v>0</v>
      </c>
      <c r="W39" s="1"/>
      <c r="X39" s="1">
        <f t="shared" si="30"/>
        <v>-624</v>
      </c>
      <c r="Y39" s="1"/>
      <c r="Z39" s="5">
        <f t="shared" si="31"/>
        <v>-1</v>
      </c>
    </row>
    <row r="40" spans="1:26" s="24" customFormat="1" hidden="1" outlineLevel="2" x14ac:dyDescent="0.3">
      <c r="A40" s="28"/>
      <c r="B40" s="11" t="str">
        <f>CONCATENATE("          ", "6274", " - ", "UTILITIES")</f>
        <v xml:space="preserve">          6274 - UTILITIES</v>
      </c>
      <c r="C40" s="11"/>
      <c r="D40" s="6"/>
      <c r="E40" s="2"/>
      <c r="F40" s="7">
        <f t="shared" si="24"/>
        <v>0</v>
      </c>
      <c r="G40" s="2"/>
      <c r="H40" s="6">
        <v>208</v>
      </c>
      <c r="I40" s="2"/>
      <c r="J40" s="7">
        <f t="shared" si="25"/>
        <v>0</v>
      </c>
      <c r="K40" s="2"/>
      <c r="L40" s="6">
        <f t="shared" si="26"/>
        <v>-208</v>
      </c>
      <c r="M40" s="2"/>
      <c r="N40" s="7">
        <f t="shared" si="27"/>
        <v>-1</v>
      </c>
      <c r="O40" s="11"/>
      <c r="P40" s="6"/>
      <c r="Q40" s="2"/>
      <c r="R40" s="7">
        <f t="shared" si="28"/>
        <v>0</v>
      </c>
      <c r="S40" s="2"/>
      <c r="T40" s="6">
        <v>624</v>
      </c>
      <c r="U40" s="2"/>
      <c r="V40" s="7">
        <f t="shared" si="29"/>
        <v>0</v>
      </c>
      <c r="W40" s="2"/>
      <c r="X40" s="6">
        <f t="shared" si="30"/>
        <v>-624</v>
      </c>
      <c r="Y40" s="2"/>
      <c r="Z40" s="7">
        <f t="shared" si="31"/>
        <v>-1</v>
      </c>
    </row>
    <row r="41" spans="1:26" s="53" customFormat="1" x14ac:dyDescent="0.3">
      <c r="A41" s="37"/>
      <c r="B41" s="37"/>
      <c r="C41" s="37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7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3">
      <c r="A42" s="10"/>
      <c r="B42" s="25" t="s">
        <v>292</v>
      </c>
      <c r="C42" s="10"/>
      <c r="D42" s="4">
        <f>SUM(0)</f>
        <v>0</v>
      </c>
      <c r="E42" s="4"/>
      <c r="F42" s="12">
        <f>IF(D$12=0,0,D42/D$12)</f>
        <v>0</v>
      </c>
      <c r="G42" s="4"/>
      <c r="H42" s="4">
        <f>SUM(0)</f>
        <v>0</v>
      </c>
      <c r="I42" s="4"/>
      <c r="J42" s="12">
        <f>IF(H$12=0,0,H42/H$12)</f>
        <v>0</v>
      </c>
      <c r="K42" s="4"/>
      <c r="L42" s="4">
        <f>+D42-H42</f>
        <v>0</v>
      </c>
      <c r="M42" s="4"/>
      <c r="N42" s="12">
        <f>IF(H42=0,0,L42/H42)</f>
        <v>0</v>
      </c>
      <c r="O42" s="10"/>
      <c r="P42" s="4">
        <f>SUM(0)</f>
        <v>0</v>
      </c>
      <c r="Q42" s="4"/>
      <c r="R42" s="12">
        <f>IF(P$12=0,0,P42/P$12)</f>
        <v>0</v>
      </c>
      <c r="S42" s="4"/>
      <c r="T42" s="4">
        <f>SUM(0)</f>
        <v>0</v>
      </c>
      <c r="U42" s="4"/>
      <c r="V42" s="12">
        <f>IF(T$12=0,0,T42/T$12)</f>
        <v>0</v>
      </c>
      <c r="W42" s="4"/>
      <c r="X42" s="4">
        <f>+P42-T42</f>
        <v>0</v>
      </c>
      <c r="Y42" s="4"/>
      <c r="Z42" s="12">
        <f>IF(T42=0,0,X42/T42)</f>
        <v>0</v>
      </c>
    </row>
    <row r="43" spans="1:26" x14ac:dyDescent="0.3">
      <c r="A43" s="9"/>
      <c r="B43" s="10"/>
      <c r="C43" s="10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O43" s="10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x14ac:dyDescent="0.3">
      <c r="A44" s="10"/>
      <c r="B44" s="26" t="s">
        <v>276</v>
      </c>
      <c r="C44" s="26"/>
      <c r="D44" s="20">
        <f>+D17-D19+D42</f>
        <v>0</v>
      </c>
      <c r="E44" s="13"/>
      <c r="F44" s="21">
        <f>IF(D$12=0,0,D44/D$12)</f>
        <v>0</v>
      </c>
      <c r="G44" s="13"/>
      <c r="H44" s="20">
        <f>+H17-H19+H42</f>
        <v>-2297.69</v>
      </c>
      <c r="I44" s="13"/>
      <c r="J44" s="21">
        <f>IF(H$12=0,0,H44/H$12)</f>
        <v>0</v>
      </c>
      <c r="K44" s="15"/>
      <c r="L44" s="20">
        <f>+D44-H44</f>
        <v>2297.69</v>
      </c>
      <c r="M44" s="15"/>
      <c r="N44" s="21">
        <f>IF(H44=0,0,L44/H44)</f>
        <v>-1</v>
      </c>
      <c r="O44" s="25"/>
      <c r="P44" s="20">
        <f>+P17-P19+P42</f>
        <v>0</v>
      </c>
      <c r="Q44" s="13"/>
      <c r="R44" s="21">
        <f>IF(P$12=0,0,P44/P$12)</f>
        <v>0</v>
      </c>
      <c r="S44" s="13"/>
      <c r="T44" s="20">
        <f>+T17-T19+T42</f>
        <v>-14567.96</v>
      </c>
      <c r="U44" s="13"/>
      <c r="V44" s="21">
        <f>IF(T$12=0,0,T44/T$12)</f>
        <v>0</v>
      </c>
      <c r="W44" s="15"/>
      <c r="X44" s="20">
        <f>+P44-T44</f>
        <v>14567.96</v>
      </c>
      <c r="Y44" s="15"/>
      <c r="Z44" s="21">
        <f>IF(T44=0,0,X44/T44)</f>
        <v>-1</v>
      </c>
    </row>
    <row r="45" spans="1:26" x14ac:dyDescent="0.3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3">
      <c r="A46" s="51"/>
      <c r="B46" s="10" t="s">
        <v>127</v>
      </c>
      <c r="C46" s="10"/>
      <c r="D46" s="4"/>
      <c r="E46" s="4"/>
      <c r="F46" s="12">
        <f>IF(D$12=0,0,D46/D$12)</f>
        <v>0</v>
      </c>
      <c r="G46" s="4"/>
      <c r="H46" s="4"/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/>
      <c r="Q46" s="4"/>
      <c r="R46" s="12">
        <f>IF(P$12=0,0,P46/P$12)</f>
        <v>0</v>
      </c>
      <c r="S46" s="4"/>
      <c r="T46" s="4"/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3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ht="15" thickBot="1" x14ac:dyDescent="0.35">
      <c r="A48" s="10"/>
      <c r="B48" s="26" t="s">
        <v>125</v>
      </c>
      <c r="C48" s="26"/>
      <c r="D48" s="32">
        <f>+D44-D46</f>
        <v>0</v>
      </c>
      <c r="E48" s="13"/>
      <c r="F48" s="35">
        <f>IF(D$12=0,0,D48/D$12)</f>
        <v>0</v>
      </c>
      <c r="G48" s="13"/>
      <c r="H48" s="32">
        <f>+H44-H46</f>
        <v>-2297.69</v>
      </c>
      <c r="I48" s="13"/>
      <c r="J48" s="35">
        <f>IF(H$12=0,0,H48/H$12)</f>
        <v>0</v>
      </c>
      <c r="K48" s="15"/>
      <c r="L48" s="32">
        <f>D48-H48</f>
        <v>2297.69</v>
      </c>
      <c r="M48" s="15"/>
      <c r="N48" s="35">
        <f>IF(H48=0,0,L48/H48)</f>
        <v>-1</v>
      </c>
      <c r="O48" s="25"/>
      <c r="P48" s="32">
        <f>+P44-P46</f>
        <v>0</v>
      </c>
      <c r="Q48" s="13"/>
      <c r="R48" s="35">
        <f>IF(P$12=0,0,P48/P$12)</f>
        <v>0</v>
      </c>
      <c r="S48" s="13"/>
      <c r="T48" s="32">
        <f>+T44-T46</f>
        <v>-14567.96</v>
      </c>
      <c r="U48" s="13"/>
      <c r="V48" s="35">
        <f>IF(T$12=0,0,T48/T$12)</f>
        <v>0</v>
      </c>
      <c r="W48" s="15"/>
      <c r="X48" s="32">
        <f>P48-T48</f>
        <v>14567.96</v>
      </c>
      <c r="Y48" s="15"/>
      <c r="Z48" s="35">
        <f>IF(T48=0,0,X48/T48)</f>
        <v>-1</v>
      </c>
    </row>
    <row r="49" spans="1:26" ht="15" thickTop="1" x14ac:dyDescent="0.3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x14ac:dyDescent="0.3">
      <c r="A50" s="9"/>
      <c r="B50" s="9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" thickBot="1" x14ac:dyDescent="0.35">
      <c r="A51" s="10"/>
      <c r="B51" s="26" t="s">
        <v>293</v>
      </c>
      <c r="C51" s="26"/>
      <c r="D51" s="31">
        <f>SUM(D48:D50)</f>
        <v>0</v>
      </c>
      <c r="E51" s="13"/>
      <c r="F51" s="33">
        <f>IF(D$12=0,0,D51/D$12)</f>
        <v>0</v>
      </c>
      <c r="G51" s="13"/>
      <c r="H51" s="31">
        <f>SUM(H48:H50)</f>
        <v>-2297.69</v>
      </c>
      <c r="I51" s="13"/>
      <c r="J51" s="33">
        <f>IF(H$12=0,0,H51/H$12)</f>
        <v>0</v>
      </c>
      <c r="K51" s="15"/>
      <c r="L51" s="31">
        <f>+D51-H51</f>
        <v>2297.69</v>
      </c>
      <c r="M51" s="15"/>
      <c r="N51" s="33">
        <f>IF(H51=0,0,L51/H51)</f>
        <v>-1</v>
      </c>
      <c r="O51" s="25"/>
      <c r="P51" s="31">
        <f>SUM(P48:P50)</f>
        <v>0</v>
      </c>
      <c r="Q51" s="13"/>
      <c r="R51" s="33">
        <f>IF(P$12=0,0,P51/P$12)</f>
        <v>0</v>
      </c>
      <c r="S51" s="13"/>
      <c r="T51" s="31">
        <f>SUM(T48:T50)</f>
        <v>-14567.96</v>
      </c>
      <c r="U51" s="13"/>
      <c r="V51" s="33">
        <f>IF(T$12=0,0,T51/T$12)</f>
        <v>0</v>
      </c>
      <c r="W51" s="15"/>
      <c r="X51" s="31">
        <f>+P51-T51</f>
        <v>14567.96</v>
      </c>
      <c r="Y51" s="15"/>
      <c r="Z51" s="33">
        <f>IF(T51=0,0,X51/T51)</f>
        <v>-1</v>
      </c>
    </row>
    <row r="52" spans="1:26" ht="15" thickTop="1" x14ac:dyDescent="0.3">
      <c r="A52" s="9"/>
      <c r="C52" s="9"/>
      <c r="D52" s="17"/>
      <c r="E52" s="17"/>
      <c r="G52" s="17"/>
      <c r="H52" s="17"/>
      <c r="I52" s="17"/>
      <c r="J52" s="43"/>
      <c r="K52" s="17"/>
      <c r="L52" s="17"/>
      <c r="M52" s="17"/>
      <c r="P52" s="17"/>
      <c r="Q52" s="17"/>
      <c r="R52" s="43"/>
      <c r="S52" s="17"/>
      <c r="T52" s="17"/>
      <c r="U52" s="17"/>
      <c r="V52" s="43"/>
      <c r="W52" s="17"/>
      <c r="X52" s="17"/>
    </row>
    <row r="53" spans="1:26" x14ac:dyDescent="0.3">
      <c r="A53" s="9"/>
      <c r="B53" s="60">
        <v>44575.854680405093</v>
      </c>
      <c r="D53" s="17"/>
      <c r="E53" s="17"/>
      <c r="G53" s="17"/>
      <c r="H53" s="17"/>
      <c r="I53" s="17"/>
      <c r="J53" s="43"/>
      <c r="K53" s="17"/>
      <c r="L53" s="17"/>
      <c r="M53" s="17"/>
      <c r="P53" s="17"/>
      <c r="Q53" s="17"/>
      <c r="R53" s="43"/>
      <c r="S53" s="17"/>
      <c r="T53" s="17"/>
      <c r="U53" s="17"/>
      <c r="V53" s="43"/>
      <c r="W53" s="17"/>
      <c r="X53" s="17"/>
    </row>
    <row r="54" spans="1:26" x14ac:dyDescent="0.3">
      <c r="A54" s="9"/>
      <c r="B54" s="57" t="s">
        <v>56</v>
      </c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3">
      <c r="A55" s="9"/>
      <c r="B55" s="59"/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  <row r="56" spans="1:26" x14ac:dyDescent="0.3"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217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","325", " - ", "Outpost C-Store")</f>
        <v>Department 325 - Outpost C-Store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12407.470000000001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12407.470000000001</v>
      </c>
      <c r="M12" s="4"/>
      <c r="N12" s="12">
        <f t="shared" ref="N12:N14" si="1">IF(H12=0,0,L12/H12)</f>
        <v>0</v>
      </c>
      <c r="O12" s="10"/>
      <c r="P12" s="4">
        <f>SUM(OSRRefP13x_0)</f>
        <v>75708.78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75708.78</v>
      </c>
      <c r="Y12" s="4"/>
      <c r="Z12" s="12">
        <f t="shared" ref="Z12:Z14" si="3">IF(T12=0,0,X12/T12)</f>
        <v>0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--2128.3</f>
        <v>2128.3000000000002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2128.3000000000002</v>
      </c>
      <c r="M13" s="2"/>
      <c r="N13" s="19">
        <f t="shared" si="1"/>
        <v>0</v>
      </c>
      <c r="O13" s="11"/>
      <c r="P13" s="2">
        <f>--12750.65</f>
        <v>12750.65</v>
      </c>
      <c r="Q13" s="2"/>
      <c r="R13" s="19"/>
      <c r="S13" s="2"/>
      <c r="T13" s="2">
        <f t="shared" ref="T13:T14" si="5">0</f>
        <v>0</v>
      </c>
      <c r="U13" s="2"/>
      <c r="V13" s="19"/>
      <c r="W13" s="2"/>
      <c r="X13" s="2">
        <f t="shared" si="2"/>
        <v>12750.65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--10279.17</f>
        <v>10279.17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10279.17</v>
      </c>
      <c r="M14" s="2"/>
      <c r="N14" s="19">
        <f t="shared" si="1"/>
        <v>0</v>
      </c>
      <c r="O14" s="11"/>
      <c r="P14" s="2">
        <f>--62958.13</f>
        <v>62958.13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62958.13</v>
      </c>
      <c r="Y14" s="2"/>
      <c r="Z14" s="19">
        <f t="shared" si="3"/>
        <v>0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5" t="s">
        <v>256</v>
      </c>
      <c r="C16" s="10"/>
      <c r="D16" s="4">
        <f>SUM(OSRRefD16x_0)</f>
        <v>7713.2900000000009</v>
      </c>
      <c r="E16" s="4"/>
      <c r="F16" s="12">
        <f t="shared" ref="F16:F18" si="6">IF(D$12=0,0,D16/D$12)</f>
        <v>0.62166501309291899</v>
      </c>
      <c r="G16" s="4"/>
      <c r="H16" s="4">
        <f>SUM(OSRRefH16x_0)</f>
        <v>-206.63</v>
      </c>
      <c r="I16" s="4"/>
      <c r="J16" s="12">
        <f t="shared" ref="J16:J18" si="7">IF(H$12=0,0,H16/H$12)</f>
        <v>0</v>
      </c>
      <c r="K16" s="4"/>
      <c r="L16" s="4">
        <f t="shared" ref="L16:L18" si="8">+D16-H16</f>
        <v>7919.920000000001</v>
      </c>
      <c r="M16" s="4"/>
      <c r="N16" s="12">
        <f t="shared" ref="N16:N18" si="9">IF(H16=0,0,L16/H16)</f>
        <v>-38.328993853748251</v>
      </c>
      <c r="O16" s="10"/>
      <c r="P16" s="4">
        <f>SUM(OSRRefP16x_0)</f>
        <v>37827.11</v>
      </c>
      <c r="Q16" s="4"/>
      <c r="R16" s="12">
        <f t="shared" ref="R16:R18" si="10">IF(P$12=0,0,P16/P$12)</f>
        <v>0.4996396719112367</v>
      </c>
      <c r="S16" s="4"/>
      <c r="T16" s="4">
        <f>SUM(OSRRefT16x_0)</f>
        <v>10641.24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27185.870000000003</v>
      </c>
      <c r="Y16" s="4"/>
      <c r="Z16" s="12">
        <f t="shared" ref="Z16:Z18" si="13">IF(T16=0,0,X16/T16)</f>
        <v>2.5547652341268501</v>
      </c>
    </row>
    <row r="17" spans="1:26" s="24" customFormat="1" hidden="1" outlineLevel="1" x14ac:dyDescent="0.3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1757.73</v>
      </c>
      <c r="E17" s="2"/>
      <c r="F17" s="19">
        <f t="shared" si="6"/>
        <v>0.14166707636609235</v>
      </c>
      <c r="G17" s="2"/>
      <c r="H17" s="2">
        <v>-206.63</v>
      </c>
      <c r="I17" s="2"/>
      <c r="J17" s="19">
        <f t="shared" si="7"/>
        <v>0</v>
      </c>
      <c r="K17" s="2"/>
      <c r="L17" s="2">
        <f t="shared" si="8"/>
        <v>1964.3600000000001</v>
      </c>
      <c r="M17" s="2"/>
      <c r="N17" s="19">
        <f t="shared" si="9"/>
        <v>-9.5066544064269483</v>
      </c>
      <c r="O17" s="11"/>
      <c r="P17" s="2">
        <v>41654.19</v>
      </c>
      <c r="Q17" s="2"/>
      <c r="R17" s="19">
        <f t="shared" si="10"/>
        <v>0.55018968737839924</v>
      </c>
      <c r="S17" s="2"/>
      <c r="T17" s="2">
        <v>-987.76</v>
      </c>
      <c r="U17" s="2"/>
      <c r="V17" s="19">
        <f t="shared" si="11"/>
        <v>0</v>
      </c>
      <c r="W17" s="2"/>
      <c r="X17" s="2">
        <f t="shared" si="12"/>
        <v>42641.950000000004</v>
      </c>
      <c r="Y17" s="2"/>
      <c r="Z17" s="19">
        <f t="shared" si="13"/>
        <v>-43.170355146999277</v>
      </c>
    </row>
    <row r="18" spans="1:26" s="24" customFormat="1" hidden="1" outlineLevel="1" x14ac:dyDescent="0.3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5955.56</v>
      </c>
      <c r="E18" s="2"/>
      <c r="F18" s="19">
        <f t="shared" si="6"/>
        <v>0.47999793672682667</v>
      </c>
      <c r="G18" s="2"/>
      <c r="H18" s="2"/>
      <c r="I18" s="2"/>
      <c r="J18" s="19">
        <f t="shared" si="7"/>
        <v>0</v>
      </c>
      <c r="K18" s="2"/>
      <c r="L18" s="2">
        <f t="shared" si="8"/>
        <v>5955.56</v>
      </c>
      <c r="M18" s="2"/>
      <c r="N18" s="19">
        <f t="shared" si="9"/>
        <v>0</v>
      </c>
      <c r="O18" s="11"/>
      <c r="P18" s="2">
        <v>-3827.08</v>
      </c>
      <c r="Q18" s="2"/>
      <c r="R18" s="19">
        <f t="shared" si="10"/>
        <v>-5.0550015467162458E-2</v>
      </c>
      <c r="S18" s="2"/>
      <c r="T18" s="2">
        <v>11629</v>
      </c>
      <c r="U18" s="2"/>
      <c r="V18" s="19">
        <f t="shared" si="11"/>
        <v>0</v>
      </c>
      <c r="W18" s="2"/>
      <c r="X18" s="2">
        <f t="shared" si="12"/>
        <v>-15456.08</v>
      </c>
      <c r="Y18" s="2"/>
      <c r="Z18" s="19">
        <f t="shared" si="13"/>
        <v>-1.3290979447931894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6" t="s">
        <v>107</v>
      </c>
      <c r="C20" s="26"/>
      <c r="D20" s="20">
        <f>D12-D16</f>
        <v>4694.18</v>
      </c>
      <c r="E20" s="13"/>
      <c r="F20" s="21">
        <f>IF(D$12=0,0,D20/D$12)</f>
        <v>0.37833498690708095</v>
      </c>
      <c r="G20" s="13"/>
      <c r="H20" s="20">
        <f>H12-H16</f>
        <v>206.63</v>
      </c>
      <c r="I20" s="13"/>
      <c r="J20" s="21">
        <f>IF(H$12=0,0,H20/H$12)</f>
        <v>0</v>
      </c>
      <c r="K20" s="15"/>
      <c r="L20" s="20">
        <f>+D20-H20</f>
        <v>4487.55</v>
      </c>
      <c r="M20" s="15"/>
      <c r="N20" s="21">
        <f>IF(H20=0,0,L20/H20)</f>
        <v>21.717804771814354</v>
      </c>
      <c r="O20" s="25"/>
      <c r="P20" s="20">
        <f>P12-P16</f>
        <v>37881.67</v>
      </c>
      <c r="Q20" s="13"/>
      <c r="R20" s="21">
        <f>IF(P$12=0,0,P20/P$12)</f>
        <v>0.5003603280887633</v>
      </c>
      <c r="S20" s="13"/>
      <c r="T20" s="20">
        <f>T12-T16</f>
        <v>-10641.24</v>
      </c>
      <c r="U20" s="13"/>
      <c r="V20" s="21">
        <f>IF(T$12=0,0,T20/T$12)</f>
        <v>0</v>
      </c>
      <c r="W20" s="15"/>
      <c r="X20" s="20">
        <f>+P20-T20</f>
        <v>48522.909999999996</v>
      </c>
      <c r="Y20" s="15"/>
      <c r="Z20" s="21">
        <f>IF(T20=0,0,X20/T20)</f>
        <v>-4.5598924561423289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5" t="s">
        <v>294</v>
      </c>
      <c r="C22" s="10"/>
      <c r="D22" s="22">
        <f>SUM(OSRRefD22x_0)</f>
        <v>15752.84</v>
      </c>
      <c r="E22" s="22"/>
      <c r="F22" s="34">
        <f t="shared" ref="F22:F31" si="14">IF(D$12=0,0,D22/D$12)</f>
        <v>1.2696254756207348</v>
      </c>
      <c r="G22" s="22"/>
      <c r="H22" s="22">
        <f>SUM(OSRRefH22x_0)</f>
        <v>11292.42</v>
      </c>
      <c r="I22" s="22"/>
      <c r="J22" s="34">
        <f t="shared" ref="J22:J31" si="15">IF(H$12=0,0,H22/H$12)</f>
        <v>0</v>
      </c>
      <c r="K22" s="4"/>
      <c r="L22" s="22">
        <f t="shared" ref="L22:L31" si="16">+D22-H22</f>
        <v>4460.42</v>
      </c>
      <c r="M22" s="4"/>
      <c r="N22" s="34">
        <f t="shared" ref="N22:N31" si="17">IF(H22=0,0,L22/H22)</f>
        <v>0.39499239312742529</v>
      </c>
      <c r="O22" s="10"/>
      <c r="P22" s="22">
        <f>SUM(OSRRefP22x_0)</f>
        <v>99582.29</v>
      </c>
      <c r="Q22" s="22"/>
      <c r="R22" s="34">
        <f t="shared" ref="R22:R31" si="18">IF(P$12=0,0,P22/P$12)</f>
        <v>1.3153334395297347</v>
      </c>
      <c r="S22" s="22"/>
      <c r="T22" s="22">
        <f>SUM(OSRRefT22x_0)</f>
        <v>68530.01999999999</v>
      </c>
      <c r="U22" s="22"/>
      <c r="V22" s="34">
        <f t="shared" ref="V22:V31" si="19">IF(T$12=0,0,T22/T$12)</f>
        <v>0</v>
      </c>
      <c r="W22" s="4"/>
      <c r="X22" s="22">
        <f t="shared" ref="X22:X31" si="20">+P22-T22</f>
        <v>31052.270000000004</v>
      </c>
      <c r="Y22" s="4"/>
      <c r="Z22" s="34">
        <f t="shared" ref="Z22:Z31" si="21">IF(T22=0,0,X22/T22)</f>
        <v>0.45311923154261458</v>
      </c>
    </row>
    <row r="23" spans="1:26" s="29" customFormat="1" outlineLevel="1" collapsed="1" x14ac:dyDescent="0.3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303.02999999999997</v>
      </c>
      <c r="E23" s="1"/>
      <c r="F23" s="5">
        <f t="shared" si="14"/>
        <v>2.4423190223309018E-2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303.02999999999997</v>
      </c>
      <c r="M23" s="1"/>
      <c r="N23" s="5">
        <f t="shared" si="17"/>
        <v>0</v>
      </c>
      <c r="O23" s="14"/>
      <c r="P23" s="1">
        <f>SUM(OSRRefP22_0x_0)</f>
        <v>1564.32</v>
      </c>
      <c r="Q23" s="1"/>
      <c r="R23" s="5">
        <f t="shared" si="18"/>
        <v>2.0662332691135692E-2</v>
      </c>
      <c r="S23" s="1"/>
      <c r="T23" s="1">
        <f>SUM(OSRRefT22_0x_0)</f>
        <v>2889.72</v>
      </c>
      <c r="U23" s="1"/>
      <c r="V23" s="5">
        <f t="shared" si="19"/>
        <v>0</v>
      </c>
      <c r="W23" s="1"/>
      <c r="X23" s="1">
        <f t="shared" si="20"/>
        <v>-1325.3999999999999</v>
      </c>
      <c r="Y23" s="1"/>
      <c r="Z23" s="5">
        <f t="shared" si="21"/>
        <v>-0.45866035463643534</v>
      </c>
    </row>
    <row r="24" spans="1:26" s="24" customFormat="1" hidden="1" outlineLevel="2" x14ac:dyDescent="0.3">
      <c r="A24" s="28"/>
      <c r="B24" s="11" t="str">
        <f>CONCATENATE("          ", "6111", " - ", "F.I.C.A.")</f>
        <v xml:space="preserve">          6111 - F.I.C.A.</v>
      </c>
      <c r="C24" s="11"/>
      <c r="D24" s="6">
        <v>209.7</v>
      </c>
      <c r="E24" s="2"/>
      <c r="F24" s="7">
        <f t="shared" si="14"/>
        <v>1.6901108767540841E-2</v>
      </c>
      <c r="G24" s="2"/>
      <c r="H24" s="6"/>
      <c r="I24" s="2"/>
      <c r="J24" s="7">
        <f t="shared" si="15"/>
        <v>0</v>
      </c>
      <c r="K24" s="2"/>
      <c r="L24" s="6">
        <f t="shared" si="16"/>
        <v>209.7</v>
      </c>
      <c r="M24" s="2"/>
      <c r="N24" s="7">
        <f t="shared" si="17"/>
        <v>0</v>
      </c>
      <c r="O24" s="11"/>
      <c r="P24" s="6">
        <v>1068.19</v>
      </c>
      <c r="Q24" s="2"/>
      <c r="R24" s="7">
        <f t="shared" si="18"/>
        <v>1.4109195789444766E-2</v>
      </c>
      <c r="S24" s="2"/>
      <c r="T24" s="6">
        <v>159.12</v>
      </c>
      <c r="U24" s="2"/>
      <c r="V24" s="7">
        <f t="shared" si="19"/>
        <v>0</v>
      </c>
      <c r="W24" s="2"/>
      <c r="X24" s="6">
        <f t="shared" si="20"/>
        <v>909.07</v>
      </c>
      <c r="Y24" s="2"/>
      <c r="Z24" s="7">
        <f t="shared" si="21"/>
        <v>5.7131096028154857</v>
      </c>
    </row>
    <row r="25" spans="1:26" s="24" customFormat="1" hidden="1" outlineLevel="2" x14ac:dyDescent="0.3">
      <c r="A25" s="28"/>
      <c r="B25" s="11" t="str">
        <f>CONCATENATE("          ", "6112", " - ", "COMPENSATION INSURANCE")</f>
        <v xml:space="preserve">          6112 - COMPENSATION INSURANCE</v>
      </c>
      <c r="C25" s="11"/>
      <c r="D25" s="6">
        <v>62.37</v>
      </c>
      <c r="E25" s="2"/>
      <c r="F25" s="7">
        <f t="shared" si="14"/>
        <v>5.0268104617621472E-3</v>
      </c>
      <c r="G25" s="2"/>
      <c r="H25" s="6"/>
      <c r="I25" s="2"/>
      <c r="J25" s="7">
        <f t="shared" si="15"/>
        <v>0</v>
      </c>
      <c r="K25" s="2"/>
      <c r="L25" s="6">
        <f t="shared" si="16"/>
        <v>62.37</v>
      </c>
      <c r="M25" s="2"/>
      <c r="N25" s="7">
        <f t="shared" si="17"/>
        <v>0</v>
      </c>
      <c r="O25" s="11"/>
      <c r="P25" s="6">
        <v>355.35</v>
      </c>
      <c r="Q25" s="2"/>
      <c r="R25" s="7">
        <f t="shared" si="18"/>
        <v>4.6936431943560581E-3</v>
      </c>
      <c r="S25" s="2"/>
      <c r="T25" s="6"/>
      <c r="U25" s="2"/>
      <c r="V25" s="7">
        <f t="shared" si="19"/>
        <v>0</v>
      </c>
      <c r="W25" s="2"/>
      <c r="X25" s="6">
        <f t="shared" si="20"/>
        <v>355.35</v>
      </c>
      <c r="Y25" s="2"/>
      <c r="Z25" s="7">
        <f t="shared" si="21"/>
        <v>0</v>
      </c>
    </row>
    <row r="26" spans="1:26" s="24" customFormat="1" hidden="1" outlineLevel="2" x14ac:dyDescent="0.3">
      <c r="A26" s="28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/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1"/>
      <c r="P26" s="6"/>
      <c r="Q26" s="2"/>
      <c r="R26" s="7">
        <f t="shared" si="18"/>
        <v>0</v>
      </c>
      <c r="S26" s="2"/>
      <c r="T26" s="6">
        <v>1915.63</v>
      </c>
      <c r="U26" s="2"/>
      <c r="V26" s="7">
        <f t="shared" si="19"/>
        <v>0</v>
      </c>
      <c r="W26" s="2"/>
      <c r="X26" s="6">
        <f t="shared" si="20"/>
        <v>-1915.63</v>
      </c>
      <c r="Y26" s="2"/>
      <c r="Z26" s="7">
        <f t="shared" si="21"/>
        <v>-1</v>
      </c>
    </row>
    <row r="27" spans="1:26" s="24" customFormat="1" hidden="1" outlineLevel="2" x14ac:dyDescent="0.3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10.96</v>
      </c>
      <c r="E27" s="2"/>
      <c r="F27" s="7">
        <f t="shared" si="14"/>
        <v>8.8333882733546804E-4</v>
      </c>
      <c r="G27" s="2"/>
      <c r="H27" s="6"/>
      <c r="I27" s="2"/>
      <c r="J27" s="7">
        <f t="shared" si="15"/>
        <v>0</v>
      </c>
      <c r="K27" s="2"/>
      <c r="L27" s="6">
        <f t="shared" si="16"/>
        <v>10.96</v>
      </c>
      <c r="M27" s="2"/>
      <c r="N27" s="7">
        <f t="shared" si="17"/>
        <v>0</v>
      </c>
      <c r="O27" s="11"/>
      <c r="P27" s="6">
        <v>60.78</v>
      </c>
      <c r="Q27" s="2"/>
      <c r="R27" s="7">
        <f t="shared" si="18"/>
        <v>8.02813095125823E-4</v>
      </c>
      <c r="S27" s="2"/>
      <c r="T27" s="6"/>
      <c r="U27" s="2"/>
      <c r="V27" s="7">
        <f t="shared" si="19"/>
        <v>0</v>
      </c>
      <c r="W27" s="2"/>
      <c r="X27" s="6">
        <f t="shared" si="20"/>
        <v>60.78</v>
      </c>
      <c r="Y27" s="2"/>
      <c r="Z27" s="7">
        <f t="shared" si="21"/>
        <v>0</v>
      </c>
    </row>
    <row r="28" spans="1:26" s="24" customFormat="1" hidden="1" outlineLevel="2" x14ac:dyDescent="0.3">
      <c r="A28" s="28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/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458.89</v>
      </c>
      <c r="U28" s="2"/>
      <c r="V28" s="7">
        <f t="shared" si="19"/>
        <v>0</v>
      </c>
      <c r="W28" s="2"/>
      <c r="X28" s="6">
        <f t="shared" si="20"/>
        <v>-458.89</v>
      </c>
      <c r="Y28" s="2"/>
      <c r="Z28" s="7">
        <f t="shared" si="21"/>
        <v>-1</v>
      </c>
    </row>
    <row r="29" spans="1:26" s="24" customFormat="1" hidden="1" outlineLevel="2" x14ac:dyDescent="0.3">
      <c r="A29" s="28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/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/>
      <c r="Q29" s="2"/>
      <c r="R29" s="7">
        <f t="shared" si="18"/>
        <v>0</v>
      </c>
      <c r="S29" s="2"/>
      <c r="T29" s="6">
        <v>152.1</v>
      </c>
      <c r="U29" s="2"/>
      <c r="V29" s="7">
        <f t="shared" si="19"/>
        <v>0</v>
      </c>
      <c r="W29" s="2"/>
      <c r="X29" s="6">
        <f t="shared" si="20"/>
        <v>-152.1</v>
      </c>
      <c r="Y29" s="2"/>
      <c r="Z29" s="7">
        <f t="shared" si="21"/>
        <v>-1</v>
      </c>
    </row>
    <row r="30" spans="1:26" s="24" customFormat="1" hidden="1" outlineLevel="2" x14ac:dyDescent="0.3">
      <c r="A30" s="28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/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1"/>
      <c r="P30" s="6"/>
      <c r="Q30" s="2"/>
      <c r="R30" s="7">
        <f t="shared" si="18"/>
        <v>0</v>
      </c>
      <c r="S30" s="2"/>
      <c r="T30" s="6">
        <v>203.98</v>
      </c>
      <c r="U30" s="2"/>
      <c r="V30" s="7">
        <f t="shared" si="19"/>
        <v>0</v>
      </c>
      <c r="W30" s="2"/>
      <c r="X30" s="6">
        <f t="shared" si="20"/>
        <v>-203.98</v>
      </c>
      <c r="Y30" s="2"/>
      <c r="Z30" s="7">
        <f t="shared" si="21"/>
        <v>-1</v>
      </c>
    </row>
    <row r="31" spans="1:26" s="24" customFormat="1" hidden="1" outlineLevel="2" x14ac:dyDescent="0.3">
      <c r="A31" s="28"/>
      <c r="B31" s="11" t="str">
        <f>CONCATENATE("          ", "6156", " - ", "EMPLOYEE MEALS")</f>
        <v xml:space="preserve">          6156 - EMPLOYEE MEALS</v>
      </c>
      <c r="C31" s="11"/>
      <c r="D31" s="6">
        <v>20</v>
      </c>
      <c r="E31" s="2"/>
      <c r="F31" s="7">
        <f t="shared" si="14"/>
        <v>1.6119321666705621E-3</v>
      </c>
      <c r="G31" s="2"/>
      <c r="H31" s="6"/>
      <c r="I31" s="2"/>
      <c r="J31" s="7">
        <f t="shared" si="15"/>
        <v>0</v>
      </c>
      <c r="K31" s="2"/>
      <c r="L31" s="6">
        <f t="shared" si="16"/>
        <v>20</v>
      </c>
      <c r="M31" s="2"/>
      <c r="N31" s="7">
        <f t="shared" si="17"/>
        <v>0</v>
      </c>
      <c r="O31" s="11"/>
      <c r="P31" s="6">
        <v>80</v>
      </c>
      <c r="Q31" s="2"/>
      <c r="R31" s="7">
        <f t="shared" si="18"/>
        <v>1.0566806122090462E-3</v>
      </c>
      <c r="S31" s="2"/>
      <c r="T31" s="6"/>
      <c r="U31" s="2"/>
      <c r="V31" s="7">
        <f t="shared" si="19"/>
        <v>0</v>
      </c>
      <c r="W31" s="2"/>
      <c r="X31" s="6">
        <f t="shared" si="20"/>
        <v>80</v>
      </c>
      <c r="Y31" s="2"/>
      <c r="Z31" s="7">
        <f t="shared" si="21"/>
        <v>0</v>
      </c>
    </row>
    <row r="32" spans="1:26" s="29" customFormat="1" outlineLevel="1" collapsed="1" x14ac:dyDescent="0.3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3939.8999999999996</v>
      </c>
      <c r="E32" s="1"/>
      <c r="F32" s="5">
        <f t="shared" ref="F32:F35" si="22">IF(D$12=0,0,D32/D$12)</f>
        <v>0.31754257717326734</v>
      </c>
      <c r="G32" s="1"/>
      <c r="H32" s="1">
        <f>SUM(OSRRefH22_1x_0)</f>
        <v>0</v>
      </c>
      <c r="I32" s="1"/>
      <c r="J32" s="5">
        <f t="shared" ref="J32:J35" si="23">IF(H$12=0,0,H32/H$12)</f>
        <v>0</v>
      </c>
      <c r="K32" s="1"/>
      <c r="L32" s="1">
        <f t="shared" ref="L32:L35" si="24">+D32-H32</f>
        <v>3939.8999999999996</v>
      </c>
      <c r="M32" s="1"/>
      <c r="N32" s="5">
        <f t="shared" ref="N32:N35" si="25">IF(H32=0,0,L32/H32)</f>
        <v>0</v>
      </c>
      <c r="O32" s="14"/>
      <c r="P32" s="1">
        <f>SUM(OSRRefP22_1x_0)</f>
        <v>21940.690000000002</v>
      </c>
      <c r="Q32" s="1"/>
      <c r="R32" s="5">
        <f t="shared" ref="R32:R35" si="26">IF(P$12=0,0,P32/P$12)</f>
        <v>0.28980377176861127</v>
      </c>
      <c r="S32" s="1"/>
      <c r="T32" s="1">
        <f>SUM(OSRRefT22_1x_0)</f>
        <v>884</v>
      </c>
      <c r="U32" s="1"/>
      <c r="V32" s="5">
        <f t="shared" ref="V32:V35" si="27">IF(T$12=0,0,T32/T$12)</f>
        <v>0</v>
      </c>
      <c r="W32" s="1"/>
      <c r="X32" s="1">
        <f t="shared" ref="X32:X35" si="28">+P32-T32</f>
        <v>21056.690000000002</v>
      </c>
      <c r="Y32" s="1"/>
      <c r="Z32" s="5">
        <f t="shared" ref="Z32:Z35" si="29">IF(T32=0,0,X32/T32)</f>
        <v>23.819785067873305</v>
      </c>
    </row>
    <row r="33" spans="1:26" s="24" customFormat="1" hidden="1" outlineLevel="2" x14ac:dyDescent="0.3">
      <c r="A33" s="28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/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1"/>
      <c r="P33" s="6"/>
      <c r="Q33" s="2"/>
      <c r="R33" s="7">
        <f t="shared" si="26"/>
        <v>0</v>
      </c>
      <c r="S33" s="2"/>
      <c r="T33" s="6">
        <v>884</v>
      </c>
      <c r="U33" s="2"/>
      <c r="V33" s="7">
        <f t="shared" si="27"/>
        <v>0</v>
      </c>
      <c r="W33" s="2"/>
      <c r="X33" s="6">
        <f t="shared" si="28"/>
        <v>-884</v>
      </c>
      <c r="Y33" s="2"/>
      <c r="Z33" s="7">
        <f t="shared" si="29"/>
        <v>-1</v>
      </c>
    </row>
    <row r="34" spans="1:26" s="24" customFormat="1" hidden="1" outlineLevel="2" x14ac:dyDescent="0.3">
      <c r="A34" s="28"/>
      <c r="B34" s="11" t="str">
        <f>CONCATENATE("          ", "6005", " - ", "TEMPORARY WAGES-HOURLY")</f>
        <v xml:space="preserve">          6005 - TEMPORARY WAGES-HOURLY</v>
      </c>
      <c r="C34" s="11"/>
      <c r="D34" s="6">
        <v>2741.1</v>
      </c>
      <c r="E34" s="2"/>
      <c r="F34" s="7">
        <f t="shared" si="22"/>
        <v>0.22092336310303387</v>
      </c>
      <c r="G34" s="2"/>
      <c r="H34" s="6"/>
      <c r="I34" s="2"/>
      <c r="J34" s="7">
        <f t="shared" si="23"/>
        <v>0</v>
      </c>
      <c r="K34" s="2"/>
      <c r="L34" s="6">
        <f t="shared" si="24"/>
        <v>2741.1</v>
      </c>
      <c r="M34" s="2"/>
      <c r="N34" s="7">
        <f t="shared" si="25"/>
        <v>0</v>
      </c>
      <c r="O34" s="11"/>
      <c r="P34" s="6">
        <v>13114.65</v>
      </c>
      <c r="Q34" s="2"/>
      <c r="R34" s="7">
        <f t="shared" si="26"/>
        <v>0.1732249548863421</v>
      </c>
      <c r="S34" s="2"/>
      <c r="T34" s="6"/>
      <c r="U34" s="2"/>
      <c r="V34" s="7">
        <f t="shared" si="27"/>
        <v>0</v>
      </c>
      <c r="W34" s="2"/>
      <c r="X34" s="6">
        <f t="shared" si="28"/>
        <v>13114.65</v>
      </c>
      <c r="Y34" s="2"/>
      <c r="Z34" s="7">
        <f t="shared" si="29"/>
        <v>0</v>
      </c>
    </row>
    <row r="35" spans="1:26" s="24" customFormat="1" hidden="1" outlineLevel="2" x14ac:dyDescent="0.3">
      <c r="A35" s="28"/>
      <c r="B35" s="11" t="str">
        <f>CONCATENATE("          ", "6007", " - ", "STUDENT HOURLY")</f>
        <v xml:space="preserve">          6007 - STUDENT HOURLY</v>
      </c>
      <c r="C35" s="11"/>
      <c r="D35" s="6">
        <v>1198.8</v>
      </c>
      <c r="E35" s="2"/>
      <c r="F35" s="7">
        <f t="shared" si="22"/>
        <v>9.6619214070233481E-2</v>
      </c>
      <c r="G35" s="2"/>
      <c r="H35" s="6"/>
      <c r="I35" s="2"/>
      <c r="J35" s="7">
        <f t="shared" si="23"/>
        <v>0</v>
      </c>
      <c r="K35" s="2"/>
      <c r="L35" s="6">
        <f t="shared" si="24"/>
        <v>1198.8</v>
      </c>
      <c r="M35" s="2"/>
      <c r="N35" s="7">
        <f t="shared" si="25"/>
        <v>0</v>
      </c>
      <c r="O35" s="11"/>
      <c r="P35" s="6">
        <v>8826.0400000000009</v>
      </c>
      <c r="Q35" s="2"/>
      <c r="R35" s="7">
        <f t="shared" si="26"/>
        <v>0.11657881688226915</v>
      </c>
      <c r="S35" s="2"/>
      <c r="T35" s="6"/>
      <c r="U35" s="2"/>
      <c r="V35" s="7">
        <f t="shared" si="27"/>
        <v>0</v>
      </c>
      <c r="W35" s="2"/>
      <c r="X35" s="6">
        <f t="shared" si="28"/>
        <v>8826.0400000000009</v>
      </c>
      <c r="Y35" s="2"/>
      <c r="Z35" s="7">
        <f t="shared" si="29"/>
        <v>0</v>
      </c>
    </row>
    <row r="36" spans="1:26" s="29" customFormat="1" outlineLevel="1" collapsed="1" x14ac:dyDescent="0.3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44" si="30">IF(D$12=0,0,D36/D$12)</f>
        <v>0</v>
      </c>
      <c r="G36" s="1"/>
      <c r="H36" s="1">
        <f>SUM(OSRRefH22_2x_0)</f>
        <v>0</v>
      </c>
      <c r="I36" s="1"/>
      <c r="J36" s="5">
        <f t="shared" ref="J36:J44" si="31">IF(H$12=0,0,H36/H$12)</f>
        <v>0</v>
      </c>
      <c r="K36" s="1"/>
      <c r="L36" s="1">
        <f t="shared" ref="L36:L44" si="32">+D36-H36</f>
        <v>0</v>
      </c>
      <c r="M36" s="1"/>
      <c r="N36" s="5">
        <f t="shared" ref="N36:N44" si="33">IF(H36=0,0,L36/H36)</f>
        <v>0</v>
      </c>
      <c r="O36" s="14"/>
      <c r="P36" s="1">
        <f>SUM(OSRRefP22_2x_0)</f>
        <v>91.22</v>
      </c>
      <c r="Q36" s="1"/>
      <c r="R36" s="5">
        <f t="shared" ref="R36:R44" si="34">IF(P$12=0,0,P36/P$12)</f>
        <v>1.2048800680713651E-3</v>
      </c>
      <c r="S36" s="1"/>
      <c r="T36" s="1">
        <f>SUM(OSRRefT22_2x_0)</f>
        <v>0</v>
      </c>
      <c r="U36" s="1"/>
      <c r="V36" s="5">
        <f t="shared" ref="V36:V44" si="35">IF(T$12=0,0,T36/T$12)</f>
        <v>0</v>
      </c>
      <c r="W36" s="1"/>
      <c r="X36" s="1">
        <f t="shared" ref="X36:X44" si="36">+P36-T36</f>
        <v>91.22</v>
      </c>
      <c r="Y36" s="1"/>
      <c r="Z36" s="5">
        <f t="shared" ref="Z36:Z44" si="37">IF(T36=0,0,X36/T36)</f>
        <v>0</v>
      </c>
    </row>
    <row r="37" spans="1:26" s="24" customFormat="1" hidden="1" outlineLevel="2" x14ac:dyDescent="0.3">
      <c r="A37" s="28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30"/>
        <v>0</v>
      </c>
      <c r="G37" s="2"/>
      <c r="H37" s="6"/>
      <c r="I37" s="2"/>
      <c r="J37" s="7">
        <f t="shared" si="31"/>
        <v>0</v>
      </c>
      <c r="K37" s="2"/>
      <c r="L37" s="6">
        <f t="shared" si="32"/>
        <v>0</v>
      </c>
      <c r="M37" s="2"/>
      <c r="N37" s="7">
        <f t="shared" si="33"/>
        <v>0</v>
      </c>
      <c r="O37" s="11"/>
      <c r="P37" s="6">
        <v>91.22</v>
      </c>
      <c r="Q37" s="2"/>
      <c r="R37" s="7">
        <f t="shared" si="34"/>
        <v>1.2048800680713651E-3</v>
      </c>
      <c r="S37" s="2"/>
      <c r="T37" s="6"/>
      <c r="U37" s="2"/>
      <c r="V37" s="7">
        <f t="shared" si="35"/>
        <v>0</v>
      </c>
      <c r="W37" s="2"/>
      <c r="X37" s="6">
        <f t="shared" si="36"/>
        <v>91.22</v>
      </c>
      <c r="Y37" s="2"/>
      <c r="Z37" s="7">
        <f t="shared" si="37"/>
        <v>0</v>
      </c>
    </row>
    <row r="38" spans="1:26" s="29" customFormat="1" outlineLevel="1" collapsed="1" x14ac:dyDescent="0.3">
      <c r="A38" s="27"/>
      <c r="B38" s="14" t="str">
        <f>CONCATENATE("     ","Bad Debts/Over/Short                              ")</f>
        <v xml:space="preserve">     Bad Debts/Over/Short                              </v>
      </c>
      <c r="C38" s="14"/>
      <c r="D38" s="1">
        <f>SUM(OSRRefD22_3x_0)</f>
        <v>19.600000000000001</v>
      </c>
      <c r="E38" s="1"/>
      <c r="F38" s="5">
        <f t="shared" si="30"/>
        <v>1.5796935233371508E-3</v>
      </c>
      <c r="G38" s="1"/>
      <c r="H38" s="1">
        <f>SUM(OSRRefH22_3x_0)</f>
        <v>0</v>
      </c>
      <c r="I38" s="1"/>
      <c r="J38" s="5">
        <f t="shared" si="31"/>
        <v>0</v>
      </c>
      <c r="K38" s="1"/>
      <c r="L38" s="1">
        <f t="shared" si="32"/>
        <v>19.600000000000001</v>
      </c>
      <c r="M38" s="1"/>
      <c r="N38" s="5">
        <f t="shared" si="33"/>
        <v>0</v>
      </c>
      <c r="O38" s="14"/>
      <c r="P38" s="1">
        <f>SUM(OSRRefP22_3x_0)</f>
        <v>28.84</v>
      </c>
      <c r="Q38" s="1"/>
      <c r="R38" s="5">
        <f t="shared" si="34"/>
        <v>3.8093336070136122E-4</v>
      </c>
      <c r="S38" s="1"/>
      <c r="T38" s="1">
        <f>SUM(OSRRefT22_3x_0)</f>
        <v>0</v>
      </c>
      <c r="U38" s="1"/>
      <c r="V38" s="5">
        <f t="shared" si="35"/>
        <v>0</v>
      </c>
      <c r="W38" s="1"/>
      <c r="X38" s="1">
        <f t="shared" si="36"/>
        <v>28.84</v>
      </c>
      <c r="Y38" s="1"/>
      <c r="Z38" s="5">
        <f t="shared" si="37"/>
        <v>0</v>
      </c>
    </row>
    <row r="39" spans="1:26" s="24" customFormat="1" hidden="1" outlineLevel="2" x14ac:dyDescent="0.3">
      <c r="A39" s="28"/>
      <c r="B39" s="11" t="str">
        <f>CONCATENATE("          ", "6272", " - ", "CASH (OVER/SHORT)")</f>
        <v xml:space="preserve">          6272 - CASH (OVER/SHORT)</v>
      </c>
      <c r="C39" s="11"/>
      <c r="D39" s="6">
        <v>19.600000000000001</v>
      </c>
      <c r="E39" s="2"/>
      <c r="F39" s="7">
        <f t="shared" si="30"/>
        <v>1.5796935233371508E-3</v>
      </c>
      <c r="G39" s="2"/>
      <c r="H39" s="6"/>
      <c r="I39" s="2"/>
      <c r="J39" s="7">
        <f t="shared" si="31"/>
        <v>0</v>
      </c>
      <c r="K39" s="2"/>
      <c r="L39" s="6">
        <f t="shared" si="32"/>
        <v>19.600000000000001</v>
      </c>
      <c r="M39" s="2"/>
      <c r="N39" s="7">
        <f t="shared" si="33"/>
        <v>0</v>
      </c>
      <c r="O39" s="11"/>
      <c r="P39" s="6">
        <v>28.84</v>
      </c>
      <c r="Q39" s="2"/>
      <c r="R39" s="7">
        <f t="shared" si="34"/>
        <v>3.8093336070136122E-4</v>
      </c>
      <c r="S39" s="2"/>
      <c r="T39" s="6"/>
      <c r="U39" s="2"/>
      <c r="V39" s="7">
        <f t="shared" si="35"/>
        <v>0</v>
      </c>
      <c r="W39" s="2"/>
      <c r="X39" s="6">
        <f t="shared" si="36"/>
        <v>28.84</v>
      </c>
      <c r="Y39" s="2"/>
      <c r="Z39" s="7">
        <f t="shared" si="37"/>
        <v>0</v>
      </c>
    </row>
    <row r="40" spans="1:26" s="29" customFormat="1" outlineLevel="1" collapsed="1" x14ac:dyDescent="0.3">
      <c r="A40" s="27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SUM(OSRRefD22_4x_0)</f>
        <v>529.78</v>
      </c>
      <c r="E40" s="1"/>
      <c r="F40" s="5">
        <f t="shared" si="30"/>
        <v>4.2698471162936513E-2</v>
      </c>
      <c r="G40" s="1"/>
      <c r="H40" s="1">
        <f>SUM(OSRRefH22_4x_0)</f>
        <v>0</v>
      </c>
      <c r="I40" s="1"/>
      <c r="J40" s="5">
        <f t="shared" si="31"/>
        <v>0</v>
      </c>
      <c r="K40" s="1"/>
      <c r="L40" s="1">
        <f t="shared" si="32"/>
        <v>529.78</v>
      </c>
      <c r="M40" s="1"/>
      <c r="N40" s="5">
        <f t="shared" si="33"/>
        <v>0</v>
      </c>
      <c r="O40" s="14"/>
      <c r="P40" s="1">
        <f>SUM(OSRRefP22_4x_0)</f>
        <v>3177.98</v>
      </c>
      <c r="Q40" s="1"/>
      <c r="R40" s="5">
        <f t="shared" si="34"/>
        <v>4.1976373149851309E-2</v>
      </c>
      <c r="S40" s="1"/>
      <c r="T40" s="1">
        <f>SUM(OSRRefT22_4x_0)</f>
        <v>0</v>
      </c>
      <c r="U40" s="1"/>
      <c r="V40" s="5">
        <f t="shared" si="35"/>
        <v>0</v>
      </c>
      <c r="W40" s="1"/>
      <c r="X40" s="1">
        <f t="shared" si="36"/>
        <v>3177.98</v>
      </c>
      <c r="Y40" s="1"/>
      <c r="Z40" s="5">
        <f t="shared" si="37"/>
        <v>0</v>
      </c>
    </row>
    <row r="41" spans="1:26" s="24" customFormat="1" hidden="1" outlineLevel="2" x14ac:dyDescent="0.3">
      <c r="A41" s="28"/>
      <c r="B41" s="11" t="str">
        <f>CONCATENATE("          ", "6381", " - ", "BANK/CREDIT CARD FEES")</f>
        <v xml:space="preserve">          6381 - BANK/CREDIT CARD FEES</v>
      </c>
      <c r="C41" s="11"/>
      <c r="D41" s="6">
        <v>529.78</v>
      </c>
      <c r="E41" s="2"/>
      <c r="F41" s="7">
        <f t="shared" si="30"/>
        <v>4.2698471162936513E-2</v>
      </c>
      <c r="G41" s="2"/>
      <c r="H41" s="6"/>
      <c r="I41" s="2"/>
      <c r="J41" s="7">
        <f t="shared" si="31"/>
        <v>0</v>
      </c>
      <c r="K41" s="2"/>
      <c r="L41" s="6">
        <f t="shared" si="32"/>
        <v>529.78</v>
      </c>
      <c r="M41" s="2"/>
      <c r="N41" s="7">
        <f t="shared" si="33"/>
        <v>0</v>
      </c>
      <c r="O41" s="11"/>
      <c r="P41" s="6">
        <v>3177.98</v>
      </c>
      <c r="Q41" s="2"/>
      <c r="R41" s="7">
        <f t="shared" si="34"/>
        <v>4.1976373149851309E-2</v>
      </c>
      <c r="S41" s="2"/>
      <c r="T41" s="6"/>
      <c r="U41" s="2"/>
      <c r="V41" s="7">
        <f t="shared" si="35"/>
        <v>0</v>
      </c>
      <c r="W41" s="2"/>
      <c r="X41" s="6">
        <f t="shared" si="36"/>
        <v>3177.98</v>
      </c>
      <c r="Y41" s="2"/>
      <c r="Z41" s="7">
        <f t="shared" si="37"/>
        <v>0</v>
      </c>
    </row>
    <row r="42" spans="1:26" s="29" customFormat="1" outlineLevel="1" collapsed="1" x14ac:dyDescent="0.3">
      <c r="A42" s="27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SUM(OSRRefD22_5x_0)</f>
        <v>5471.21</v>
      </c>
      <c r="E42" s="1"/>
      <c r="F42" s="5">
        <f t="shared" si="30"/>
        <v>0.4409609694804823</v>
      </c>
      <c r="G42" s="1"/>
      <c r="H42" s="1">
        <f>SUM(OSRRefH22_5x_0)</f>
        <v>5471.21</v>
      </c>
      <c r="I42" s="1"/>
      <c r="J42" s="5">
        <f t="shared" si="31"/>
        <v>0</v>
      </c>
      <c r="K42" s="1"/>
      <c r="L42" s="1">
        <f t="shared" si="32"/>
        <v>0</v>
      </c>
      <c r="M42" s="1"/>
      <c r="N42" s="5">
        <f t="shared" si="33"/>
        <v>0</v>
      </c>
      <c r="O42" s="14"/>
      <c r="P42" s="1">
        <f>SUM(OSRRefP22_5x_0)</f>
        <v>32827.26</v>
      </c>
      <c r="Q42" s="1"/>
      <c r="R42" s="5">
        <f t="shared" si="34"/>
        <v>0.43359911492431924</v>
      </c>
      <c r="S42" s="1"/>
      <c r="T42" s="1">
        <f>SUM(OSRRefT22_5x_0)</f>
        <v>33272.76</v>
      </c>
      <c r="U42" s="1"/>
      <c r="V42" s="5">
        <f t="shared" si="35"/>
        <v>0</v>
      </c>
      <c r="W42" s="1"/>
      <c r="X42" s="1">
        <f t="shared" si="36"/>
        <v>-445.5</v>
      </c>
      <c r="Y42" s="1"/>
      <c r="Z42" s="5">
        <f t="shared" si="37"/>
        <v>-1.338933109246122E-2</v>
      </c>
    </row>
    <row r="43" spans="1:26" s="24" customFormat="1" hidden="1" outlineLevel="2" x14ac:dyDescent="0.3">
      <c r="A43" s="28"/>
      <c r="B43" s="11" t="str">
        <f>CONCATENATE("          ", "6321", " - ", "BUILDING DEPRECIATION")</f>
        <v xml:space="preserve">          6321 - BUILDING DEPRECIATION</v>
      </c>
      <c r="C43" s="11"/>
      <c r="D43" s="6">
        <v>5080.51</v>
      </c>
      <c r="E43" s="2"/>
      <c r="F43" s="7">
        <f t="shared" si="30"/>
        <v>0.40947187460457285</v>
      </c>
      <c r="G43" s="2"/>
      <c r="H43" s="6">
        <v>5080.51</v>
      </c>
      <c r="I43" s="2"/>
      <c r="J43" s="7">
        <f t="shared" si="31"/>
        <v>0</v>
      </c>
      <c r="K43" s="2"/>
      <c r="L43" s="6">
        <f t="shared" si="32"/>
        <v>0</v>
      </c>
      <c r="M43" s="2"/>
      <c r="N43" s="7">
        <f t="shared" si="33"/>
        <v>0</v>
      </c>
      <c r="O43" s="11"/>
      <c r="P43" s="6">
        <v>30483.06</v>
      </c>
      <c r="Q43" s="2"/>
      <c r="R43" s="7">
        <f t="shared" si="34"/>
        <v>0.40263573128506364</v>
      </c>
      <c r="S43" s="2"/>
      <c r="T43" s="6">
        <v>30483.06</v>
      </c>
      <c r="U43" s="2"/>
      <c r="V43" s="7">
        <f t="shared" si="35"/>
        <v>0</v>
      </c>
      <c r="W43" s="2"/>
      <c r="X43" s="6">
        <f t="shared" si="36"/>
        <v>0</v>
      </c>
      <c r="Y43" s="2"/>
      <c r="Z43" s="7">
        <f t="shared" si="37"/>
        <v>0</v>
      </c>
    </row>
    <row r="44" spans="1:26" s="24" customFormat="1" hidden="1" outlineLevel="2" x14ac:dyDescent="0.3">
      <c r="A44" s="28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390.7</v>
      </c>
      <c r="E44" s="2"/>
      <c r="F44" s="7">
        <f t="shared" si="30"/>
        <v>3.1489094875909431E-2</v>
      </c>
      <c r="G44" s="2"/>
      <c r="H44" s="6">
        <v>390.7</v>
      </c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>
        <v>2344.1999999999998</v>
      </c>
      <c r="Q44" s="2"/>
      <c r="R44" s="7">
        <f t="shared" si="34"/>
        <v>3.0963383639255576E-2</v>
      </c>
      <c r="S44" s="2"/>
      <c r="T44" s="6">
        <v>2789.7</v>
      </c>
      <c r="U44" s="2"/>
      <c r="V44" s="7">
        <f t="shared" si="35"/>
        <v>0</v>
      </c>
      <c r="W44" s="2"/>
      <c r="X44" s="6">
        <f t="shared" si="36"/>
        <v>-445.5</v>
      </c>
      <c r="Y44" s="2"/>
      <c r="Z44" s="7">
        <f t="shared" si="37"/>
        <v>-0.15969459081621681</v>
      </c>
    </row>
    <row r="45" spans="1:26" s="29" customFormat="1" outlineLevel="1" collapsed="1" x14ac:dyDescent="0.3">
      <c r="A45" s="27"/>
      <c r="B45" s="14" t="str">
        <f>CONCATENATE("     ","Equipment Rental                                  ")</f>
        <v xml:space="preserve">     Equipment Rental                                  </v>
      </c>
      <c r="C45" s="14"/>
      <c r="D45" s="1">
        <f>SUM(OSRRefD22_6x_0)</f>
        <v>0</v>
      </c>
      <c r="E45" s="1"/>
      <c r="F45" s="5">
        <f t="shared" ref="F45:F55" si="38">IF(D$12=0,0,D45/D$12)</f>
        <v>0</v>
      </c>
      <c r="G45" s="1"/>
      <c r="H45" s="1">
        <f>SUM(OSRRefH22_6x_0)</f>
        <v>76.150000000000006</v>
      </c>
      <c r="I45" s="1"/>
      <c r="J45" s="5">
        <f t="shared" ref="J45:J55" si="39">IF(H$12=0,0,H45/H$12)</f>
        <v>0</v>
      </c>
      <c r="K45" s="1"/>
      <c r="L45" s="1">
        <f t="shared" ref="L45:L55" si="40">+D45-H45</f>
        <v>-76.150000000000006</v>
      </c>
      <c r="M45" s="1"/>
      <c r="N45" s="5">
        <f t="shared" ref="N45:N55" si="41">IF(H45=0,0,L45/H45)</f>
        <v>-1</v>
      </c>
      <c r="O45" s="14"/>
      <c r="P45" s="1">
        <f>SUM(OSRRefP22_6x_0)</f>
        <v>0</v>
      </c>
      <c r="Q45" s="1"/>
      <c r="R45" s="5">
        <f t="shared" ref="R45:R55" si="42">IF(P$12=0,0,P45/P$12)</f>
        <v>0</v>
      </c>
      <c r="S45" s="1"/>
      <c r="T45" s="1">
        <f>SUM(OSRRefT22_6x_0)</f>
        <v>76.150000000000006</v>
      </c>
      <c r="U45" s="1"/>
      <c r="V45" s="5">
        <f t="shared" ref="V45:V55" si="43">IF(T$12=0,0,T45/T$12)</f>
        <v>0</v>
      </c>
      <c r="W45" s="1"/>
      <c r="X45" s="1">
        <f t="shared" ref="X45:X55" si="44">+P45-T45</f>
        <v>-76.150000000000006</v>
      </c>
      <c r="Y45" s="1"/>
      <c r="Z45" s="5">
        <f t="shared" ref="Z45:Z55" si="45">IF(T45=0,0,X45/T45)</f>
        <v>-1</v>
      </c>
    </row>
    <row r="46" spans="1:26" s="24" customFormat="1" hidden="1" outlineLevel="2" x14ac:dyDescent="0.3">
      <c r="A46" s="28"/>
      <c r="B46" s="11" t="str">
        <f>CONCATENATE("          ", "6351", " - ", "EQUIPMENT RENTAL")</f>
        <v xml:space="preserve">          6351 - EQUIPMENT RENTAL</v>
      </c>
      <c r="C46" s="11"/>
      <c r="D46" s="6"/>
      <c r="E46" s="2"/>
      <c r="F46" s="7">
        <f t="shared" si="38"/>
        <v>0</v>
      </c>
      <c r="G46" s="2"/>
      <c r="H46" s="6">
        <v>76.150000000000006</v>
      </c>
      <c r="I46" s="2"/>
      <c r="J46" s="7">
        <f t="shared" si="39"/>
        <v>0</v>
      </c>
      <c r="K46" s="2"/>
      <c r="L46" s="6">
        <f t="shared" si="40"/>
        <v>-76.150000000000006</v>
      </c>
      <c r="M46" s="2"/>
      <c r="N46" s="7">
        <f t="shared" si="41"/>
        <v>-1</v>
      </c>
      <c r="O46" s="11"/>
      <c r="P46" s="6"/>
      <c r="Q46" s="2"/>
      <c r="R46" s="7">
        <f t="shared" si="42"/>
        <v>0</v>
      </c>
      <c r="S46" s="2"/>
      <c r="T46" s="6">
        <v>76.150000000000006</v>
      </c>
      <c r="U46" s="2"/>
      <c r="V46" s="7">
        <f t="shared" si="43"/>
        <v>0</v>
      </c>
      <c r="W46" s="2"/>
      <c r="X46" s="6">
        <f t="shared" si="44"/>
        <v>-76.150000000000006</v>
      </c>
      <c r="Y46" s="2"/>
      <c r="Z46" s="7">
        <f t="shared" si="45"/>
        <v>-1</v>
      </c>
    </row>
    <row r="47" spans="1:26" s="29" customFormat="1" outlineLevel="1" collapsed="1" x14ac:dyDescent="0.3">
      <c r="A47" s="27"/>
      <c r="B47" s="14" t="str">
        <f>CONCATENATE("     ","General                                           ")</f>
        <v xml:space="preserve">     General                                           </v>
      </c>
      <c r="C47" s="14"/>
      <c r="D47" s="1">
        <f>SUM(OSRRefD22_7x_0)</f>
        <v>160</v>
      </c>
      <c r="E47" s="1"/>
      <c r="F47" s="5">
        <f t="shared" si="38"/>
        <v>1.2895457333364497E-2</v>
      </c>
      <c r="G47" s="1"/>
      <c r="H47" s="1">
        <f>SUM(OSRRefH22_7x_0)</f>
        <v>160</v>
      </c>
      <c r="I47" s="1"/>
      <c r="J47" s="5">
        <f t="shared" si="39"/>
        <v>0</v>
      </c>
      <c r="K47" s="1"/>
      <c r="L47" s="1">
        <f t="shared" si="40"/>
        <v>0</v>
      </c>
      <c r="M47" s="1"/>
      <c r="N47" s="5">
        <f t="shared" si="41"/>
        <v>0</v>
      </c>
      <c r="O47" s="14"/>
      <c r="P47" s="1">
        <f>SUM(OSRRefP22_7x_0)</f>
        <v>1002.45</v>
      </c>
      <c r="Q47" s="1"/>
      <c r="R47" s="5">
        <f t="shared" si="42"/>
        <v>1.3240868496361982E-2</v>
      </c>
      <c r="S47" s="1"/>
      <c r="T47" s="1">
        <f>SUM(OSRRefT22_7x_0)</f>
        <v>914.55</v>
      </c>
      <c r="U47" s="1"/>
      <c r="V47" s="5">
        <f t="shared" si="43"/>
        <v>0</v>
      </c>
      <c r="W47" s="1"/>
      <c r="X47" s="1">
        <f t="shared" si="44"/>
        <v>87.900000000000091</v>
      </c>
      <c r="Y47" s="1"/>
      <c r="Z47" s="5">
        <f t="shared" si="45"/>
        <v>9.6112842381499197E-2</v>
      </c>
    </row>
    <row r="48" spans="1:26" s="24" customFormat="1" hidden="1" outlineLevel="2" x14ac:dyDescent="0.3">
      <c r="A48" s="28"/>
      <c r="B48" s="11" t="str">
        <f>CONCATENATE("          ", "6279", " - ", "GENERAL EXPENSE")</f>
        <v xml:space="preserve">          6279 - GENERAL EXPENSE</v>
      </c>
      <c r="C48" s="11"/>
      <c r="D48" s="6">
        <v>160</v>
      </c>
      <c r="E48" s="2"/>
      <c r="F48" s="7">
        <f t="shared" si="38"/>
        <v>1.2895457333364497E-2</v>
      </c>
      <c r="G48" s="2"/>
      <c r="H48" s="6">
        <v>160</v>
      </c>
      <c r="I48" s="2"/>
      <c r="J48" s="7">
        <f t="shared" si="39"/>
        <v>0</v>
      </c>
      <c r="K48" s="2"/>
      <c r="L48" s="6">
        <f t="shared" si="40"/>
        <v>0</v>
      </c>
      <c r="M48" s="2"/>
      <c r="N48" s="7">
        <f t="shared" si="41"/>
        <v>0</v>
      </c>
      <c r="O48" s="11"/>
      <c r="P48" s="6">
        <v>1002.45</v>
      </c>
      <c r="Q48" s="2"/>
      <c r="R48" s="7">
        <f t="shared" si="42"/>
        <v>1.3240868496361982E-2</v>
      </c>
      <c r="S48" s="2"/>
      <c r="T48" s="6">
        <v>914.55</v>
      </c>
      <c r="U48" s="2"/>
      <c r="V48" s="7">
        <f t="shared" si="43"/>
        <v>0</v>
      </c>
      <c r="W48" s="2"/>
      <c r="X48" s="6">
        <f t="shared" si="44"/>
        <v>87.900000000000091</v>
      </c>
      <c r="Y48" s="2"/>
      <c r="Z48" s="7">
        <f t="shared" si="45"/>
        <v>9.6112842381499197E-2</v>
      </c>
    </row>
    <row r="49" spans="1:26" s="29" customFormat="1" outlineLevel="1" collapsed="1" x14ac:dyDescent="0.3">
      <c r="A49" s="27"/>
      <c r="B49" s="14" t="str">
        <f>CONCATENATE("     ","Insurance                                         ")</f>
        <v xml:space="preserve">     Insurance                                         </v>
      </c>
      <c r="C49" s="14"/>
      <c r="D49" s="1">
        <f>SUM(OSRRefD22_8x_0)</f>
        <v>331.01</v>
      </c>
      <c r="E49" s="1"/>
      <c r="F49" s="5">
        <f t="shared" si="38"/>
        <v>2.6678283324481137E-2</v>
      </c>
      <c r="G49" s="1"/>
      <c r="H49" s="1">
        <f>SUM(OSRRefH22_8x_0)</f>
        <v>243.54</v>
      </c>
      <c r="I49" s="1"/>
      <c r="J49" s="5">
        <f t="shared" si="39"/>
        <v>0</v>
      </c>
      <c r="K49" s="1"/>
      <c r="L49" s="1">
        <f t="shared" si="40"/>
        <v>87.47</v>
      </c>
      <c r="M49" s="1"/>
      <c r="N49" s="5">
        <f t="shared" si="41"/>
        <v>0.35916071281924944</v>
      </c>
      <c r="O49" s="14"/>
      <c r="P49" s="1">
        <f>SUM(OSRRefP22_8x_0)</f>
        <v>1986.06</v>
      </c>
      <c r="Q49" s="1"/>
      <c r="R49" s="5">
        <f t="shared" si="42"/>
        <v>2.6232888708548729E-2</v>
      </c>
      <c r="S49" s="1"/>
      <c r="T49" s="1">
        <f>SUM(OSRRefT22_8x_0)</f>
        <v>1461.24</v>
      </c>
      <c r="U49" s="1"/>
      <c r="V49" s="5">
        <f t="shared" si="43"/>
        <v>0</v>
      </c>
      <c r="W49" s="1"/>
      <c r="X49" s="1">
        <f t="shared" si="44"/>
        <v>524.81999999999994</v>
      </c>
      <c r="Y49" s="1"/>
      <c r="Z49" s="5">
        <f t="shared" si="45"/>
        <v>0.35916071281924938</v>
      </c>
    </row>
    <row r="50" spans="1:26" s="24" customFormat="1" hidden="1" outlineLevel="2" x14ac:dyDescent="0.3">
      <c r="A50" s="28"/>
      <c r="B50" s="11" t="str">
        <f>CONCATENATE("          ", "6314", " - ", "LIABILITY INSURANCE")</f>
        <v xml:space="preserve">          6314 - LIABILITY INSURANCE</v>
      </c>
      <c r="C50" s="11"/>
      <c r="D50" s="6">
        <v>331.01</v>
      </c>
      <c r="E50" s="2"/>
      <c r="F50" s="7">
        <f t="shared" si="38"/>
        <v>2.6678283324481137E-2</v>
      </c>
      <c r="G50" s="2"/>
      <c r="H50" s="6">
        <v>243.54</v>
      </c>
      <c r="I50" s="2"/>
      <c r="J50" s="7">
        <f t="shared" si="39"/>
        <v>0</v>
      </c>
      <c r="K50" s="2"/>
      <c r="L50" s="6">
        <f t="shared" si="40"/>
        <v>87.47</v>
      </c>
      <c r="M50" s="2"/>
      <c r="N50" s="7">
        <f t="shared" si="41"/>
        <v>0.35916071281924944</v>
      </c>
      <c r="O50" s="11"/>
      <c r="P50" s="6">
        <v>1986.06</v>
      </c>
      <c r="Q50" s="2"/>
      <c r="R50" s="7">
        <f t="shared" si="42"/>
        <v>2.6232888708548729E-2</v>
      </c>
      <c r="S50" s="2"/>
      <c r="T50" s="6">
        <v>1461.24</v>
      </c>
      <c r="U50" s="2"/>
      <c r="V50" s="7">
        <f t="shared" si="43"/>
        <v>0</v>
      </c>
      <c r="W50" s="2"/>
      <c r="X50" s="6">
        <f t="shared" si="44"/>
        <v>524.81999999999994</v>
      </c>
      <c r="Y50" s="2"/>
      <c r="Z50" s="7">
        <f t="shared" si="45"/>
        <v>0.35916071281924938</v>
      </c>
    </row>
    <row r="51" spans="1:26" s="29" customFormat="1" outlineLevel="1" collapsed="1" x14ac:dyDescent="0.3">
      <c r="A51" s="27"/>
      <c r="B51" s="14" t="str">
        <f>CONCATENATE("     ","Interest                                          ")</f>
        <v xml:space="preserve">     Interest                                          </v>
      </c>
      <c r="C51" s="14"/>
      <c r="D51" s="1">
        <f>SUM(OSRRefD22_9x_0)</f>
        <v>3905</v>
      </c>
      <c r="E51" s="1"/>
      <c r="F51" s="5">
        <f t="shared" si="38"/>
        <v>0.31472975554242721</v>
      </c>
      <c r="G51" s="1"/>
      <c r="H51" s="1">
        <f>SUM(OSRRefH22_9x_0)</f>
        <v>4044</v>
      </c>
      <c r="I51" s="1"/>
      <c r="J51" s="5">
        <f t="shared" si="39"/>
        <v>0</v>
      </c>
      <c r="K51" s="1"/>
      <c r="L51" s="1">
        <f t="shared" si="40"/>
        <v>-139</v>
      </c>
      <c r="M51" s="1"/>
      <c r="N51" s="5">
        <f t="shared" si="41"/>
        <v>-3.4371909000989118E-2</v>
      </c>
      <c r="O51" s="14"/>
      <c r="P51" s="1">
        <f>SUM(OSRRefP22_9x_0)</f>
        <v>23154</v>
      </c>
      <c r="Q51" s="1"/>
      <c r="R51" s="5">
        <f t="shared" si="42"/>
        <v>0.30582978618860324</v>
      </c>
      <c r="S51" s="1"/>
      <c r="T51" s="1">
        <f>SUM(OSRRefT22_9x_0)</f>
        <v>24001.85</v>
      </c>
      <c r="U51" s="1"/>
      <c r="V51" s="5">
        <f t="shared" si="43"/>
        <v>0</v>
      </c>
      <c r="W51" s="1"/>
      <c r="X51" s="1">
        <f t="shared" si="44"/>
        <v>-847.84999999999854</v>
      </c>
      <c r="Y51" s="1"/>
      <c r="Z51" s="5">
        <f t="shared" si="45"/>
        <v>-3.5324360413884703E-2</v>
      </c>
    </row>
    <row r="52" spans="1:26" s="24" customFormat="1" hidden="1" outlineLevel="2" x14ac:dyDescent="0.3">
      <c r="A52" s="28"/>
      <c r="B52" s="11" t="str">
        <f>CONCATENATE("          ", "6401", " - ", "INTEREST EXPENSE")</f>
        <v xml:space="preserve">          6401 - INTEREST EXPENSE</v>
      </c>
      <c r="C52" s="11"/>
      <c r="D52" s="6">
        <v>3905</v>
      </c>
      <c r="E52" s="2"/>
      <c r="F52" s="7">
        <f t="shared" si="38"/>
        <v>0.31472975554242721</v>
      </c>
      <c r="G52" s="2"/>
      <c r="H52" s="6">
        <v>4044</v>
      </c>
      <c r="I52" s="2"/>
      <c r="J52" s="7">
        <f t="shared" si="39"/>
        <v>0</v>
      </c>
      <c r="K52" s="2"/>
      <c r="L52" s="6">
        <f t="shared" si="40"/>
        <v>-139</v>
      </c>
      <c r="M52" s="2"/>
      <c r="N52" s="7">
        <f t="shared" si="41"/>
        <v>-3.4371909000989118E-2</v>
      </c>
      <c r="O52" s="11"/>
      <c r="P52" s="6">
        <v>23154</v>
      </c>
      <c r="Q52" s="2"/>
      <c r="R52" s="7">
        <f t="shared" si="42"/>
        <v>0.30582978618860324</v>
      </c>
      <c r="S52" s="2"/>
      <c r="T52" s="6">
        <v>24001.85</v>
      </c>
      <c r="U52" s="2"/>
      <c r="V52" s="7">
        <f t="shared" si="43"/>
        <v>0</v>
      </c>
      <c r="W52" s="2"/>
      <c r="X52" s="6">
        <f t="shared" si="44"/>
        <v>-847.84999999999854</v>
      </c>
      <c r="Y52" s="2"/>
      <c r="Z52" s="7">
        <f t="shared" si="45"/>
        <v>-3.5324360413884703E-2</v>
      </c>
    </row>
    <row r="53" spans="1:26" s="29" customFormat="1" outlineLevel="1" collapsed="1" x14ac:dyDescent="0.3">
      <c r="A53" s="27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SUM(OSRRefD22_10x_0)</f>
        <v>513.55999999999995</v>
      </c>
      <c r="E53" s="1"/>
      <c r="F53" s="5">
        <f t="shared" si="38"/>
        <v>4.1391194175766685E-2</v>
      </c>
      <c r="G53" s="1"/>
      <c r="H53" s="1">
        <f>SUM(OSRRefH22_10x_0)</f>
        <v>108.52</v>
      </c>
      <c r="I53" s="1"/>
      <c r="J53" s="5">
        <f t="shared" si="39"/>
        <v>0</v>
      </c>
      <c r="K53" s="1"/>
      <c r="L53" s="1">
        <f t="shared" si="40"/>
        <v>405.03999999999996</v>
      </c>
      <c r="M53" s="1"/>
      <c r="N53" s="5">
        <f t="shared" si="41"/>
        <v>3.7323995576852189</v>
      </c>
      <c r="O53" s="14"/>
      <c r="P53" s="1">
        <f>SUM(OSRRefP22_10x_0)</f>
        <v>2782.59</v>
      </c>
      <c r="Q53" s="1"/>
      <c r="R53" s="5">
        <f t="shared" si="42"/>
        <v>3.6753861309084632E-2</v>
      </c>
      <c r="S53" s="1"/>
      <c r="T53" s="1">
        <f>SUM(OSRRefT22_10x_0)</f>
        <v>295.64</v>
      </c>
      <c r="U53" s="1"/>
      <c r="V53" s="5">
        <f t="shared" si="43"/>
        <v>0</v>
      </c>
      <c r="W53" s="1"/>
      <c r="X53" s="1">
        <f t="shared" si="44"/>
        <v>2486.9500000000003</v>
      </c>
      <c r="Y53" s="1"/>
      <c r="Z53" s="5">
        <f t="shared" si="45"/>
        <v>8.412089027195238</v>
      </c>
    </row>
    <row r="54" spans="1:26" s="24" customFormat="1" hidden="1" outlineLevel="2" x14ac:dyDescent="0.3">
      <c r="A54" s="28"/>
      <c r="B54" s="11" t="str">
        <f>CONCATENATE("          ", "6373", " - ", "MAINTENANCE CONTRACTS")</f>
        <v xml:space="preserve">          6373 - MAINTENANCE CONTRACTS</v>
      </c>
      <c r="C54" s="11"/>
      <c r="D54" s="6">
        <v>513.55999999999995</v>
      </c>
      <c r="E54" s="2"/>
      <c r="F54" s="7">
        <f t="shared" si="38"/>
        <v>4.1391194175766685E-2</v>
      </c>
      <c r="G54" s="2"/>
      <c r="H54" s="6">
        <v>108.52</v>
      </c>
      <c r="I54" s="2"/>
      <c r="J54" s="7">
        <f t="shared" si="39"/>
        <v>0</v>
      </c>
      <c r="K54" s="2"/>
      <c r="L54" s="6">
        <f t="shared" si="40"/>
        <v>405.03999999999996</v>
      </c>
      <c r="M54" s="2"/>
      <c r="N54" s="7">
        <f t="shared" si="41"/>
        <v>3.7323995576852189</v>
      </c>
      <c r="O54" s="11"/>
      <c r="P54" s="6">
        <v>621.34</v>
      </c>
      <c r="Q54" s="2"/>
      <c r="R54" s="7">
        <f t="shared" si="42"/>
        <v>8.2069741448746111E-3</v>
      </c>
      <c r="S54" s="2"/>
      <c r="T54" s="6">
        <v>295.64</v>
      </c>
      <c r="U54" s="2"/>
      <c r="V54" s="7">
        <f t="shared" si="43"/>
        <v>0</v>
      </c>
      <c r="W54" s="2"/>
      <c r="X54" s="6">
        <f t="shared" si="44"/>
        <v>325.70000000000005</v>
      </c>
      <c r="Y54" s="2"/>
      <c r="Z54" s="7">
        <f t="shared" si="45"/>
        <v>1.101677716141253</v>
      </c>
    </row>
    <row r="55" spans="1:26" s="24" customFormat="1" hidden="1" outlineLevel="2" x14ac:dyDescent="0.3">
      <c r="A55" s="28"/>
      <c r="B55" s="11" t="str">
        <f>CONCATENATE("          ", "6375", " - ", "OUTSIDE REPAIRS &amp; MAINTENANCE")</f>
        <v xml:space="preserve">          6375 - OUTSIDE REPAIRS &amp; MAINTENANCE</v>
      </c>
      <c r="C55" s="11"/>
      <c r="D55" s="6"/>
      <c r="E55" s="2"/>
      <c r="F55" s="7">
        <f t="shared" si="38"/>
        <v>0</v>
      </c>
      <c r="G55" s="2"/>
      <c r="H55" s="6"/>
      <c r="I55" s="2"/>
      <c r="J55" s="7">
        <f t="shared" si="39"/>
        <v>0</v>
      </c>
      <c r="K55" s="2"/>
      <c r="L55" s="6">
        <f t="shared" si="40"/>
        <v>0</v>
      </c>
      <c r="M55" s="2"/>
      <c r="N55" s="7">
        <f t="shared" si="41"/>
        <v>0</v>
      </c>
      <c r="O55" s="11"/>
      <c r="P55" s="6">
        <v>2161.25</v>
      </c>
      <c r="Q55" s="2"/>
      <c r="R55" s="7">
        <f t="shared" si="42"/>
        <v>2.8546887164210017E-2</v>
      </c>
      <c r="S55" s="2"/>
      <c r="T55" s="6"/>
      <c r="U55" s="2"/>
      <c r="V55" s="7">
        <f t="shared" si="43"/>
        <v>0</v>
      </c>
      <c r="W55" s="2"/>
      <c r="X55" s="6">
        <f t="shared" si="44"/>
        <v>2161.25</v>
      </c>
      <c r="Y55" s="2"/>
      <c r="Z55" s="7">
        <f t="shared" si="45"/>
        <v>0</v>
      </c>
    </row>
    <row r="56" spans="1:26" s="29" customFormat="1" outlineLevel="1" collapsed="1" x14ac:dyDescent="0.3">
      <c r="A56" s="27"/>
      <c r="B56" s="14" t="str">
        <f>CONCATENATE("     ","Services                                          ")</f>
        <v xml:space="preserve">     Services                                          </v>
      </c>
      <c r="C56" s="14"/>
      <c r="D56" s="1">
        <f>SUM(OSRRefD22_11x_0)</f>
        <v>282.56</v>
      </c>
      <c r="E56" s="1"/>
      <c r="F56" s="5">
        <f t="shared" ref="F56:F60" si="46">IF(D$12=0,0,D56/D$12)</f>
        <v>2.27733776507217E-2</v>
      </c>
      <c r="G56" s="1"/>
      <c r="H56" s="1">
        <f>SUM(OSRRefH22_11x_0)</f>
        <v>289</v>
      </c>
      <c r="I56" s="1"/>
      <c r="J56" s="5">
        <f t="shared" ref="J56:J60" si="47">IF(H$12=0,0,H56/H$12)</f>
        <v>0</v>
      </c>
      <c r="K56" s="1"/>
      <c r="L56" s="1">
        <f t="shared" ref="L56:L60" si="48">+D56-H56</f>
        <v>-6.4399999999999977</v>
      </c>
      <c r="M56" s="1"/>
      <c r="N56" s="5">
        <f t="shared" ref="N56:N60" si="49">IF(H56=0,0,L56/H56)</f>
        <v>-2.2283737024221446E-2</v>
      </c>
      <c r="O56" s="14"/>
      <c r="P56" s="1">
        <f>SUM(OSRRefP22_11x_0)</f>
        <v>8665.7199999999993</v>
      </c>
      <c r="Q56" s="1"/>
      <c r="R56" s="5">
        <f t="shared" ref="R56:R60" si="50">IF(P$12=0,0,P56/P$12)</f>
        <v>0.1144612289354022</v>
      </c>
      <c r="S56" s="1"/>
      <c r="T56" s="1">
        <f>SUM(OSRRefT22_11x_0)</f>
        <v>578</v>
      </c>
      <c r="U56" s="1"/>
      <c r="V56" s="5">
        <f t="shared" ref="V56:V60" si="51">IF(T$12=0,0,T56/T$12)</f>
        <v>0</v>
      </c>
      <c r="W56" s="1"/>
      <c r="X56" s="1">
        <f t="shared" ref="X56:X60" si="52">+P56-T56</f>
        <v>8087.7199999999993</v>
      </c>
      <c r="Y56" s="1"/>
      <c r="Z56" s="5">
        <f t="shared" ref="Z56:Z60" si="53">IF(T56=0,0,X56/T56)</f>
        <v>13.992595155709342</v>
      </c>
    </row>
    <row r="57" spans="1:26" s="24" customFormat="1" hidden="1" outlineLevel="2" x14ac:dyDescent="0.3">
      <c r="A57" s="28"/>
      <c r="B57" s="11" t="str">
        <f>CONCATENATE("          ", "6282", " - ", "JANITORIAL/EXTERMINATOR EXPENS")</f>
        <v xml:space="preserve">          6282 - JANITORIAL/EXTERMINATOR EXPENS</v>
      </c>
      <c r="C57" s="11"/>
      <c r="D57" s="6">
        <v>168.4</v>
      </c>
      <c r="E57" s="2"/>
      <c r="F57" s="7">
        <f t="shared" si="46"/>
        <v>1.3572468843366133E-2</v>
      </c>
      <c r="G57" s="2"/>
      <c r="H57" s="6"/>
      <c r="I57" s="2"/>
      <c r="J57" s="7">
        <f t="shared" si="47"/>
        <v>0</v>
      </c>
      <c r="K57" s="2"/>
      <c r="L57" s="6">
        <f t="shared" si="48"/>
        <v>168.4</v>
      </c>
      <c r="M57" s="2"/>
      <c r="N57" s="7">
        <f t="shared" si="49"/>
        <v>0</v>
      </c>
      <c r="O57" s="11"/>
      <c r="P57" s="6">
        <v>1010.4</v>
      </c>
      <c r="Q57" s="2"/>
      <c r="R57" s="7">
        <f t="shared" si="50"/>
        <v>1.3345876132200254E-2</v>
      </c>
      <c r="S57" s="2"/>
      <c r="T57" s="6"/>
      <c r="U57" s="2"/>
      <c r="V57" s="7">
        <f t="shared" si="51"/>
        <v>0</v>
      </c>
      <c r="W57" s="2"/>
      <c r="X57" s="6">
        <f t="shared" si="52"/>
        <v>1010.4</v>
      </c>
      <c r="Y57" s="2"/>
      <c r="Z57" s="7">
        <f t="shared" si="53"/>
        <v>0</v>
      </c>
    </row>
    <row r="58" spans="1:26" s="24" customFormat="1" hidden="1" outlineLevel="2" x14ac:dyDescent="0.3">
      <c r="A58" s="28"/>
      <c r="B58" s="11" t="str">
        <f>CONCATENATE("          ", "6284", " - ", "TRASH REMOVAL EXPENSE")</f>
        <v xml:space="preserve">          6284 - TRASH REMOVAL EXPENSE</v>
      </c>
      <c r="C58" s="11"/>
      <c r="D58" s="6"/>
      <c r="E58" s="2"/>
      <c r="F58" s="7">
        <f t="shared" si="46"/>
        <v>0</v>
      </c>
      <c r="G58" s="2"/>
      <c r="H58" s="6">
        <v>289</v>
      </c>
      <c r="I58" s="2"/>
      <c r="J58" s="7">
        <f t="shared" si="47"/>
        <v>0</v>
      </c>
      <c r="K58" s="2"/>
      <c r="L58" s="6">
        <f t="shared" si="48"/>
        <v>-289</v>
      </c>
      <c r="M58" s="2"/>
      <c r="N58" s="7">
        <f t="shared" si="49"/>
        <v>-1</v>
      </c>
      <c r="O58" s="11"/>
      <c r="P58" s="6"/>
      <c r="Q58" s="2"/>
      <c r="R58" s="7">
        <f t="shared" si="50"/>
        <v>0</v>
      </c>
      <c r="S58" s="2"/>
      <c r="T58" s="6">
        <v>578</v>
      </c>
      <c r="U58" s="2"/>
      <c r="V58" s="7">
        <f t="shared" si="51"/>
        <v>0</v>
      </c>
      <c r="W58" s="2"/>
      <c r="X58" s="6">
        <f t="shared" si="52"/>
        <v>-578</v>
      </c>
      <c r="Y58" s="2"/>
      <c r="Z58" s="7">
        <f t="shared" si="53"/>
        <v>-1</v>
      </c>
    </row>
    <row r="59" spans="1:26" s="24" customFormat="1" hidden="1" outlineLevel="2" x14ac:dyDescent="0.3">
      <c r="A59" s="28"/>
      <c r="B59" s="11" t="str">
        <f>CONCATENATE("          ", "6285", " - ", "JANITORIAL SERVICES")</f>
        <v xml:space="preserve">          6285 - JANITORIAL SERVICES</v>
      </c>
      <c r="C59" s="11"/>
      <c r="D59" s="6"/>
      <c r="E59" s="2"/>
      <c r="F59" s="7">
        <f t="shared" si="46"/>
        <v>0</v>
      </c>
      <c r="G59" s="2"/>
      <c r="H59" s="6"/>
      <c r="I59" s="2"/>
      <c r="J59" s="7">
        <f t="shared" si="47"/>
        <v>0</v>
      </c>
      <c r="K59" s="2"/>
      <c r="L59" s="6">
        <f t="shared" si="48"/>
        <v>0</v>
      </c>
      <c r="M59" s="2"/>
      <c r="N59" s="7">
        <f t="shared" si="49"/>
        <v>0</v>
      </c>
      <c r="O59" s="11"/>
      <c r="P59" s="6">
        <v>7229.52</v>
      </c>
      <c r="Q59" s="2"/>
      <c r="R59" s="7">
        <f t="shared" si="50"/>
        <v>9.5491170244719314E-2</v>
      </c>
      <c r="S59" s="2"/>
      <c r="T59" s="6"/>
      <c r="U59" s="2"/>
      <c r="V59" s="7">
        <f t="shared" si="51"/>
        <v>0</v>
      </c>
      <c r="W59" s="2"/>
      <c r="X59" s="6">
        <f t="shared" si="52"/>
        <v>7229.52</v>
      </c>
      <c r="Y59" s="2"/>
      <c r="Z59" s="7">
        <f t="shared" si="53"/>
        <v>0</v>
      </c>
    </row>
    <row r="60" spans="1:26" s="24" customFormat="1" hidden="1" outlineLevel="2" x14ac:dyDescent="0.3">
      <c r="A60" s="28"/>
      <c r="B60" s="11" t="str">
        <f>CONCATENATE("          ", "6286", " - ", "LAUNDRY EXPENSE")</f>
        <v xml:space="preserve">          6286 - LAUNDRY EXPENSE</v>
      </c>
      <c r="C60" s="11"/>
      <c r="D60" s="6">
        <v>114.16</v>
      </c>
      <c r="E60" s="2"/>
      <c r="F60" s="7">
        <f t="shared" si="46"/>
        <v>9.2009088073555685E-3</v>
      </c>
      <c r="G60" s="2"/>
      <c r="H60" s="6"/>
      <c r="I60" s="2"/>
      <c r="J60" s="7">
        <f t="shared" si="47"/>
        <v>0</v>
      </c>
      <c r="K60" s="2"/>
      <c r="L60" s="6">
        <f t="shared" si="48"/>
        <v>114.16</v>
      </c>
      <c r="M60" s="2"/>
      <c r="N60" s="7">
        <f t="shared" si="49"/>
        <v>0</v>
      </c>
      <c r="O60" s="11"/>
      <c r="P60" s="6">
        <v>425.8</v>
      </c>
      <c r="Q60" s="2"/>
      <c r="R60" s="7">
        <f t="shared" si="50"/>
        <v>5.6241825584826492E-3</v>
      </c>
      <c r="S60" s="2"/>
      <c r="T60" s="6"/>
      <c r="U60" s="2"/>
      <c r="V60" s="7">
        <f t="shared" si="51"/>
        <v>0</v>
      </c>
      <c r="W60" s="2"/>
      <c r="X60" s="6">
        <f t="shared" si="52"/>
        <v>425.8</v>
      </c>
      <c r="Y60" s="2"/>
      <c r="Z60" s="7">
        <f t="shared" si="53"/>
        <v>0</v>
      </c>
    </row>
    <row r="61" spans="1:26" s="29" customFormat="1" outlineLevel="1" collapsed="1" x14ac:dyDescent="0.3">
      <c r="A61" s="27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SUM(OSRRefD22_12x_0)</f>
        <v>175.19</v>
      </c>
      <c r="E61" s="1"/>
      <c r="F61" s="5">
        <f t="shared" ref="F61:F65" si="54">IF(D$12=0,0,D61/D$12)</f>
        <v>1.4119719813950788E-2</v>
      </c>
      <c r="G61" s="1"/>
      <c r="H61" s="1">
        <f>SUM(OSRRefH22_12x_0)</f>
        <v>0</v>
      </c>
      <c r="I61" s="1"/>
      <c r="J61" s="5">
        <f t="shared" ref="J61:J65" si="55">IF(H$12=0,0,H61/H$12)</f>
        <v>0</v>
      </c>
      <c r="K61" s="1"/>
      <c r="L61" s="1">
        <f t="shared" ref="L61:L65" si="56">+D61-H61</f>
        <v>175.19</v>
      </c>
      <c r="M61" s="1"/>
      <c r="N61" s="5">
        <f t="shared" ref="N61:N65" si="57">IF(H61=0,0,L61/H61)</f>
        <v>0</v>
      </c>
      <c r="O61" s="14"/>
      <c r="P61" s="1">
        <f>SUM(OSRRefP22_12x_0)</f>
        <v>1522.1599999999999</v>
      </c>
      <c r="Q61" s="1"/>
      <c r="R61" s="5">
        <f t="shared" ref="R61:R65" si="58">IF(P$12=0,0,P61/P$12)</f>
        <v>2.0105462008501523E-2</v>
      </c>
      <c r="S61" s="1"/>
      <c r="T61" s="1">
        <f>SUM(OSRRefT22_12x_0)</f>
        <v>634.24</v>
      </c>
      <c r="U61" s="1"/>
      <c r="V61" s="5">
        <f t="shared" ref="V61:V65" si="59">IF(T$12=0,0,T61/T$12)</f>
        <v>0</v>
      </c>
      <c r="W61" s="1"/>
      <c r="X61" s="1">
        <f t="shared" ref="X61:X65" si="60">+P61-T61</f>
        <v>887.91999999999985</v>
      </c>
      <c r="Y61" s="1"/>
      <c r="Z61" s="5">
        <f t="shared" ref="Z61:Z65" si="61">IF(T61=0,0,X61/T61)</f>
        <v>1.3999747729566092</v>
      </c>
    </row>
    <row r="62" spans="1:26" s="24" customFormat="1" hidden="1" outlineLevel="2" x14ac:dyDescent="0.3">
      <c r="A62" s="28"/>
      <c r="B62" s="11" t="str">
        <f>CONCATENATE("          ", "6234", " - ", "EXPENDABLE SUPPLIES &amp; EQUIPMEN")</f>
        <v xml:space="preserve">          6234 - EXPENDABLE SUPPLIES &amp; EQUIPMEN</v>
      </c>
      <c r="C62" s="11"/>
      <c r="D62" s="6"/>
      <c r="E62" s="2"/>
      <c r="F62" s="7">
        <f t="shared" si="54"/>
        <v>0</v>
      </c>
      <c r="G62" s="2"/>
      <c r="H62" s="6"/>
      <c r="I62" s="2"/>
      <c r="J62" s="7">
        <f t="shared" si="55"/>
        <v>0</v>
      </c>
      <c r="K62" s="2"/>
      <c r="L62" s="6">
        <f t="shared" si="56"/>
        <v>0</v>
      </c>
      <c r="M62" s="2"/>
      <c r="N62" s="7">
        <f t="shared" si="57"/>
        <v>0</v>
      </c>
      <c r="O62" s="11"/>
      <c r="P62" s="6"/>
      <c r="Q62" s="2"/>
      <c r="R62" s="7">
        <f t="shared" si="58"/>
        <v>0</v>
      </c>
      <c r="S62" s="2"/>
      <c r="T62" s="6">
        <v>316.67</v>
      </c>
      <c r="U62" s="2"/>
      <c r="V62" s="7">
        <f t="shared" si="59"/>
        <v>0</v>
      </c>
      <c r="W62" s="2"/>
      <c r="X62" s="6">
        <f t="shared" si="60"/>
        <v>-316.67</v>
      </c>
      <c r="Y62" s="2"/>
      <c r="Z62" s="7">
        <f t="shared" si="61"/>
        <v>-1</v>
      </c>
    </row>
    <row r="63" spans="1:26" s="24" customFormat="1" hidden="1" outlineLevel="2" x14ac:dyDescent="0.3">
      <c r="A63" s="28"/>
      <c r="B63" s="11" t="str">
        <f>CONCATENATE("          ", "6237", " - ", "JANITORIAL SUPPLIES")</f>
        <v xml:space="preserve">          6237 - JANITORIAL SUPPLIES</v>
      </c>
      <c r="C63" s="11"/>
      <c r="D63" s="6">
        <v>76.540000000000006</v>
      </c>
      <c r="E63" s="2"/>
      <c r="F63" s="7">
        <f t="shared" si="54"/>
        <v>6.1688644018482418E-3</v>
      </c>
      <c r="G63" s="2"/>
      <c r="H63" s="6"/>
      <c r="I63" s="2"/>
      <c r="J63" s="7">
        <f t="shared" si="55"/>
        <v>0</v>
      </c>
      <c r="K63" s="2"/>
      <c r="L63" s="6">
        <f t="shared" si="56"/>
        <v>76.540000000000006</v>
      </c>
      <c r="M63" s="2"/>
      <c r="N63" s="7">
        <f t="shared" si="57"/>
        <v>0</v>
      </c>
      <c r="O63" s="11"/>
      <c r="P63" s="6">
        <v>565.38</v>
      </c>
      <c r="Q63" s="2"/>
      <c r="R63" s="7">
        <f t="shared" si="58"/>
        <v>7.4678260566343824E-3</v>
      </c>
      <c r="S63" s="2"/>
      <c r="T63" s="6">
        <v>317.57</v>
      </c>
      <c r="U63" s="2"/>
      <c r="V63" s="7">
        <f t="shared" si="59"/>
        <v>0</v>
      </c>
      <c r="W63" s="2"/>
      <c r="X63" s="6">
        <f t="shared" si="60"/>
        <v>247.81</v>
      </c>
      <c r="Y63" s="2"/>
      <c r="Z63" s="7">
        <f t="shared" si="61"/>
        <v>0.78033189533016345</v>
      </c>
    </row>
    <row r="64" spans="1:26" s="24" customFormat="1" hidden="1" outlineLevel="2" x14ac:dyDescent="0.3">
      <c r="A64" s="28"/>
      <c r="B64" s="11" t="str">
        <f>CONCATENATE("          ", "6241", " - ", "OFFICE EXPENSE")</f>
        <v xml:space="preserve">          6241 - OFFICE EXPENSE</v>
      </c>
      <c r="C64" s="11"/>
      <c r="D64" s="6">
        <v>32.31</v>
      </c>
      <c r="E64" s="2"/>
      <c r="F64" s="7">
        <f t="shared" si="54"/>
        <v>2.6040764152562932E-3</v>
      </c>
      <c r="G64" s="2"/>
      <c r="H64" s="6"/>
      <c r="I64" s="2"/>
      <c r="J64" s="7">
        <f t="shared" si="55"/>
        <v>0</v>
      </c>
      <c r="K64" s="2"/>
      <c r="L64" s="6">
        <f t="shared" si="56"/>
        <v>32.31</v>
      </c>
      <c r="M64" s="2"/>
      <c r="N64" s="7">
        <f t="shared" si="57"/>
        <v>0</v>
      </c>
      <c r="O64" s="11"/>
      <c r="P64" s="6">
        <v>205.29</v>
      </c>
      <c r="Q64" s="2"/>
      <c r="R64" s="7">
        <f t="shared" si="58"/>
        <v>2.7115745360049388E-3</v>
      </c>
      <c r="S64" s="2"/>
      <c r="T64" s="6"/>
      <c r="U64" s="2"/>
      <c r="V64" s="7">
        <f t="shared" si="59"/>
        <v>0</v>
      </c>
      <c r="W64" s="2"/>
      <c r="X64" s="6">
        <f t="shared" si="60"/>
        <v>205.29</v>
      </c>
      <c r="Y64" s="2"/>
      <c r="Z64" s="7">
        <f t="shared" si="61"/>
        <v>0</v>
      </c>
    </row>
    <row r="65" spans="1:26" s="24" customFormat="1" hidden="1" outlineLevel="2" x14ac:dyDescent="0.3">
      <c r="A65" s="28"/>
      <c r="B65" s="11" t="str">
        <f>CONCATENATE("          ", "6247", " - ", "STORE SUPPLIES")</f>
        <v xml:space="preserve">          6247 - STORE SUPPLIES</v>
      </c>
      <c r="C65" s="11"/>
      <c r="D65" s="6">
        <v>66.34</v>
      </c>
      <c r="E65" s="2"/>
      <c r="F65" s="7">
        <f t="shared" si="54"/>
        <v>5.3467789968462548E-3</v>
      </c>
      <c r="G65" s="2"/>
      <c r="H65" s="6"/>
      <c r="I65" s="2"/>
      <c r="J65" s="7">
        <f t="shared" si="55"/>
        <v>0</v>
      </c>
      <c r="K65" s="2"/>
      <c r="L65" s="6">
        <f t="shared" si="56"/>
        <v>66.34</v>
      </c>
      <c r="M65" s="2"/>
      <c r="N65" s="7">
        <f t="shared" si="57"/>
        <v>0</v>
      </c>
      <c r="O65" s="11"/>
      <c r="P65" s="6">
        <v>751.49</v>
      </c>
      <c r="Q65" s="2"/>
      <c r="R65" s="7">
        <f t="shared" si="58"/>
        <v>9.9260614158622022E-3</v>
      </c>
      <c r="S65" s="2"/>
      <c r="T65" s="6"/>
      <c r="U65" s="2"/>
      <c r="V65" s="7">
        <f t="shared" si="59"/>
        <v>0</v>
      </c>
      <c r="W65" s="2"/>
      <c r="X65" s="6">
        <f t="shared" si="60"/>
        <v>751.49</v>
      </c>
      <c r="Y65" s="2"/>
      <c r="Z65" s="7">
        <f t="shared" si="61"/>
        <v>0</v>
      </c>
    </row>
    <row r="66" spans="1:26" s="29" customFormat="1" outlineLevel="1" collapsed="1" x14ac:dyDescent="0.3">
      <c r="A66" s="27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SUM(OSRRefD22_13x_0)</f>
        <v>22</v>
      </c>
      <c r="E66" s="1"/>
      <c r="F66" s="5">
        <f t="shared" ref="F66:F69" si="62">IF(D$12=0,0,D66/D$12)</f>
        <v>1.7731253833376181E-3</v>
      </c>
      <c r="G66" s="1"/>
      <c r="H66" s="1">
        <f>SUM(OSRRefH22_13x_0)</f>
        <v>22</v>
      </c>
      <c r="I66" s="1"/>
      <c r="J66" s="5">
        <f t="shared" ref="J66:J69" si="63">IF(H$12=0,0,H66/H$12)</f>
        <v>0</v>
      </c>
      <c r="K66" s="1"/>
      <c r="L66" s="1">
        <f t="shared" ref="L66:L69" si="64">+D66-H66</f>
        <v>0</v>
      </c>
      <c r="M66" s="1"/>
      <c r="N66" s="5">
        <f t="shared" ref="N66:N69" si="65">IF(H66=0,0,L66/H66)</f>
        <v>0</v>
      </c>
      <c r="O66" s="14"/>
      <c r="P66" s="1">
        <f>SUM(OSRRefP22_13x_0)</f>
        <v>239</v>
      </c>
      <c r="Q66" s="1"/>
      <c r="R66" s="5">
        <f t="shared" ref="R66:R69" si="66">IF(P$12=0,0,P66/P$12)</f>
        <v>3.156833328974526E-3</v>
      </c>
      <c r="S66" s="1"/>
      <c r="T66" s="1">
        <f>SUM(OSRRefT22_13x_0)</f>
        <v>887.87</v>
      </c>
      <c r="U66" s="1"/>
      <c r="V66" s="5">
        <f t="shared" ref="V66:V69" si="67">IF(T$12=0,0,T66/T$12)</f>
        <v>0</v>
      </c>
      <c r="W66" s="1"/>
      <c r="X66" s="1">
        <f t="shared" ref="X66:X69" si="68">+P66-T66</f>
        <v>-648.87</v>
      </c>
      <c r="Y66" s="1"/>
      <c r="Z66" s="5">
        <f t="shared" ref="Z66:Z69" si="69">IF(T66=0,0,X66/T66)</f>
        <v>-0.73081644835392567</v>
      </c>
    </row>
    <row r="67" spans="1:26" s="24" customFormat="1" hidden="1" outlineLevel="2" x14ac:dyDescent="0.3">
      <c r="A67" s="28"/>
      <c r="B67" s="11" t="str">
        <f>CONCATENATE("          ", "6309", " - ", "TELEPHONE")</f>
        <v xml:space="preserve">          6309 - TELEPHONE</v>
      </c>
      <c r="C67" s="11"/>
      <c r="D67" s="6">
        <v>22</v>
      </c>
      <c r="E67" s="2"/>
      <c r="F67" s="7">
        <f t="shared" si="62"/>
        <v>1.7731253833376181E-3</v>
      </c>
      <c r="G67" s="2"/>
      <c r="H67" s="6">
        <v>22</v>
      </c>
      <c r="I67" s="2"/>
      <c r="J67" s="7">
        <f t="shared" si="63"/>
        <v>0</v>
      </c>
      <c r="K67" s="2"/>
      <c r="L67" s="6">
        <f t="shared" si="64"/>
        <v>0</v>
      </c>
      <c r="M67" s="2"/>
      <c r="N67" s="7">
        <f t="shared" si="65"/>
        <v>0</v>
      </c>
      <c r="O67" s="11"/>
      <c r="P67" s="6">
        <v>239</v>
      </c>
      <c r="Q67" s="2"/>
      <c r="R67" s="7">
        <f t="shared" si="66"/>
        <v>3.156833328974526E-3</v>
      </c>
      <c r="S67" s="2"/>
      <c r="T67" s="6">
        <v>887.87</v>
      </c>
      <c r="U67" s="2"/>
      <c r="V67" s="7">
        <f t="shared" si="67"/>
        <v>0</v>
      </c>
      <c r="W67" s="2"/>
      <c r="X67" s="6">
        <f t="shared" si="68"/>
        <v>-648.87</v>
      </c>
      <c r="Y67" s="2"/>
      <c r="Z67" s="7">
        <f t="shared" si="69"/>
        <v>-0.73081644835392567</v>
      </c>
    </row>
    <row r="68" spans="1:26" s="29" customFormat="1" outlineLevel="1" collapsed="1" x14ac:dyDescent="0.3">
      <c r="A68" s="27"/>
      <c r="B68" s="14" t="str">
        <f>CONCATENATE("     ","Utilities                                         ")</f>
        <v xml:space="preserve">     Utilities                                         </v>
      </c>
      <c r="C68" s="14"/>
      <c r="D68" s="1">
        <f>SUM(OSRRefD22_14x_0)</f>
        <v>100</v>
      </c>
      <c r="E68" s="1"/>
      <c r="F68" s="5">
        <f t="shared" si="62"/>
        <v>8.0596608333528101E-3</v>
      </c>
      <c r="G68" s="1"/>
      <c r="H68" s="1">
        <f>SUM(OSRRefH22_14x_0)</f>
        <v>878</v>
      </c>
      <c r="I68" s="1"/>
      <c r="J68" s="5">
        <f t="shared" si="63"/>
        <v>0</v>
      </c>
      <c r="K68" s="1"/>
      <c r="L68" s="1">
        <f t="shared" si="64"/>
        <v>-778</v>
      </c>
      <c r="M68" s="1"/>
      <c r="N68" s="5">
        <f t="shared" si="65"/>
        <v>-0.88610478359908884</v>
      </c>
      <c r="O68" s="14"/>
      <c r="P68" s="1">
        <f>SUM(OSRRefP22_14x_0)</f>
        <v>600</v>
      </c>
      <c r="Q68" s="1"/>
      <c r="R68" s="5">
        <f t="shared" si="66"/>
        <v>7.9251045915678473E-3</v>
      </c>
      <c r="S68" s="1"/>
      <c r="T68" s="1">
        <f>SUM(OSRRefT22_14x_0)</f>
        <v>2634</v>
      </c>
      <c r="U68" s="1"/>
      <c r="V68" s="5">
        <f t="shared" si="67"/>
        <v>0</v>
      </c>
      <c r="W68" s="1"/>
      <c r="X68" s="1">
        <f t="shared" si="68"/>
        <v>-2034</v>
      </c>
      <c r="Y68" s="1"/>
      <c r="Z68" s="5">
        <f t="shared" si="69"/>
        <v>-0.77220956719817768</v>
      </c>
    </row>
    <row r="69" spans="1:26" s="24" customFormat="1" hidden="1" outlineLevel="2" x14ac:dyDescent="0.3">
      <c r="A69" s="28"/>
      <c r="B69" s="11" t="str">
        <f>CONCATENATE("          ", "6274", " - ", "UTILITIES")</f>
        <v xml:space="preserve">          6274 - UTILITIES</v>
      </c>
      <c r="C69" s="11"/>
      <c r="D69" s="6">
        <v>100</v>
      </c>
      <c r="E69" s="2"/>
      <c r="F69" s="7">
        <f t="shared" si="62"/>
        <v>8.0596608333528101E-3</v>
      </c>
      <c r="G69" s="2"/>
      <c r="H69" s="6">
        <v>878</v>
      </c>
      <c r="I69" s="2"/>
      <c r="J69" s="7">
        <f t="shared" si="63"/>
        <v>0</v>
      </c>
      <c r="K69" s="2"/>
      <c r="L69" s="6">
        <f t="shared" si="64"/>
        <v>-778</v>
      </c>
      <c r="M69" s="2"/>
      <c r="N69" s="7">
        <f t="shared" si="65"/>
        <v>-0.88610478359908884</v>
      </c>
      <c r="O69" s="11"/>
      <c r="P69" s="6">
        <v>600</v>
      </c>
      <c r="Q69" s="2"/>
      <c r="R69" s="7">
        <f t="shared" si="66"/>
        <v>7.9251045915678473E-3</v>
      </c>
      <c r="S69" s="2"/>
      <c r="T69" s="6">
        <v>2634</v>
      </c>
      <c r="U69" s="2"/>
      <c r="V69" s="7">
        <f t="shared" si="67"/>
        <v>0</v>
      </c>
      <c r="W69" s="2"/>
      <c r="X69" s="6">
        <f t="shared" si="68"/>
        <v>-2034</v>
      </c>
      <c r="Y69" s="2"/>
      <c r="Z69" s="7">
        <f t="shared" si="69"/>
        <v>-0.77220956719817768</v>
      </c>
    </row>
    <row r="70" spans="1:26" s="53" customFormat="1" x14ac:dyDescent="0.3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3">
      <c r="A71" s="10"/>
      <c r="B71" s="25" t="s">
        <v>292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3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3">
      <c r="A73" s="10"/>
      <c r="B73" s="26" t="s">
        <v>276</v>
      </c>
      <c r="C73" s="26"/>
      <c r="D73" s="20">
        <f>+D20-D22+D71</f>
        <v>-11058.66</v>
      </c>
      <c r="E73" s="13"/>
      <c r="F73" s="21">
        <f>IF(D$12=0,0,D73/D$12)</f>
        <v>-0.89129048871365391</v>
      </c>
      <c r="G73" s="13"/>
      <c r="H73" s="20">
        <f>+H20-H22+H71</f>
        <v>-11085.79</v>
      </c>
      <c r="I73" s="13"/>
      <c r="J73" s="21">
        <f>IF(H$12=0,0,H73/H$12)</f>
        <v>0</v>
      </c>
      <c r="K73" s="15"/>
      <c r="L73" s="20">
        <f>+D73-H73</f>
        <v>27.130000000001019</v>
      </c>
      <c r="M73" s="15"/>
      <c r="N73" s="21">
        <f>IF(H73=0,0,L73/H73)</f>
        <v>-2.4472770997827865E-3</v>
      </c>
      <c r="O73" s="25"/>
      <c r="P73" s="20">
        <f>+P20-P22+P71</f>
        <v>-61700.619999999995</v>
      </c>
      <c r="Q73" s="13"/>
      <c r="R73" s="21">
        <f>IF(P$12=0,0,P73/P$12)</f>
        <v>-0.81497311144097151</v>
      </c>
      <c r="S73" s="13"/>
      <c r="T73" s="20">
        <f>+T20-T22+T71</f>
        <v>-79171.259999999995</v>
      </c>
      <c r="U73" s="13"/>
      <c r="V73" s="21">
        <f>IF(T$12=0,0,T73/T$12)</f>
        <v>0</v>
      </c>
      <c r="W73" s="15"/>
      <c r="X73" s="20">
        <f>+P73-T73</f>
        <v>17470.64</v>
      </c>
      <c r="Y73" s="15"/>
      <c r="Z73" s="21">
        <f>IF(T73=0,0,X73/T73)</f>
        <v>-0.22066896497542166</v>
      </c>
    </row>
    <row r="74" spans="1:26" x14ac:dyDescent="0.3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">
      <c r="A75" s="51"/>
      <c r="B75" s="10" t="s">
        <v>127</v>
      </c>
      <c r="C75" s="10"/>
      <c r="D75" s="4">
        <v>1573.2</v>
      </c>
      <c r="E75" s="4"/>
      <c r="F75" s="12">
        <f>IF(D$12=0,0,D75/D$12)</f>
        <v>0.1267945842303064</v>
      </c>
      <c r="G75" s="4"/>
      <c r="H75" s="4"/>
      <c r="I75" s="4"/>
      <c r="J75" s="12">
        <f>IF(H$12=0,0,H75/H$12)</f>
        <v>0</v>
      </c>
      <c r="K75" s="4"/>
      <c r="L75" s="4">
        <f>+D75-H75</f>
        <v>1573.2</v>
      </c>
      <c r="M75" s="4"/>
      <c r="N75" s="12">
        <f>IF(H75=0,0,L75/H75)</f>
        <v>0</v>
      </c>
      <c r="O75" s="10"/>
      <c r="P75" s="4">
        <v>9113.1299999999992</v>
      </c>
      <c r="Q75" s="4"/>
      <c r="R75" s="12">
        <f>IF(P$12=0,0,P75/P$12)</f>
        <v>0.12037084734425782</v>
      </c>
      <c r="S75" s="4"/>
      <c r="T75" s="4"/>
      <c r="U75" s="4"/>
      <c r="V75" s="12">
        <f>IF(T$12=0,0,T75/T$12)</f>
        <v>0</v>
      </c>
      <c r="W75" s="4"/>
      <c r="X75" s="4">
        <f>+P75-T75</f>
        <v>9113.1299999999992</v>
      </c>
      <c r="Y75" s="4"/>
      <c r="Z75" s="12">
        <f>IF(T75=0,0,X75/T75)</f>
        <v>0</v>
      </c>
    </row>
    <row r="76" spans="1:26" x14ac:dyDescent="0.3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" thickBot="1" x14ac:dyDescent="0.35">
      <c r="A77" s="10"/>
      <c r="B77" s="26" t="s">
        <v>125</v>
      </c>
      <c r="C77" s="26"/>
      <c r="D77" s="32">
        <f>+D73-D75</f>
        <v>-12631.86</v>
      </c>
      <c r="E77" s="13"/>
      <c r="F77" s="35">
        <f>IF(D$12=0,0,D77/D$12)</f>
        <v>-1.0180850729439603</v>
      </c>
      <c r="G77" s="13"/>
      <c r="H77" s="32">
        <f>+H73-H75</f>
        <v>-11085.79</v>
      </c>
      <c r="I77" s="13"/>
      <c r="J77" s="35">
        <f>IF(H$12=0,0,H77/H$12)</f>
        <v>0</v>
      </c>
      <c r="K77" s="15"/>
      <c r="L77" s="32">
        <f>D77-H77</f>
        <v>-1546.0699999999997</v>
      </c>
      <c r="M77" s="15"/>
      <c r="N77" s="35">
        <f>IF(H77=0,0,L77/H77)</f>
        <v>0.13946412479399301</v>
      </c>
      <c r="O77" s="25"/>
      <c r="P77" s="32">
        <f>+P73-P75</f>
        <v>-70813.75</v>
      </c>
      <c r="Q77" s="13"/>
      <c r="R77" s="35">
        <f>IF(P$12=0,0,P77/P$12)</f>
        <v>-0.93534395878522947</v>
      </c>
      <c r="S77" s="13"/>
      <c r="T77" s="32">
        <f>+T73-T75</f>
        <v>-79171.259999999995</v>
      </c>
      <c r="U77" s="13"/>
      <c r="V77" s="35">
        <f>IF(T$12=0,0,T77/T$12)</f>
        <v>0</v>
      </c>
      <c r="W77" s="15"/>
      <c r="X77" s="32">
        <f>P77-T77</f>
        <v>8357.5099999999948</v>
      </c>
      <c r="Y77" s="15"/>
      <c r="Z77" s="35">
        <f>IF(T77=0,0,X77/T77)</f>
        <v>-0.10556242252554772</v>
      </c>
    </row>
    <row r="78" spans="1:26" ht="15" thickTop="1" x14ac:dyDescent="0.3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3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" thickBot="1" x14ac:dyDescent="0.35">
      <c r="A80" s="10"/>
      <c r="B80" s="26" t="s">
        <v>293</v>
      </c>
      <c r="C80" s="26"/>
      <c r="D80" s="31">
        <f>SUM(D77:D79)</f>
        <v>-12631.86</v>
      </c>
      <c r="E80" s="13"/>
      <c r="F80" s="33">
        <f>IF(D$12=0,0,D80/D$12)</f>
        <v>-1.0180850729439603</v>
      </c>
      <c r="G80" s="13"/>
      <c r="H80" s="31">
        <f>SUM(H77:H79)</f>
        <v>-11085.79</v>
      </c>
      <c r="I80" s="13"/>
      <c r="J80" s="33">
        <f>IF(H$12=0,0,H80/H$12)</f>
        <v>0</v>
      </c>
      <c r="K80" s="15"/>
      <c r="L80" s="31">
        <f>+D80-H80</f>
        <v>-1546.0699999999997</v>
      </c>
      <c r="M80" s="15"/>
      <c r="N80" s="33">
        <f>IF(H80=0,0,L80/H80)</f>
        <v>0.13946412479399301</v>
      </c>
      <c r="O80" s="25"/>
      <c r="P80" s="31">
        <f>SUM(P77:P79)</f>
        <v>-70813.75</v>
      </c>
      <c r="Q80" s="13"/>
      <c r="R80" s="33">
        <f>IF(P$12=0,0,P80/P$12)</f>
        <v>-0.93534395878522947</v>
      </c>
      <c r="S80" s="13"/>
      <c r="T80" s="31">
        <f>SUM(T77:T79)</f>
        <v>-79171.259999999995</v>
      </c>
      <c r="U80" s="13"/>
      <c r="V80" s="33">
        <f>IF(T$12=0,0,T80/T$12)</f>
        <v>0</v>
      </c>
      <c r="W80" s="15"/>
      <c r="X80" s="31">
        <f>+P80-T80</f>
        <v>8357.5099999999948</v>
      </c>
      <c r="Y80" s="15"/>
      <c r="Z80" s="33">
        <f>IF(T80=0,0,X80/T80)</f>
        <v>-0.10556242252554772</v>
      </c>
    </row>
    <row r="81" spans="1:24" ht="15" thickTop="1" x14ac:dyDescent="0.3">
      <c r="A81" s="9"/>
      <c r="C81" s="9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3">
      <c r="A82" s="9"/>
      <c r="B82" s="60">
        <v>44575.854680405093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3">
      <c r="A83" s="9"/>
      <c r="B83" s="57" t="s">
        <v>56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3">
      <c r="A84" s="9"/>
      <c r="B84" s="59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4" x14ac:dyDescent="0.3"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","327", " - ", "C-Store Vending Machine(s)")</f>
        <v>Department 327 - C-Store Vending Machine(s)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70.75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70.75</v>
      </c>
      <c r="M12" s="4"/>
      <c r="N12" s="12">
        <f t="shared" ref="N12:N14" si="1">IF(H12=0,0,L12/H12)</f>
        <v>0</v>
      </c>
      <c r="O12" s="10"/>
      <c r="P12" s="4">
        <f>SUM(OSRRefP13x_0)</f>
        <v>698.72</v>
      </c>
      <c r="Q12" s="4"/>
      <c r="R12" s="12"/>
      <c r="S12" s="4"/>
      <c r="T12" s="4">
        <f>SUM(OSRRefT13x_0)</f>
        <v>110</v>
      </c>
      <c r="U12" s="4"/>
      <c r="V12" s="12"/>
      <c r="W12" s="4"/>
      <c r="X12" s="4">
        <f t="shared" ref="X12:X14" si="2">+P12-T12</f>
        <v>588.72</v>
      </c>
      <c r="Y12" s="4"/>
      <c r="Z12" s="12">
        <f t="shared" ref="Z12:Z14" si="3">IF(T12=0,0,X12/T12)</f>
        <v>5.3520000000000003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--70.75</f>
        <v>70.75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70.75</v>
      </c>
      <c r="M13" s="2"/>
      <c r="N13" s="19">
        <f t="shared" si="1"/>
        <v>0</v>
      </c>
      <c r="O13" s="11"/>
      <c r="P13" s="2">
        <f>--698.72</f>
        <v>698.72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698.72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--110</f>
        <v>110</v>
      </c>
      <c r="U14" s="2"/>
      <c r="V14" s="19"/>
      <c r="W14" s="2"/>
      <c r="X14" s="2">
        <f t="shared" si="2"/>
        <v>-110</v>
      </c>
      <c r="Y14" s="2"/>
      <c r="Z14" s="19">
        <f t="shared" si="3"/>
        <v>-1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5" t="s">
        <v>256</v>
      </c>
      <c r="C16" s="10"/>
      <c r="D16" s="4">
        <f>SUM(OSRRefD16x_0)</f>
        <v>11</v>
      </c>
      <c r="E16" s="4"/>
      <c r="F16" s="12">
        <f t="shared" ref="F16:F18" si="5">IF(D$12=0,0,D16/D$12)</f>
        <v>0.15547703180212014</v>
      </c>
      <c r="G16" s="4"/>
      <c r="H16" s="4">
        <f>SUM(OSRRefH16x_0)</f>
        <v>0</v>
      </c>
      <c r="I16" s="4"/>
      <c r="J16" s="12">
        <f t="shared" ref="J16:J18" si="6">IF(H$12=0,0,H16/H$12)</f>
        <v>0</v>
      </c>
      <c r="K16" s="4"/>
      <c r="L16" s="4">
        <f t="shared" ref="L16:L18" si="7">+D16-H16</f>
        <v>11</v>
      </c>
      <c r="M16" s="4"/>
      <c r="N16" s="12">
        <f t="shared" ref="N16:N18" si="8">IF(H16=0,0,L16/H16)</f>
        <v>0</v>
      </c>
      <c r="O16" s="10"/>
      <c r="P16" s="4">
        <f>SUM(OSRRefP16x_0)</f>
        <v>-8.7999999999999972</v>
      </c>
      <c r="Q16" s="4"/>
      <c r="R16" s="12">
        <f t="shared" ref="R16:R18" si="9">IF(P$12=0,0,P16/P$12)</f>
        <v>-1.2594458438287149E-2</v>
      </c>
      <c r="S16" s="4"/>
      <c r="T16" s="4">
        <f>SUM(OSRRefT16x_0)</f>
        <v>68.91</v>
      </c>
      <c r="U16" s="4"/>
      <c r="V16" s="12">
        <f t="shared" ref="V16:V18" si="10">IF(T$12=0,0,T16/T$12)</f>
        <v>0.62645454545454538</v>
      </c>
      <c r="W16" s="4"/>
      <c r="X16" s="4">
        <f t="shared" ref="X16:X18" si="11">+P16-T16</f>
        <v>-77.709999999999994</v>
      </c>
      <c r="Y16" s="4"/>
      <c r="Z16" s="12">
        <f t="shared" ref="Z16:Z18" si="12">IF(T16=0,0,X16/T16)</f>
        <v>-1.1277028007546075</v>
      </c>
    </row>
    <row r="17" spans="1:26" s="24" customFormat="1" hidden="1" outlineLevel="1" x14ac:dyDescent="0.3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/>
      <c r="I17" s="2"/>
      <c r="J17" s="19">
        <f t="shared" si="6"/>
        <v>0</v>
      </c>
      <c r="K17" s="2"/>
      <c r="L17" s="2">
        <f t="shared" si="7"/>
        <v>0</v>
      </c>
      <c r="M17" s="2"/>
      <c r="N17" s="19">
        <f t="shared" si="8"/>
        <v>0</v>
      </c>
      <c r="O17" s="11"/>
      <c r="P17" s="2">
        <v>45</v>
      </c>
      <c r="Q17" s="2"/>
      <c r="R17" s="19">
        <f t="shared" si="9"/>
        <v>6.4403480650332037E-2</v>
      </c>
      <c r="S17" s="2"/>
      <c r="T17" s="2"/>
      <c r="U17" s="2"/>
      <c r="V17" s="19">
        <f t="shared" si="10"/>
        <v>0</v>
      </c>
      <c r="W17" s="2"/>
      <c r="X17" s="2">
        <f t="shared" si="11"/>
        <v>45</v>
      </c>
      <c r="Y17" s="2"/>
      <c r="Z17" s="19">
        <f t="shared" si="12"/>
        <v>0</v>
      </c>
    </row>
    <row r="18" spans="1:26" s="24" customFormat="1" hidden="1" outlineLevel="1" x14ac:dyDescent="0.3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11</v>
      </c>
      <c r="E18" s="2"/>
      <c r="F18" s="19">
        <f t="shared" si="5"/>
        <v>0.15547703180212014</v>
      </c>
      <c r="G18" s="2"/>
      <c r="H18" s="2"/>
      <c r="I18" s="2"/>
      <c r="J18" s="19">
        <f t="shared" si="6"/>
        <v>0</v>
      </c>
      <c r="K18" s="2"/>
      <c r="L18" s="2">
        <f t="shared" si="7"/>
        <v>11</v>
      </c>
      <c r="M18" s="2"/>
      <c r="N18" s="19">
        <f t="shared" si="8"/>
        <v>0</v>
      </c>
      <c r="O18" s="11"/>
      <c r="P18" s="2">
        <v>-53.8</v>
      </c>
      <c r="Q18" s="2"/>
      <c r="R18" s="19">
        <f t="shared" si="9"/>
        <v>-7.6997939088619183E-2</v>
      </c>
      <c r="S18" s="2"/>
      <c r="T18" s="2">
        <v>68.91</v>
      </c>
      <c r="U18" s="2"/>
      <c r="V18" s="19">
        <f t="shared" si="10"/>
        <v>0.62645454545454538</v>
      </c>
      <c r="W18" s="2"/>
      <c r="X18" s="2">
        <f t="shared" si="11"/>
        <v>-122.71</v>
      </c>
      <c r="Y18" s="2"/>
      <c r="Z18" s="19">
        <f t="shared" si="12"/>
        <v>-1.7807284864315773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6" t="s">
        <v>107</v>
      </c>
      <c r="C20" s="26"/>
      <c r="D20" s="20">
        <f>D12-D16</f>
        <v>59.75</v>
      </c>
      <c r="E20" s="13"/>
      <c r="F20" s="21">
        <f>IF(D$12=0,0,D20/D$12)</f>
        <v>0.84452296819787986</v>
      </c>
      <c r="G20" s="13"/>
      <c r="H20" s="20">
        <f>H12-H16</f>
        <v>0</v>
      </c>
      <c r="I20" s="13"/>
      <c r="J20" s="21">
        <f>IF(H$12=0,0,H20/H$12)</f>
        <v>0</v>
      </c>
      <c r="K20" s="15"/>
      <c r="L20" s="20">
        <f>+D20-H20</f>
        <v>59.75</v>
      </c>
      <c r="M20" s="15"/>
      <c r="N20" s="21">
        <f>IF(H20=0,0,L20/H20)</f>
        <v>0</v>
      </c>
      <c r="O20" s="25"/>
      <c r="P20" s="20">
        <f>P12-P16</f>
        <v>707.52</v>
      </c>
      <c r="Q20" s="13"/>
      <c r="R20" s="21">
        <f>IF(P$12=0,0,P20/P$12)</f>
        <v>1.0125944584382871</v>
      </c>
      <c r="S20" s="13"/>
      <c r="T20" s="20">
        <f>T12-T16</f>
        <v>41.09</v>
      </c>
      <c r="U20" s="13"/>
      <c r="V20" s="21">
        <f>IF(T$12=0,0,T20/T$12)</f>
        <v>0.37354545454545457</v>
      </c>
      <c r="W20" s="15"/>
      <c r="X20" s="20">
        <f>+P20-T20</f>
        <v>666.43</v>
      </c>
      <c r="Y20" s="15"/>
      <c r="Z20" s="21">
        <f>IF(T20=0,0,X20/T20)</f>
        <v>16.218788026283764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5" t="s">
        <v>294</v>
      </c>
      <c r="C22" s="10"/>
      <c r="D22" s="22">
        <f>SUM(OSRRefD22x_0)</f>
        <v>44.6</v>
      </c>
      <c r="E22" s="22"/>
      <c r="F22" s="34">
        <f t="shared" ref="F22:F24" si="13">IF(D$12=0,0,D22/D$12)</f>
        <v>0.63038869257950536</v>
      </c>
      <c r="G22" s="22"/>
      <c r="H22" s="22">
        <f>SUM(OSRRefH22x_0)</f>
        <v>0</v>
      </c>
      <c r="I22" s="22"/>
      <c r="J22" s="34">
        <f t="shared" ref="J22:J24" si="14">IF(H$12=0,0,H22/H$12)</f>
        <v>0</v>
      </c>
      <c r="K22" s="4"/>
      <c r="L22" s="22">
        <f t="shared" ref="L22:L24" si="15">+D22-H22</f>
        <v>44.6</v>
      </c>
      <c r="M22" s="4"/>
      <c r="N22" s="34">
        <f t="shared" ref="N22:N24" si="16">IF(H22=0,0,L22/H22)</f>
        <v>0</v>
      </c>
      <c r="O22" s="10"/>
      <c r="P22" s="22">
        <f>SUM(OSRRefP22x_0)</f>
        <v>366.65</v>
      </c>
      <c r="Q22" s="22"/>
      <c r="R22" s="34">
        <f t="shared" ref="R22:R24" si="17">IF(P$12=0,0,P22/P$12)</f>
        <v>0.52474524845431636</v>
      </c>
      <c r="S22" s="22"/>
      <c r="T22" s="22">
        <f>SUM(OSRRefT22x_0)</f>
        <v>0</v>
      </c>
      <c r="U22" s="22"/>
      <c r="V22" s="34">
        <f t="shared" ref="V22:V24" si="18">IF(T$12=0,0,T22/T$12)</f>
        <v>0</v>
      </c>
      <c r="W22" s="4"/>
      <c r="X22" s="22">
        <f t="shared" ref="X22:X24" si="19">+P22-T22</f>
        <v>366.65</v>
      </c>
      <c r="Y22" s="4"/>
      <c r="Z22" s="34">
        <f t="shared" ref="Z22:Z24" si="20">IF(T22=0,0,X22/T22)</f>
        <v>0</v>
      </c>
    </row>
    <row r="23" spans="1:26" s="29" customFormat="1" outlineLevel="1" collapsed="1" x14ac:dyDescent="0.3">
      <c r="A23" s="27"/>
      <c r="B23" s="14" t="str">
        <f>CONCATENATE("     ","Bank/card Fees                                    ")</f>
        <v xml:space="preserve">     Bank/card Fees                                    </v>
      </c>
      <c r="C23" s="14"/>
      <c r="D23" s="1">
        <f>SUM(OSRRefD22_0x_0)</f>
        <v>44.6</v>
      </c>
      <c r="E23" s="1"/>
      <c r="F23" s="5">
        <f t="shared" si="13"/>
        <v>0.63038869257950536</v>
      </c>
      <c r="G23" s="1"/>
      <c r="H23" s="1">
        <f>SUM(OSRRefH22_0x_0)</f>
        <v>0</v>
      </c>
      <c r="I23" s="1"/>
      <c r="J23" s="5">
        <f t="shared" si="14"/>
        <v>0</v>
      </c>
      <c r="K23" s="1"/>
      <c r="L23" s="1">
        <f t="shared" si="15"/>
        <v>44.6</v>
      </c>
      <c r="M23" s="1"/>
      <c r="N23" s="5">
        <f t="shared" si="16"/>
        <v>0</v>
      </c>
      <c r="O23" s="14"/>
      <c r="P23" s="1">
        <f>SUM(OSRRefP22_0x_0)</f>
        <v>366.65</v>
      </c>
      <c r="Q23" s="1"/>
      <c r="R23" s="5">
        <f t="shared" si="17"/>
        <v>0.52474524845431636</v>
      </c>
      <c r="S23" s="1"/>
      <c r="T23" s="1">
        <f>SUM(OSRRefT22_0x_0)</f>
        <v>0</v>
      </c>
      <c r="U23" s="1"/>
      <c r="V23" s="5">
        <f t="shared" si="18"/>
        <v>0</v>
      </c>
      <c r="W23" s="1"/>
      <c r="X23" s="1">
        <f t="shared" si="19"/>
        <v>366.65</v>
      </c>
      <c r="Y23" s="1"/>
      <c r="Z23" s="5">
        <f t="shared" si="20"/>
        <v>0</v>
      </c>
    </row>
    <row r="24" spans="1:26" s="24" customFormat="1" hidden="1" outlineLevel="2" x14ac:dyDescent="0.3">
      <c r="A24" s="28"/>
      <c r="B24" s="11" t="str">
        <f>CONCATENATE("          ", "6381", " - ", "BANK/CREDIT CARD FEES")</f>
        <v xml:space="preserve">          6381 - BANK/CREDIT CARD FEES</v>
      </c>
      <c r="C24" s="11"/>
      <c r="D24" s="6">
        <v>44.6</v>
      </c>
      <c r="E24" s="2"/>
      <c r="F24" s="7">
        <f t="shared" si="13"/>
        <v>0.63038869257950536</v>
      </c>
      <c r="G24" s="2"/>
      <c r="H24" s="6"/>
      <c r="I24" s="2"/>
      <c r="J24" s="7">
        <f t="shared" si="14"/>
        <v>0</v>
      </c>
      <c r="K24" s="2"/>
      <c r="L24" s="6">
        <f t="shared" si="15"/>
        <v>44.6</v>
      </c>
      <c r="M24" s="2"/>
      <c r="N24" s="7">
        <f t="shared" si="16"/>
        <v>0</v>
      </c>
      <c r="O24" s="11"/>
      <c r="P24" s="6">
        <v>366.65</v>
      </c>
      <c r="Q24" s="2"/>
      <c r="R24" s="7">
        <f t="shared" si="17"/>
        <v>0.52474524845431636</v>
      </c>
      <c r="S24" s="2"/>
      <c r="T24" s="6"/>
      <c r="U24" s="2"/>
      <c r="V24" s="7">
        <f t="shared" si="18"/>
        <v>0</v>
      </c>
      <c r="W24" s="2"/>
      <c r="X24" s="6">
        <f t="shared" si="19"/>
        <v>366.65</v>
      </c>
      <c r="Y24" s="2"/>
      <c r="Z24" s="7">
        <f t="shared" si="20"/>
        <v>0</v>
      </c>
    </row>
    <row r="25" spans="1:26" s="53" customFormat="1" x14ac:dyDescent="0.3">
      <c r="A25" s="37"/>
      <c r="B25" s="37"/>
      <c r="C25" s="37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292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10"/>
      <c r="B28" s="26" t="s">
        <v>276</v>
      </c>
      <c r="C28" s="26"/>
      <c r="D28" s="20">
        <f>+D20-D22+D26</f>
        <v>15.149999999999999</v>
      </c>
      <c r="E28" s="13"/>
      <c r="F28" s="21">
        <f>IF(D$12=0,0,D28/D$12)</f>
        <v>0.21413427561837453</v>
      </c>
      <c r="G28" s="13"/>
      <c r="H28" s="20">
        <f>+H20-H22+H26</f>
        <v>0</v>
      </c>
      <c r="I28" s="13"/>
      <c r="J28" s="21">
        <f>IF(H$12=0,0,H28/H$12)</f>
        <v>0</v>
      </c>
      <c r="K28" s="15"/>
      <c r="L28" s="20">
        <f>+D28-H28</f>
        <v>15.149999999999999</v>
      </c>
      <c r="M28" s="15"/>
      <c r="N28" s="21">
        <f>IF(H28=0,0,L28/H28)</f>
        <v>0</v>
      </c>
      <c r="O28" s="25"/>
      <c r="P28" s="20">
        <f>+P20-P22+P26</f>
        <v>340.87</v>
      </c>
      <c r="Q28" s="13"/>
      <c r="R28" s="21">
        <f>IF(P$12=0,0,P28/P$12)</f>
        <v>0.48784920998397069</v>
      </c>
      <c r="S28" s="13"/>
      <c r="T28" s="20">
        <f>+T20-T22+T26</f>
        <v>41.09</v>
      </c>
      <c r="U28" s="13"/>
      <c r="V28" s="21">
        <f>IF(T$12=0,0,T28/T$12)</f>
        <v>0.37354545454545457</v>
      </c>
      <c r="W28" s="15"/>
      <c r="X28" s="20">
        <f>+P28-T28</f>
        <v>299.77999999999997</v>
      </c>
      <c r="Y28" s="15"/>
      <c r="Z28" s="21">
        <f>IF(T28=0,0,X28/T28)</f>
        <v>7.2956923825748348</v>
      </c>
    </row>
    <row r="29" spans="1:26" x14ac:dyDescent="0.3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51"/>
      <c r="B30" s="10" t="s">
        <v>127</v>
      </c>
      <c r="C30" s="10"/>
      <c r="D30" s="4">
        <v>9.31</v>
      </c>
      <c r="E30" s="4"/>
      <c r="F30" s="12">
        <f>IF(D$12=0,0,D30/D$12)</f>
        <v>0.13159010600706714</v>
      </c>
      <c r="G30" s="4"/>
      <c r="H30" s="4">
        <v>-3.48</v>
      </c>
      <c r="I30" s="4"/>
      <c r="J30" s="12">
        <f>IF(H$12=0,0,H30/H$12)</f>
        <v>0</v>
      </c>
      <c r="K30" s="4"/>
      <c r="L30" s="4">
        <f>+D30-H30</f>
        <v>12.790000000000001</v>
      </c>
      <c r="M30" s="4"/>
      <c r="N30" s="12">
        <f>IF(H30=0,0,L30/H30)</f>
        <v>-3.6752873563218396</v>
      </c>
      <c r="O30" s="10"/>
      <c r="P30" s="4">
        <v>84.11</v>
      </c>
      <c r="Q30" s="4"/>
      <c r="R30" s="12">
        <f>IF(P$12=0,0,P30/P$12)</f>
        <v>0.12037726127776505</v>
      </c>
      <c r="S30" s="4"/>
      <c r="T30" s="4">
        <v>20.350000000000001</v>
      </c>
      <c r="U30" s="4"/>
      <c r="V30" s="12">
        <f>IF(T$12=0,0,T30/T$12)</f>
        <v>0.18500000000000003</v>
      </c>
      <c r="W30" s="4"/>
      <c r="X30" s="4">
        <f>+P30-T30</f>
        <v>63.76</v>
      </c>
      <c r="Y30" s="4"/>
      <c r="Z30" s="12">
        <f>IF(T30=0,0,X30/T30)</f>
        <v>3.1331695331695331</v>
      </c>
    </row>
    <row r="31" spans="1:26" x14ac:dyDescent="0.3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" thickBot="1" x14ac:dyDescent="0.35">
      <c r="A32" s="10"/>
      <c r="B32" s="26" t="s">
        <v>125</v>
      </c>
      <c r="C32" s="26"/>
      <c r="D32" s="32">
        <f>+D28-D30</f>
        <v>5.8399999999999981</v>
      </c>
      <c r="E32" s="13"/>
      <c r="F32" s="35">
        <f>IF(D$12=0,0,D32/D$12)</f>
        <v>8.2544169611307394E-2</v>
      </c>
      <c r="G32" s="13"/>
      <c r="H32" s="32">
        <f>+H28-H30</f>
        <v>3.48</v>
      </c>
      <c r="I32" s="13"/>
      <c r="J32" s="35">
        <f>IF(H$12=0,0,H32/H$12)</f>
        <v>0</v>
      </c>
      <c r="K32" s="15"/>
      <c r="L32" s="32">
        <f>D32-H32</f>
        <v>2.3599999999999981</v>
      </c>
      <c r="M32" s="15"/>
      <c r="N32" s="35">
        <f>IF(H32=0,0,L32/H32)</f>
        <v>0.67816091954022939</v>
      </c>
      <c r="O32" s="25"/>
      <c r="P32" s="32">
        <f>+P28-P30</f>
        <v>256.76</v>
      </c>
      <c r="Q32" s="13"/>
      <c r="R32" s="35">
        <f>IF(P$12=0,0,P32/P$12)</f>
        <v>0.36747194870620559</v>
      </c>
      <c r="S32" s="13"/>
      <c r="T32" s="32">
        <f>+T28-T30</f>
        <v>20.740000000000002</v>
      </c>
      <c r="U32" s="13"/>
      <c r="V32" s="35">
        <f>IF(T$12=0,0,T32/T$12)</f>
        <v>0.18854545454545457</v>
      </c>
      <c r="W32" s="15"/>
      <c r="X32" s="32">
        <f>P32-T32</f>
        <v>236.01999999999998</v>
      </c>
      <c r="Y32" s="15"/>
      <c r="Z32" s="35">
        <f>IF(T32=0,0,X32/T32)</f>
        <v>11.379942140790741</v>
      </c>
    </row>
    <row r="33" spans="1:26" ht="15" thickTop="1" x14ac:dyDescent="0.3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3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" thickBot="1" x14ac:dyDescent="0.35">
      <c r="A35" s="10"/>
      <c r="B35" s="26" t="s">
        <v>293</v>
      </c>
      <c r="C35" s="26"/>
      <c r="D35" s="31">
        <f>SUM(D32:D34)</f>
        <v>5.8399999999999981</v>
      </c>
      <c r="E35" s="13"/>
      <c r="F35" s="33">
        <f>IF(D$12=0,0,D35/D$12)</f>
        <v>8.2544169611307394E-2</v>
      </c>
      <c r="G35" s="13"/>
      <c r="H35" s="31">
        <f>SUM(H32:H34)</f>
        <v>3.48</v>
      </c>
      <c r="I35" s="13"/>
      <c r="J35" s="33">
        <f>IF(H$12=0,0,H35/H$12)</f>
        <v>0</v>
      </c>
      <c r="K35" s="15"/>
      <c r="L35" s="31">
        <f>+D35-H35</f>
        <v>2.3599999999999981</v>
      </c>
      <c r="M35" s="15"/>
      <c r="N35" s="33">
        <f>IF(H35=0,0,L35/H35)</f>
        <v>0.67816091954022939</v>
      </c>
      <c r="O35" s="25"/>
      <c r="P35" s="31">
        <f>SUM(P32:P34)</f>
        <v>256.76</v>
      </c>
      <c r="Q35" s="13"/>
      <c r="R35" s="33">
        <f>IF(P$12=0,0,P35/P$12)</f>
        <v>0.36747194870620559</v>
      </c>
      <c r="S35" s="13"/>
      <c r="T35" s="31">
        <f>SUM(T32:T34)</f>
        <v>20.740000000000002</v>
      </c>
      <c r="U35" s="13"/>
      <c r="V35" s="33">
        <f>IF(T$12=0,0,T35/T$12)</f>
        <v>0.18854545454545457</v>
      </c>
      <c r="W35" s="15"/>
      <c r="X35" s="31">
        <f>+P35-T35</f>
        <v>236.01999999999998</v>
      </c>
      <c r="Y35" s="15"/>
      <c r="Z35" s="33">
        <f>IF(T35=0,0,X35/T35)</f>
        <v>11.379942140790741</v>
      </c>
    </row>
    <row r="36" spans="1:26" ht="15" thickTop="1" x14ac:dyDescent="0.3">
      <c r="A36" s="9"/>
      <c r="C36" s="9"/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  <row r="37" spans="1:26" x14ac:dyDescent="0.3">
      <c r="A37" s="9"/>
      <c r="B37" s="60">
        <v>44575.854680405093</v>
      </c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7" t="s">
        <v>56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9"/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  <outlinePr summaryBelow="0" summaryRight="0"/>
  </sheetPr>
  <dimension ref="A2:Z12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199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1068737.23</v>
      </c>
      <c r="E12" s="4"/>
      <c r="F12" s="12"/>
      <c r="G12" s="4"/>
      <c r="H12" s="4">
        <f>SUM(OSRRefH13x_0)</f>
        <v>157248.93000000002</v>
      </c>
      <c r="I12" s="4"/>
      <c r="J12" s="12"/>
      <c r="K12" s="4"/>
      <c r="L12" s="4">
        <f t="shared" ref="L12:L18" si="0">+D12-H12</f>
        <v>911488.29999999993</v>
      </c>
      <c r="M12" s="4"/>
      <c r="N12" s="12">
        <f t="shared" ref="N12:N18" si="1">IF(H12=0,0,L12/H12)</f>
        <v>5.7964674227036062</v>
      </c>
      <c r="O12" s="10"/>
      <c r="P12" s="4">
        <f>SUM(OSRRefP13x_0)</f>
        <v>6381857.9000000004</v>
      </c>
      <c r="Q12" s="4"/>
      <c r="R12" s="12"/>
      <c r="S12" s="4"/>
      <c r="T12" s="4">
        <f>SUM(OSRRefT13x_0)</f>
        <v>830713.86</v>
      </c>
      <c r="U12" s="4"/>
      <c r="V12" s="12"/>
      <c r="W12" s="4"/>
      <c r="X12" s="4">
        <f t="shared" ref="X12:X18" si="2">+P12-T12</f>
        <v>5551144.04</v>
      </c>
      <c r="Y12" s="4"/>
      <c r="Z12" s="12">
        <f t="shared" ref="Z12:Z18" si="3">IF(T12=0,0,X12/T12)</f>
        <v>6.6823780212358566</v>
      </c>
    </row>
    <row r="13" spans="1:26" s="24" customFormat="1" hidden="1" outlineLevel="1" x14ac:dyDescent="0.3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--19631.62</f>
        <v>19631.62</v>
      </c>
      <c r="E13" s="2"/>
      <c r="F13" s="19"/>
      <c r="G13" s="2"/>
      <c r="H13" s="2">
        <f>--5713.27</f>
        <v>5713.27</v>
      </c>
      <c r="I13" s="2"/>
      <c r="J13" s="19"/>
      <c r="K13" s="2"/>
      <c r="L13" s="2">
        <f t="shared" si="0"/>
        <v>13918.349999999999</v>
      </c>
      <c r="M13" s="2"/>
      <c r="N13" s="19">
        <f t="shared" si="1"/>
        <v>2.4361442746448176</v>
      </c>
      <c r="O13" s="11"/>
      <c r="P13" s="2">
        <f>--146982.79</f>
        <v>146982.79</v>
      </c>
      <c r="Q13" s="2"/>
      <c r="R13" s="19"/>
      <c r="S13" s="2"/>
      <c r="T13" s="2">
        <f>--22964.48</f>
        <v>22964.48</v>
      </c>
      <c r="U13" s="2"/>
      <c r="V13" s="19"/>
      <c r="W13" s="2"/>
      <c r="X13" s="2">
        <f t="shared" si="2"/>
        <v>124018.31000000001</v>
      </c>
      <c r="Y13" s="2"/>
      <c r="Z13" s="19">
        <f t="shared" si="3"/>
        <v>5.4004405934730508</v>
      </c>
    </row>
    <row r="14" spans="1:26" s="24" customFormat="1" hidden="1" outlineLevel="1" x14ac:dyDescent="0.3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0</f>
        <v>0</v>
      </c>
      <c r="E14" s="2"/>
      <c r="F14" s="19"/>
      <c r="G14" s="2"/>
      <c r="H14" s="2">
        <f>--62378.23</f>
        <v>62378.23</v>
      </c>
      <c r="I14" s="2"/>
      <c r="J14" s="19"/>
      <c r="K14" s="2"/>
      <c r="L14" s="2">
        <f t="shared" si="0"/>
        <v>-62378.23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--148103.39</f>
        <v>148103.39000000001</v>
      </c>
      <c r="U14" s="2"/>
      <c r="V14" s="19"/>
      <c r="W14" s="2"/>
      <c r="X14" s="2">
        <f t="shared" si="2"/>
        <v>-148103.39000000001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--1964.44</f>
        <v>1964.44</v>
      </c>
      <c r="E15" s="2"/>
      <c r="F15" s="19"/>
      <c r="G15" s="2"/>
      <c r="H15" s="2">
        <f>--38.05</f>
        <v>38.049999999999997</v>
      </c>
      <c r="I15" s="2"/>
      <c r="J15" s="19"/>
      <c r="K15" s="2"/>
      <c r="L15" s="2">
        <f t="shared" si="0"/>
        <v>1926.39</v>
      </c>
      <c r="M15" s="2"/>
      <c r="N15" s="19">
        <f t="shared" si="1"/>
        <v>50.627858081471757</v>
      </c>
      <c r="O15" s="11"/>
      <c r="P15" s="2">
        <f>--9963.45</f>
        <v>9963.4500000000007</v>
      </c>
      <c r="Q15" s="2"/>
      <c r="R15" s="19"/>
      <c r="S15" s="2"/>
      <c r="T15" s="2">
        <f>--533.08</f>
        <v>533.08000000000004</v>
      </c>
      <c r="U15" s="2"/>
      <c r="V15" s="19"/>
      <c r="W15" s="2"/>
      <c r="X15" s="2">
        <f t="shared" si="2"/>
        <v>9430.3700000000008</v>
      </c>
      <c r="Y15" s="2"/>
      <c r="Z15" s="19">
        <f t="shared" si="3"/>
        <v>17.690346664665718</v>
      </c>
    </row>
    <row r="16" spans="1:26" s="24" customFormat="1" hidden="1" outlineLevel="1" x14ac:dyDescent="0.3">
      <c r="A16" s="44"/>
      <c r="B16" s="11" t="str">
        <f>CONCATENATE("          ", "4058", " - ", "TAXABLE SALES-FOOD")</f>
        <v xml:space="preserve">          4058 - TAXABLE SALES-FOOD</v>
      </c>
      <c r="C16" s="11"/>
      <c r="D16" s="2">
        <f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--974.91</f>
        <v>974.91</v>
      </c>
      <c r="U16" s="2"/>
      <c r="V16" s="19"/>
      <c r="W16" s="2"/>
      <c r="X16" s="2">
        <f t="shared" si="2"/>
        <v>-974.91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--1041445.01</f>
        <v>1041445.01</v>
      </c>
      <c r="E17" s="2"/>
      <c r="F17" s="19"/>
      <c r="G17" s="2"/>
      <c r="H17" s="2">
        <f>--85481.84</f>
        <v>85481.84</v>
      </c>
      <c r="I17" s="2"/>
      <c r="J17" s="19"/>
      <c r="K17" s="2"/>
      <c r="L17" s="2">
        <f t="shared" si="0"/>
        <v>955963.17</v>
      </c>
      <c r="M17" s="2"/>
      <c r="N17" s="19">
        <f t="shared" si="1"/>
        <v>11.183231081595812</v>
      </c>
      <c r="O17" s="11"/>
      <c r="P17" s="2">
        <f>--6168445.67</f>
        <v>6168445.6699999999</v>
      </c>
      <c r="Q17" s="2"/>
      <c r="R17" s="19"/>
      <c r="S17" s="2"/>
      <c r="T17" s="2">
        <f>--628376.6</f>
        <v>628376.6</v>
      </c>
      <c r="U17" s="2"/>
      <c r="V17" s="19"/>
      <c r="W17" s="2"/>
      <c r="X17" s="2">
        <f t="shared" si="2"/>
        <v>5540069.0700000003</v>
      </c>
      <c r="Y17" s="2"/>
      <c r="Z17" s="19">
        <f t="shared" si="3"/>
        <v>8.8164789554544214</v>
      </c>
    </row>
    <row r="18" spans="1:26" s="24" customFormat="1" hidden="1" outlineLevel="1" x14ac:dyDescent="0.3">
      <c r="A18" s="44"/>
      <c r="B18" s="11" t="str">
        <f>CONCATENATE("          ", "4153", " - ", "NON-TAXABLE SALES-FOOD")</f>
        <v xml:space="preserve">          4153 - NON-TAXABLE SALES-FOOD</v>
      </c>
      <c r="C18" s="11"/>
      <c r="D18" s="2">
        <f>--5696.16</f>
        <v>5696.16</v>
      </c>
      <c r="E18" s="2"/>
      <c r="F18" s="19"/>
      <c r="G18" s="2"/>
      <c r="H18" s="2">
        <f>--3637.54</f>
        <v>3637.54</v>
      </c>
      <c r="I18" s="2"/>
      <c r="J18" s="19"/>
      <c r="K18" s="2"/>
      <c r="L18" s="2">
        <f t="shared" si="0"/>
        <v>2058.62</v>
      </c>
      <c r="M18" s="2"/>
      <c r="N18" s="19">
        <f t="shared" si="1"/>
        <v>0.56593741924487428</v>
      </c>
      <c r="O18" s="11"/>
      <c r="P18" s="2">
        <f>--56465.99</f>
        <v>56465.99</v>
      </c>
      <c r="Q18" s="2"/>
      <c r="R18" s="19"/>
      <c r="S18" s="2"/>
      <c r="T18" s="2">
        <f>--29761.4</f>
        <v>29761.4</v>
      </c>
      <c r="U18" s="2"/>
      <c r="V18" s="19"/>
      <c r="W18" s="2"/>
      <c r="X18" s="2">
        <f t="shared" si="2"/>
        <v>26704.589999999997</v>
      </c>
      <c r="Y18" s="2"/>
      <c r="Z18" s="19">
        <f t="shared" si="3"/>
        <v>0.89728944202893668</v>
      </c>
    </row>
    <row r="19" spans="1:26" x14ac:dyDescent="0.3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3">
      <c r="A20" s="10"/>
      <c r="B20" s="25" t="s">
        <v>256</v>
      </c>
      <c r="C20" s="10"/>
      <c r="D20" s="4">
        <f>SUM(OSRRefD16x_0)</f>
        <v>268273.78000000003</v>
      </c>
      <c r="E20" s="4"/>
      <c r="F20" s="12">
        <f t="shared" ref="F20:F22" si="4">IF(D$12=0,0,D20/D$12)</f>
        <v>0.25101940165404363</v>
      </c>
      <c r="G20" s="4"/>
      <c r="H20" s="4">
        <f>SUM(OSRRefH16x_0)</f>
        <v>38808.870000000003</v>
      </c>
      <c r="I20" s="4"/>
      <c r="J20" s="12">
        <f t="shared" ref="J20:J22" si="5">IF(H$12=0,0,H20/H$12)</f>
        <v>0.24679894483224782</v>
      </c>
      <c r="K20" s="4"/>
      <c r="L20" s="4">
        <f t="shared" ref="L20:L22" si="6">+D20-H20</f>
        <v>229464.91000000003</v>
      </c>
      <c r="M20" s="4"/>
      <c r="N20" s="12">
        <f t="shared" ref="N20:N22" si="7">IF(H20=0,0,L20/H20)</f>
        <v>5.9126923819219686</v>
      </c>
      <c r="O20" s="10"/>
      <c r="P20" s="4">
        <f>SUM(OSRRefP16x_0)</f>
        <v>1737787.3599999999</v>
      </c>
      <c r="Q20" s="4"/>
      <c r="R20" s="12">
        <f t="shared" ref="R20:R22" si="8">IF(P$12=0,0,P20/P$12)</f>
        <v>0.27230116797179077</v>
      </c>
      <c r="S20" s="4"/>
      <c r="T20" s="4">
        <f>SUM(OSRRefT16x_0)</f>
        <v>269718.28999999998</v>
      </c>
      <c r="U20" s="4"/>
      <c r="V20" s="12">
        <f t="shared" ref="V20:V22" si="9">IF(T$12=0,0,T20/T$12)</f>
        <v>0.32468254472123526</v>
      </c>
      <c r="W20" s="4"/>
      <c r="X20" s="4">
        <f t="shared" ref="X20:X22" si="10">+P20-T20</f>
        <v>1468069.0699999998</v>
      </c>
      <c r="Y20" s="4"/>
      <c r="Z20" s="12">
        <f t="shared" ref="Z20:Z22" si="11">IF(T20=0,0,X20/T20)</f>
        <v>5.4429718874459718</v>
      </c>
    </row>
    <row r="21" spans="1:26" s="24" customFormat="1" hidden="1" outlineLevel="1" x14ac:dyDescent="0.3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204500.45</v>
      </c>
      <c r="E21" s="2"/>
      <c r="F21" s="19">
        <f t="shared" si="4"/>
        <v>0.19134773661810212</v>
      </c>
      <c r="G21" s="2"/>
      <c r="H21" s="2">
        <v>34549.870000000003</v>
      </c>
      <c r="I21" s="2"/>
      <c r="J21" s="19">
        <f t="shared" si="5"/>
        <v>0.21971449980613539</v>
      </c>
      <c r="K21" s="2"/>
      <c r="L21" s="2">
        <f t="shared" si="6"/>
        <v>169950.58000000002</v>
      </c>
      <c r="M21" s="2"/>
      <c r="N21" s="19">
        <f t="shared" si="7"/>
        <v>4.9189933276159943</v>
      </c>
      <c r="O21" s="11"/>
      <c r="P21" s="2">
        <v>1728424.69</v>
      </c>
      <c r="Q21" s="2"/>
      <c r="R21" s="19">
        <f t="shared" si="8"/>
        <v>0.27083409205961789</v>
      </c>
      <c r="S21" s="2"/>
      <c r="T21" s="2">
        <v>269637.90999999997</v>
      </c>
      <c r="U21" s="2"/>
      <c r="V21" s="19">
        <f t="shared" si="9"/>
        <v>0.32458578456846737</v>
      </c>
      <c r="W21" s="2"/>
      <c r="X21" s="2">
        <f t="shared" si="10"/>
        <v>1458786.78</v>
      </c>
      <c r="Y21" s="2"/>
      <c r="Z21" s="19">
        <f t="shared" si="11"/>
        <v>5.4101694379696097</v>
      </c>
    </row>
    <row r="22" spans="1:26" s="24" customFormat="1" hidden="1" outlineLevel="1" x14ac:dyDescent="0.3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63773.33</v>
      </c>
      <c r="E22" s="2"/>
      <c r="F22" s="19">
        <f t="shared" si="4"/>
        <v>5.9671665035941533E-2</v>
      </c>
      <c r="G22" s="2"/>
      <c r="H22" s="2">
        <v>4259</v>
      </c>
      <c r="I22" s="2"/>
      <c r="J22" s="19">
        <f t="shared" si="5"/>
        <v>2.7084445026112416E-2</v>
      </c>
      <c r="K22" s="2"/>
      <c r="L22" s="2">
        <f t="shared" si="6"/>
        <v>59514.33</v>
      </c>
      <c r="M22" s="2"/>
      <c r="N22" s="19">
        <f t="shared" si="7"/>
        <v>13.973780230100964</v>
      </c>
      <c r="O22" s="11"/>
      <c r="P22" s="2">
        <v>9362.67</v>
      </c>
      <c r="Q22" s="2"/>
      <c r="R22" s="19">
        <f t="shared" si="8"/>
        <v>1.4670759121728485E-3</v>
      </c>
      <c r="S22" s="2"/>
      <c r="T22" s="2">
        <v>80.38</v>
      </c>
      <c r="U22" s="2"/>
      <c r="V22" s="19">
        <f t="shared" si="9"/>
        <v>9.6760152767885678E-5</v>
      </c>
      <c r="W22" s="2"/>
      <c r="X22" s="2">
        <f t="shared" si="10"/>
        <v>9282.2900000000009</v>
      </c>
      <c r="Y22" s="2"/>
      <c r="Z22" s="19">
        <f t="shared" si="11"/>
        <v>115.48009455088332</v>
      </c>
    </row>
    <row r="23" spans="1:26" x14ac:dyDescent="0.3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10"/>
      <c r="B24" s="26" t="s">
        <v>107</v>
      </c>
      <c r="C24" s="26"/>
      <c r="D24" s="20">
        <f>D12-D20</f>
        <v>800463.45</v>
      </c>
      <c r="E24" s="13"/>
      <c r="F24" s="21">
        <f>IF(D$12=0,0,D24/D$12)</f>
        <v>0.74898059834595632</v>
      </c>
      <c r="G24" s="13"/>
      <c r="H24" s="20">
        <f>H12-H20</f>
        <v>118440.06000000003</v>
      </c>
      <c r="I24" s="13"/>
      <c r="J24" s="21">
        <f>IF(H$12=0,0,H24/H$12)</f>
        <v>0.75320105516775226</v>
      </c>
      <c r="K24" s="15"/>
      <c r="L24" s="20">
        <f>+D24-H24</f>
        <v>682023.3899999999</v>
      </c>
      <c r="M24" s="15"/>
      <c r="N24" s="21">
        <f>IF(H24=0,0,L24/H24)</f>
        <v>5.7583843675864381</v>
      </c>
      <c r="O24" s="25"/>
      <c r="P24" s="20">
        <f>P12-P20</f>
        <v>4644070.540000001</v>
      </c>
      <c r="Q24" s="13"/>
      <c r="R24" s="21">
        <f>IF(P$12=0,0,P24/P$12)</f>
        <v>0.72769883202820929</v>
      </c>
      <c r="S24" s="13"/>
      <c r="T24" s="20">
        <f>T12-T20</f>
        <v>560995.57000000007</v>
      </c>
      <c r="U24" s="13"/>
      <c r="V24" s="21">
        <f>IF(T$12=0,0,T24/T$12)</f>
        <v>0.67531745527876474</v>
      </c>
      <c r="W24" s="15"/>
      <c r="X24" s="20">
        <f>+P24-T24</f>
        <v>4083074.9700000007</v>
      </c>
      <c r="Y24" s="15"/>
      <c r="Z24" s="21">
        <f>IF(T24=0,0,X24/T24)</f>
        <v>7.2782659763249118</v>
      </c>
    </row>
    <row r="25" spans="1:26" x14ac:dyDescent="0.3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294</v>
      </c>
      <c r="C26" s="10"/>
      <c r="D26" s="22">
        <f>SUM(OSRRefD22x_0)</f>
        <v>635803.43999999983</v>
      </c>
      <c r="E26" s="22"/>
      <c r="F26" s="34">
        <f t="shared" ref="F26:F36" si="12">IF(D$12=0,0,D26/D$12)</f>
        <v>0.59491091182441524</v>
      </c>
      <c r="G26" s="22"/>
      <c r="H26" s="22">
        <f>SUM(OSRRefH22x_0)</f>
        <v>364083.84999999992</v>
      </c>
      <c r="I26" s="22"/>
      <c r="J26" s="34">
        <f t="shared" ref="J26:J36" si="13">IF(H$12=0,0,H26/H$12)</f>
        <v>2.3153343555342465</v>
      </c>
      <c r="K26" s="4"/>
      <c r="L26" s="22">
        <f t="shared" ref="L26:L36" si="14">+D26-H26</f>
        <v>271719.58999999991</v>
      </c>
      <c r="M26" s="4"/>
      <c r="N26" s="34">
        <f t="shared" ref="N26:N36" si="15">IF(H26=0,0,L26/H26)</f>
        <v>0.74631047216183843</v>
      </c>
      <c r="O26" s="10"/>
      <c r="P26" s="22">
        <f>SUM(OSRRefP22x_0)</f>
        <v>3773385.4499999988</v>
      </c>
      <c r="Q26" s="22"/>
      <c r="R26" s="34">
        <f t="shared" ref="R26:R36" si="16">IF(P$12=0,0,P26/P$12)</f>
        <v>0.59126754451865793</v>
      </c>
      <c r="S26" s="22"/>
      <c r="T26" s="22">
        <f>SUM(OSRRefT22x_0)</f>
        <v>2078309.9699999997</v>
      </c>
      <c r="U26" s="22"/>
      <c r="V26" s="34">
        <f t="shared" ref="V26:V36" si="17">IF(T$12=0,0,T26/T$12)</f>
        <v>2.5018361557131112</v>
      </c>
      <c r="W26" s="4"/>
      <c r="X26" s="22">
        <f t="shared" ref="X26:X36" si="18">+P26-T26</f>
        <v>1695075.4799999991</v>
      </c>
      <c r="Y26" s="4"/>
      <c r="Z26" s="34">
        <f t="shared" ref="Z26:Z36" si="19">IF(T26=0,0,X26/T26)</f>
        <v>0.81560282367312098</v>
      </c>
    </row>
    <row r="27" spans="1:26" s="29" customFormat="1" outlineLevel="1" collapsed="1" x14ac:dyDescent="0.3">
      <c r="A27" s="27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115967.54</v>
      </c>
      <c r="E27" s="1"/>
      <c r="F27" s="5">
        <f t="shared" si="12"/>
        <v>0.10850893628923172</v>
      </c>
      <c r="G27" s="1"/>
      <c r="H27" s="1">
        <f>SUM(OSRRefH22_0x_0)</f>
        <v>96760.07</v>
      </c>
      <c r="I27" s="1"/>
      <c r="J27" s="5">
        <f t="shared" si="13"/>
        <v>0.61533054628734196</v>
      </c>
      <c r="K27" s="1"/>
      <c r="L27" s="1">
        <f t="shared" si="14"/>
        <v>19207.469999999987</v>
      </c>
      <c r="M27" s="1"/>
      <c r="N27" s="5">
        <f t="shared" si="15"/>
        <v>0.19850616065077242</v>
      </c>
      <c r="O27" s="14"/>
      <c r="P27" s="1">
        <f>SUM(OSRRefP22_0x_0)</f>
        <v>688868.8899999999</v>
      </c>
      <c r="Q27" s="1"/>
      <c r="R27" s="5">
        <f t="shared" si="16"/>
        <v>0.10794174686966938</v>
      </c>
      <c r="S27" s="1"/>
      <c r="T27" s="1">
        <f>SUM(OSRRefT22_0x_0)</f>
        <v>597877.32000000007</v>
      </c>
      <c r="U27" s="1"/>
      <c r="V27" s="5">
        <f t="shared" si="17"/>
        <v>0.71971511345675643</v>
      </c>
      <c r="W27" s="1"/>
      <c r="X27" s="1">
        <f t="shared" si="18"/>
        <v>90991.569999999832</v>
      </c>
      <c r="Y27" s="1"/>
      <c r="Z27" s="5">
        <f t="shared" si="19"/>
        <v>0.15219103812133203</v>
      </c>
    </row>
    <row r="28" spans="1:26" s="24" customFormat="1" hidden="1" outlineLevel="2" x14ac:dyDescent="0.3">
      <c r="A28" s="28"/>
      <c r="B28" s="11" t="str">
        <f>CONCATENATE("          ", "6111", " - ", "F.I.C.A.")</f>
        <v xml:space="preserve">          6111 - F.I.C.A.</v>
      </c>
      <c r="C28" s="11"/>
      <c r="D28" s="6">
        <v>15583.16</v>
      </c>
      <c r="E28" s="2"/>
      <c r="F28" s="7">
        <f t="shared" si="12"/>
        <v>1.4580908723466105E-2</v>
      </c>
      <c r="G28" s="2"/>
      <c r="H28" s="6">
        <v>8756.08</v>
      </c>
      <c r="I28" s="2"/>
      <c r="J28" s="7">
        <f t="shared" si="13"/>
        <v>5.5682922611937635E-2</v>
      </c>
      <c r="K28" s="2"/>
      <c r="L28" s="6">
        <f t="shared" si="14"/>
        <v>6827.08</v>
      </c>
      <c r="M28" s="2"/>
      <c r="N28" s="7">
        <f t="shared" si="15"/>
        <v>0.77969593699463691</v>
      </c>
      <c r="O28" s="11"/>
      <c r="P28" s="6">
        <v>99182.67</v>
      </c>
      <c r="Q28" s="2"/>
      <c r="R28" s="7">
        <f t="shared" si="16"/>
        <v>1.5541347293238854E-2</v>
      </c>
      <c r="S28" s="2"/>
      <c r="T28" s="6">
        <v>64750.82</v>
      </c>
      <c r="U28" s="2"/>
      <c r="V28" s="7">
        <f t="shared" si="17"/>
        <v>7.7945996952548738E-2</v>
      </c>
      <c r="W28" s="2"/>
      <c r="X28" s="6">
        <f t="shared" si="18"/>
        <v>34431.85</v>
      </c>
      <c r="Y28" s="2"/>
      <c r="Z28" s="7">
        <f t="shared" si="19"/>
        <v>0.53175928891711333</v>
      </c>
    </row>
    <row r="29" spans="1:26" s="24" customFormat="1" hidden="1" outlineLevel="2" x14ac:dyDescent="0.3">
      <c r="A29" s="28"/>
      <c r="B29" s="11" t="str">
        <f>CONCATENATE("          ", "6112", " - ", "COMPENSATION INSURANCE")</f>
        <v xml:space="preserve">          6112 - COMPENSATION INSURANCE</v>
      </c>
      <c r="C29" s="11"/>
      <c r="D29" s="6">
        <v>10323.07</v>
      </c>
      <c r="E29" s="2"/>
      <c r="F29" s="7">
        <f t="shared" si="12"/>
        <v>9.6591282779584647E-3</v>
      </c>
      <c r="G29" s="2"/>
      <c r="H29" s="6">
        <v>9429.67</v>
      </c>
      <c r="I29" s="2"/>
      <c r="J29" s="7">
        <f t="shared" si="13"/>
        <v>5.9966512967687596E-2</v>
      </c>
      <c r="K29" s="2"/>
      <c r="L29" s="6">
        <f t="shared" si="14"/>
        <v>893.39999999999964</v>
      </c>
      <c r="M29" s="2"/>
      <c r="N29" s="7">
        <f t="shared" si="15"/>
        <v>9.4743506400542077E-2</v>
      </c>
      <c r="O29" s="11"/>
      <c r="P29" s="6">
        <v>56961.35</v>
      </c>
      <c r="Q29" s="2"/>
      <c r="R29" s="7">
        <f t="shared" si="16"/>
        <v>8.9255121145834348E-3</v>
      </c>
      <c r="S29" s="2"/>
      <c r="T29" s="6">
        <v>39064.07</v>
      </c>
      <c r="U29" s="2"/>
      <c r="V29" s="7">
        <f t="shared" si="17"/>
        <v>4.7024699936991543E-2</v>
      </c>
      <c r="W29" s="2"/>
      <c r="X29" s="6">
        <f t="shared" si="18"/>
        <v>17897.28</v>
      </c>
      <c r="Y29" s="2"/>
      <c r="Z29" s="7">
        <f t="shared" si="19"/>
        <v>0.45815195395666652</v>
      </c>
    </row>
    <row r="30" spans="1:26" s="24" customFormat="1" hidden="1" outlineLevel="2" x14ac:dyDescent="0.3">
      <c r="A30" s="28"/>
      <c r="B30" s="11" t="str">
        <f>CONCATENATE("          ", "6113", " - ", "GROUP INSURANCE")</f>
        <v xml:space="preserve">          6113 - GROUP INSURANCE</v>
      </c>
      <c r="C30" s="11"/>
      <c r="D30" s="6">
        <v>56887.35</v>
      </c>
      <c r="E30" s="2"/>
      <c r="F30" s="7">
        <f t="shared" si="12"/>
        <v>5.3228565828103508E-2</v>
      </c>
      <c r="G30" s="2"/>
      <c r="H30" s="6">
        <v>54369.29</v>
      </c>
      <c r="I30" s="2"/>
      <c r="J30" s="7">
        <f t="shared" si="13"/>
        <v>0.34575300448785246</v>
      </c>
      <c r="K30" s="2"/>
      <c r="L30" s="6">
        <f t="shared" si="14"/>
        <v>2518.0599999999977</v>
      </c>
      <c r="M30" s="2"/>
      <c r="N30" s="7">
        <f t="shared" si="15"/>
        <v>4.6314012928989831E-2</v>
      </c>
      <c r="O30" s="11"/>
      <c r="P30" s="6">
        <v>333944.43</v>
      </c>
      <c r="Q30" s="2"/>
      <c r="R30" s="7">
        <f t="shared" si="16"/>
        <v>5.2327149120634603E-2</v>
      </c>
      <c r="S30" s="2"/>
      <c r="T30" s="6">
        <v>328523.78000000003</v>
      </c>
      <c r="U30" s="2"/>
      <c r="V30" s="7">
        <f t="shared" si="17"/>
        <v>0.39547164892614173</v>
      </c>
      <c r="W30" s="2"/>
      <c r="X30" s="6">
        <f t="shared" si="18"/>
        <v>5420.6499999999651</v>
      </c>
      <c r="Y30" s="2"/>
      <c r="Z30" s="7">
        <f t="shared" si="19"/>
        <v>1.6500023225107067E-2</v>
      </c>
    </row>
    <row r="31" spans="1:26" s="24" customFormat="1" hidden="1" outlineLevel="2" x14ac:dyDescent="0.3">
      <c r="A31" s="28"/>
      <c r="B31" s="11" t="str">
        <f>CONCATENATE("          ", "6114", " - ", "STATE UNEMPLOYMENT INSURANCE")</f>
        <v xml:space="preserve">          6114 - STATE UNEMPLOYMENT INSURANCE</v>
      </c>
      <c r="C31" s="11"/>
      <c r="D31" s="6">
        <v>775.43</v>
      </c>
      <c r="E31" s="2"/>
      <c r="F31" s="7">
        <f t="shared" si="12"/>
        <v>7.2555720735956771E-4</v>
      </c>
      <c r="G31" s="2"/>
      <c r="H31" s="6"/>
      <c r="I31" s="2"/>
      <c r="J31" s="7">
        <f t="shared" si="13"/>
        <v>0</v>
      </c>
      <c r="K31" s="2"/>
      <c r="L31" s="6">
        <f t="shared" si="14"/>
        <v>775.43</v>
      </c>
      <c r="M31" s="2"/>
      <c r="N31" s="7">
        <f t="shared" si="15"/>
        <v>0</v>
      </c>
      <c r="O31" s="11"/>
      <c r="P31" s="6">
        <v>4305.49</v>
      </c>
      <c r="Q31" s="2"/>
      <c r="R31" s="7">
        <f t="shared" si="16"/>
        <v>6.7464523144584586E-4</v>
      </c>
      <c r="S31" s="2"/>
      <c r="T31" s="6">
        <v>2154.13</v>
      </c>
      <c r="U31" s="2"/>
      <c r="V31" s="7">
        <f t="shared" si="17"/>
        <v>2.5931070898467978E-3</v>
      </c>
      <c r="W31" s="2"/>
      <c r="X31" s="6">
        <f t="shared" si="18"/>
        <v>2151.3599999999997</v>
      </c>
      <c r="Y31" s="2"/>
      <c r="Z31" s="7">
        <f t="shared" si="19"/>
        <v>0.99871409803493738</v>
      </c>
    </row>
    <row r="32" spans="1:26" s="24" customFormat="1" hidden="1" outlineLevel="2" x14ac:dyDescent="0.3">
      <c r="A32" s="28"/>
      <c r="B32" s="11" t="str">
        <f>CONCATENATE("          ", "6115", " - ", "P.E.R.S.")</f>
        <v xml:space="preserve">          6115 - P.E.R.S.</v>
      </c>
      <c r="C32" s="11"/>
      <c r="D32" s="6">
        <v>7758.72</v>
      </c>
      <c r="E32" s="2"/>
      <c r="F32" s="7">
        <f t="shared" si="12"/>
        <v>7.2597077955261283E-3</v>
      </c>
      <c r="G32" s="2"/>
      <c r="H32" s="6">
        <v>6252.05</v>
      </c>
      <c r="I32" s="2"/>
      <c r="J32" s="7">
        <f t="shared" si="13"/>
        <v>3.9758935084645723E-2</v>
      </c>
      <c r="K32" s="2"/>
      <c r="L32" s="6">
        <f t="shared" si="14"/>
        <v>1506.67</v>
      </c>
      <c r="M32" s="2"/>
      <c r="N32" s="7">
        <f t="shared" si="15"/>
        <v>0.24098815588486977</v>
      </c>
      <c r="O32" s="11"/>
      <c r="P32" s="6">
        <v>46429.26</v>
      </c>
      <c r="Q32" s="2"/>
      <c r="R32" s="7">
        <f t="shared" si="16"/>
        <v>7.2751948926973132E-3</v>
      </c>
      <c r="S32" s="2"/>
      <c r="T32" s="6">
        <v>43914.66</v>
      </c>
      <c r="U32" s="2"/>
      <c r="V32" s="7">
        <f t="shared" si="17"/>
        <v>5.2863762258643435E-2</v>
      </c>
      <c r="W32" s="2"/>
      <c r="X32" s="6">
        <f t="shared" si="18"/>
        <v>2514.5999999999985</v>
      </c>
      <c r="Y32" s="2"/>
      <c r="Z32" s="7">
        <f t="shared" si="19"/>
        <v>5.7261060429478407E-2</v>
      </c>
    </row>
    <row r="33" spans="1:26" s="24" customFormat="1" hidden="1" outlineLevel="2" x14ac:dyDescent="0.3">
      <c r="A33" s="28"/>
      <c r="B33" s="11" t="str">
        <f>CONCATENATE("          ", "6117", " - ", "RETIREMENT STAFF HOURLY")</f>
        <v xml:space="preserve">          6117 - RETIREMENT STAFF HOURLY</v>
      </c>
      <c r="C33" s="11"/>
      <c r="D33" s="6">
        <v>1654.25</v>
      </c>
      <c r="E33" s="2"/>
      <c r="F33" s="7">
        <f t="shared" si="12"/>
        <v>1.5478547519112813E-3</v>
      </c>
      <c r="G33" s="2"/>
      <c r="H33" s="6">
        <v>1345.94</v>
      </c>
      <c r="I33" s="2"/>
      <c r="J33" s="7">
        <f t="shared" si="13"/>
        <v>8.559295125251408E-3</v>
      </c>
      <c r="K33" s="2"/>
      <c r="L33" s="6">
        <f t="shared" si="14"/>
        <v>308.30999999999995</v>
      </c>
      <c r="M33" s="2"/>
      <c r="N33" s="7">
        <f t="shared" si="15"/>
        <v>0.2290666745917351</v>
      </c>
      <c r="O33" s="11"/>
      <c r="P33" s="6">
        <v>9944.23</v>
      </c>
      <c r="Q33" s="2"/>
      <c r="R33" s="7">
        <f t="shared" si="16"/>
        <v>1.5582029803578043E-3</v>
      </c>
      <c r="S33" s="2"/>
      <c r="T33" s="6">
        <v>9032.7999999999993</v>
      </c>
      <c r="U33" s="2"/>
      <c r="V33" s="7">
        <f t="shared" si="17"/>
        <v>1.0873539536224903E-2</v>
      </c>
      <c r="W33" s="2"/>
      <c r="X33" s="6">
        <f t="shared" si="18"/>
        <v>911.43000000000029</v>
      </c>
      <c r="Y33" s="2"/>
      <c r="Z33" s="7">
        <f t="shared" si="19"/>
        <v>0.10090226729253392</v>
      </c>
    </row>
    <row r="34" spans="1:26" s="24" customFormat="1" hidden="1" outlineLevel="2" x14ac:dyDescent="0.3">
      <c r="A34" s="28"/>
      <c r="B34" s="11" t="str">
        <f>CONCATENATE("          ", "6118", " - ", "VACATION")</f>
        <v xml:space="preserve">          6118 - VACATION</v>
      </c>
      <c r="C34" s="11"/>
      <c r="D34" s="6">
        <v>10443.58</v>
      </c>
      <c r="E34" s="2"/>
      <c r="F34" s="7">
        <f t="shared" si="12"/>
        <v>9.7718875200033962E-3</v>
      </c>
      <c r="G34" s="2"/>
      <c r="H34" s="6">
        <v>8845.1200000000008</v>
      </c>
      <c r="I34" s="2"/>
      <c r="J34" s="7">
        <f t="shared" si="13"/>
        <v>5.6249158579330237E-2</v>
      </c>
      <c r="K34" s="2"/>
      <c r="L34" s="6">
        <f t="shared" si="14"/>
        <v>1598.4599999999991</v>
      </c>
      <c r="M34" s="2"/>
      <c r="N34" s="7">
        <f t="shared" si="15"/>
        <v>0.18071659853116737</v>
      </c>
      <c r="O34" s="11"/>
      <c r="P34" s="6">
        <v>63834.9</v>
      </c>
      <c r="Q34" s="2"/>
      <c r="R34" s="7">
        <f t="shared" si="16"/>
        <v>1.0002557405736032E-2</v>
      </c>
      <c r="S34" s="2"/>
      <c r="T34" s="6">
        <v>56153.3</v>
      </c>
      <c r="U34" s="2"/>
      <c r="V34" s="7">
        <f t="shared" si="17"/>
        <v>6.7596440487943707E-2</v>
      </c>
      <c r="W34" s="2"/>
      <c r="X34" s="6">
        <f t="shared" si="18"/>
        <v>7681.5999999999985</v>
      </c>
      <c r="Y34" s="2"/>
      <c r="Z34" s="7">
        <f t="shared" si="19"/>
        <v>0.13679694692920982</v>
      </c>
    </row>
    <row r="35" spans="1:26" s="24" customFormat="1" hidden="1" outlineLevel="2" x14ac:dyDescent="0.3">
      <c r="A35" s="28"/>
      <c r="B35" s="11" t="str">
        <f>CONCATENATE("          ", "6119", " - ", "SICK LEAVE")</f>
        <v xml:space="preserve">          6119 - SICK LEAVE</v>
      </c>
      <c r="C35" s="11"/>
      <c r="D35" s="6">
        <v>7680.78</v>
      </c>
      <c r="E35" s="2"/>
      <c r="F35" s="7">
        <f t="shared" si="12"/>
        <v>7.186780608363386E-3</v>
      </c>
      <c r="G35" s="2"/>
      <c r="H35" s="6">
        <v>5575.88</v>
      </c>
      <c r="I35" s="2"/>
      <c r="J35" s="7">
        <f t="shared" si="13"/>
        <v>3.545893762202388E-2</v>
      </c>
      <c r="K35" s="2"/>
      <c r="L35" s="6">
        <f t="shared" si="14"/>
        <v>2104.8999999999996</v>
      </c>
      <c r="M35" s="2"/>
      <c r="N35" s="7">
        <f t="shared" si="15"/>
        <v>0.37750095052260801</v>
      </c>
      <c r="O35" s="11"/>
      <c r="P35" s="6">
        <v>45096.22</v>
      </c>
      <c r="Q35" s="2"/>
      <c r="R35" s="7">
        <f t="shared" si="16"/>
        <v>7.0663152810093123E-3</v>
      </c>
      <c r="S35" s="2"/>
      <c r="T35" s="6">
        <v>36023.79</v>
      </c>
      <c r="U35" s="2"/>
      <c r="V35" s="7">
        <f t="shared" si="17"/>
        <v>4.3364859712344273E-2</v>
      </c>
      <c r="W35" s="2"/>
      <c r="X35" s="6">
        <f t="shared" si="18"/>
        <v>9072.43</v>
      </c>
      <c r="Y35" s="2"/>
      <c r="Z35" s="7">
        <f t="shared" si="19"/>
        <v>0.25184551653226939</v>
      </c>
    </row>
    <row r="36" spans="1:26" s="24" customFormat="1" hidden="1" outlineLevel="2" x14ac:dyDescent="0.3">
      <c r="A36" s="28"/>
      <c r="B36" s="11" t="str">
        <f>CONCATENATE("          ", "6156", " - ", "EMPLOYEE MEALS")</f>
        <v xml:space="preserve">          6156 - EMPLOYEE MEALS</v>
      </c>
      <c r="C36" s="11"/>
      <c r="D36" s="6">
        <v>4861.2</v>
      </c>
      <c r="E36" s="2"/>
      <c r="F36" s="7">
        <f t="shared" si="12"/>
        <v>4.5485455765398941E-3</v>
      </c>
      <c r="G36" s="2"/>
      <c r="H36" s="6">
        <v>2186.04</v>
      </c>
      <c r="I36" s="2"/>
      <c r="J36" s="7">
        <f t="shared" si="13"/>
        <v>1.3901779808613004E-2</v>
      </c>
      <c r="K36" s="2"/>
      <c r="L36" s="6">
        <f t="shared" si="14"/>
        <v>2675.16</v>
      </c>
      <c r="M36" s="2"/>
      <c r="N36" s="7">
        <f t="shared" si="15"/>
        <v>1.2237470494592961</v>
      </c>
      <c r="O36" s="11"/>
      <c r="P36" s="6">
        <v>29170.34</v>
      </c>
      <c r="Q36" s="2"/>
      <c r="R36" s="7">
        <f t="shared" si="16"/>
        <v>4.5708225499662093E-3</v>
      </c>
      <c r="S36" s="2"/>
      <c r="T36" s="6">
        <v>18259.97</v>
      </c>
      <c r="U36" s="2"/>
      <c r="V36" s="7">
        <f t="shared" si="17"/>
        <v>2.1981058556071284E-2</v>
      </c>
      <c r="W36" s="2"/>
      <c r="X36" s="6">
        <f t="shared" si="18"/>
        <v>10910.369999999999</v>
      </c>
      <c r="Y36" s="2"/>
      <c r="Z36" s="7">
        <f t="shared" si="19"/>
        <v>0.59750207694755242</v>
      </c>
    </row>
    <row r="37" spans="1:26" s="29" customFormat="1" outlineLevel="1" collapsed="1" x14ac:dyDescent="0.3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308186.99999999994</v>
      </c>
      <c r="E37" s="1"/>
      <c r="F37" s="5">
        <f t="shared" ref="F37:F43" si="20">IF(D$12=0,0,D37/D$12)</f>
        <v>0.28836555080990295</v>
      </c>
      <c r="G37" s="1"/>
      <c r="H37" s="1">
        <f>SUM(OSRRefH22_1x_0)</f>
        <v>117024.06</v>
      </c>
      <c r="I37" s="1"/>
      <c r="J37" s="5">
        <f t="shared" ref="J37:J43" si="21">IF(H$12=0,0,H37/H$12)</f>
        <v>0.74419622441946021</v>
      </c>
      <c r="K37" s="1"/>
      <c r="L37" s="1">
        <f t="shared" ref="L37:L43" si="22">+D37-H37</f>
        <v>191162.93999999994</v>
      </c>
      <c r="M37" s="1"/>
      <c r="N37" s="5">
        <f t="shared" ref="N37:N43" si="23">IF(H37=0,0,L37/H37)</f>
        <v>1.6335353601643965</v>
      </c>
      <c r="O37" s="14"/>
      <c r="P37" s="1">
        <f>SUM(OSRRefP22_1x_0)</f>
        <v>1725513.1500000001</v>
      </c>
      <c r="Q37" s="1"/>
      <c r="R37" s="5">
        <f t="shared" ref="R37:R43" si="24">IF(P$12=0,0,P37/P$12)</f>
        <v>0.27037787068245439</v>
      </c>
      <c r="S37" s="1"/>
      <c r="T37" s="1">
        <f>SUM(OSRRefT22_1x_0)</f>
        <v>819447.66999999993</v>
      </c>
      <c r="U37" s="1"/>
      <c r="V37" s="5">
        <f t="shared" ref="V37:V43" si="25">IF(T$12=0,0,T37/T$12)</f>
        <v>0.98643794145916852</v>
      </c>
      <c r="W37" s="1"/>
      <c r="X37" s="1">
        <f t="shared" ref="X37:X43" si="26">+P37-T37</f>
        <v>906065.48000000021</v>
      </c>
      <c r="Y37" s="1"/>
      <c r="Z37" s="5">
        <f t="shared" ref="Z37:Z43" si="27">IF(T37=0,0,X37/T37)</f>
        <v>1.1057026740951015</v>
      </c>
    </row>
    <row r="38" spans="1:26" s="24" customFormat="1" hidden="1" outlineLevel="2" x14ac:dyDescent="0.3">
      <c r="A38" s="28"/>
      <c r="B38" s="11" t="str">
        <f>CONCATENATE("          ", "6001", " - ", "ADMINISTRATIVE SALARIES")</f>
        <v xml:space="preserve">          6001 - ADMINISTRATIVE SALARIES</v>
      </c>
      <c r="C38" s="11"/>
      <c r="D38" s="6">
        <v>19788.48</v>
      </c>
      <c r="E38" s="2"/>
      <c r="F38" s="7">
        <f t="shared" si="20"/>
        <v>1.8515758078344477E-2</v>
      </c>
      <c r="G38" s="2"/>
      <c r="H38" s="6">
        <v>16919.009999999998</v>
      </c>
      <c r="I38" s="2"/>
      <c r="J38" s="7">
        <f t="shared" si="21"/>
        <v>0.10759380047927827</v>
      </c>
      <c r="K38" s="2"/>
      <c r="L38" s="6">
        <f t="shared" si="22"/>
        <v>2869.4700000000012</v>
      </c>
      <c r="M38" s="2"/>
      <c r="N38" s="7">
        <f t="shared" si="23"/>
        <v>0.16960034895658796</v>
      </c>
      <c r="O38" s="11"/>
      <c r="P38" s="6">
        <v>119615.97</v>
      </c>
      <c r="Q38" s="2"/>
      <c r="R38" s="7">
        <f t="shared" si="24"/>
        <v>1.8743126511795254E-2</v>
      </c>
      <c r="S38" s="2"/>
      <c r="T38" s="6">
        <v>115989.06</v>
      </c>
      <c r="U38" s="2"/>
      <c r="V38" s="7">
        <f t="shared" si="25"/>
        <v>0.1396257671684929</v>
      </c>
      <c r="W38" s="2"/>
      <c r="X38" s="6">
        <f t="shared" si="26"/>
        <v>3626.9100000000035</v>
      </c>
      <c r="Y38" s="2"/>
      <c r="Z38" s="7">
        <f t="shared" si="27"/>
        <v>3.1269414546509847E-2</v>
      </c>
    </row>
    <row r="39" spans="1:26" s="24" customFormat="1" hidden="1" outlineLevel="2" x14ac:dyDescent="0.3">
      <c r="A39" s="28"/>
      <c r="B39" s="11" t="str">
        <f>CONCATENATE("          ", "6002", " - ", "STAFF SALARIES")</f>
        <v xml:space="preserve">          6002 - STAFF SALARIES</v>
      </c>
      <c r="C39" s="11"/>
      <c r="D39" s="6">
        <v>58135.25</v>
      </c>
      <c r="E39" s="2"/>
      <c r="F39" s="7">
        <f t="shared" si="20"/>
        <v>5.4396205510684796E-2</v>
      </c>
      <c r="G39" s="2"/>
      <c r="H39" s="6">
        <v>37605.06</v>
      </c>
      <c r="I39" s="2"/>
      <c r="J39" s="7">
        <f t="shared" si="21"/>
        <v>0.23914350323401243</v>
      </c>
      <c r="K39" s="2"/>
      <c r="L39" s="6">
        <f t="shared" si="22"/>
        <v>20530.190000000002</v>
      </c>
      <c r="M39" s="2"/>
      <c r="N39" s="7">
        <f t="shared" si="23"/>
        <v>0.54594222160528405</v>
      </c>
      <c r="O39" s="11"/>
      <c r="P39" s="6">
        <v>359697.81</v>
      </c>
      <c r="Q39" s="2"/>
      <c r="R39" s="7">
        <f t="shared" si="24"/>
        <v>5.6362553920230658E-2</v>
      </c>
      <c r="S39" s="2"/>
      <c r="T39" s="6">
        <v>262878.76</v>
      </c>
      <c r="U39" s="2"/>
      <c r="V39" s="7">
        <f t="shared" si="25"/>
        <v>0.31644922837810846</v>
      </c>
      <c r="W39" s="2"/>
      <c r="X39" s="6">
        <f t="shared" si="26"/>
        <v>96819.049999999988</v>
      </c>
      <c r="Y39" s="2"/>
      <c r="Z39" s="7">
        <f t="shared" si="27"/>
        <v>0.36830305346845055</v>
      </c>
    </row>
    <row r="40" spans="1:26" s="24" customFormat="1" hidden="1" outlineLevel="2" x14ac:dyDescent="0.3">
      <c r="A40" s="28"/>
      <c r="B40" s="11" t="str">
        <f>CONCATENATE("          ", "6004", " - ", "STAFF HOURLY")</f>
        <v xml:space="preserve">          6004 - STAFF HOURLY</v>
      </c>
      <c r="C40" s="11"/>
      <c r="D40" s="6">
        <v>76820.289999999994</v>
      </c>
      <c r="E40" s="2"/>
      <c r="F40" s="7">
        <f t="shared" si="20"/>
        <v>7.1879492772980308E-2</v>
      </c>
      <c r="G40" s="2"/>
      <c r="H40" s="6">
        <v>38881</v>
      </c>
      <c r="I40" s="2"/>
      <c r="J40" s="7">
        <f t="shared" si="21"/>
        <v>0.24725764429684829</v>
      </c>
      <c r="K40" s="2"/>
      <c r="L40" s="6">
        <f t="shared" si="22"/>
        <v>37939.289999999994</v>
      </c>
      <c r="M40" s="2"/>
      <c r="N40" s="7">
        <f t="shared" si="23"/>
        <v>0.9757796867364521</v>
      </c>
      <c r="O40" s="11"/>
      <c r="P40" s="6">
        <v>517300.95</v>
      </c>
      <c r="Q40" s="2"/>
      <c r="R40" s="7">
        <f t="shared" si="24"/>
        <v>8.1058048942142691E-2</v>
      </c>
      <c r="S40" s="2"/>
      <c r="T40" s="6">
        <v>295841.39</v>
      </c>
      <c r="U40" s="2"/>
      <c r="V40" s="7">
        <f t="shared" si="25"/>
        <v>0.35612911285722382</v>
      </c>
      <c r="W40" s="2"/>
      <c r="X40" s="6">
        <f t="shared" si="26"/>
        <v>221459.56</v>
      </c>
      <c r="Y40" s="2"/>
      <c r="Z40" s="7">
        <f t="shared" si="27"/>
        <v>0.74857530922228288</v>
      </c>
    </row>
    <row r="41" spans="1:26" s="24" customFormat="1" hidden="1" outlineLevel="2" x14ac:dyDescent="0.3">
      <c r="A41" s="28"/>
      <c r="B41" s="11" t="str">
        <f>CONCATENATE("          ", "6005", " - ", "TEMPORARY WAGES-HOURLY")</f>
        <v xml:space="preserve">          6005 - TEMPORARY WAGES-HOURLY</v>
      </c>
      <c r="C41" s="11"/>
      <c r="D41" s="6">
        <v>56138.93</v>
      </c>
      <c r="E41" s="2"/>
      <c r="F41" s="7">
        <f t="shared" si="20"/>
        <v>5.2528281437337038E-2</v>
      </c>
      <c r="G41" s="2"/>
      <c r="H41" s="6">
        <v>11854.5</v>
      </c>
      <c r="I41" s="2"/>
      <c r="J41" s="7">
        <f t="shared" si="21"/>
        <v>7.5386840470075045E-2</v>
      </c>
      <c r="K41" s="2"/>
      <c r="L41" s="6">
        <f t="shared" si="22"/>
        <v>44284.43</v>
      </c>
      <c r="M41" s="2"/>
      <c r="N41" s="7">
        <f t="shared" si="23"/>
        <v>3.7356640938040409</v>
      </c>
      <c r="O41" s="11"/>
      <c r="P41" s="6">
        <v>311430.14</v>
      </c>
      <c r="Q41" s="2"/>
      <c r="R41" s="7">
        <f t="shared" si="24"/>
        <v>4.8799290877347801E-2</v>
      </c>
      <c r="S41" s="2"/>
      <c r="T41" s="6">
        <v>64900.44</v>
      </c>
      <c r="U41" s="2"/>
      <c r="V41" s="7">
        <f t="shared" si="25"/>
        <v>7.8126107105038561E-2</v>
      </c>
      <c r="W41" s="2"/>
      <c r="X41" s="6">
        <f t="shared" si="26"/>
        <v>246529.7</v>
      </c>
      <c r="Y41" s="2"/>
      <c r="Z41" s="7">
        <f t="shared" si="27"/>
        <v>3.7985828755552351</v>
      </c>
    </row>
    <row r="42" spans="1:26" s="24" customFormat="1" hidden="1" outlineLevel="2" x14ac:dyDescent="0.3">
      <c r="A42" s="28"/>
      <c r="B42" s="11" t="str">
        <f>CONCATENATE("          ", "6007", " - ", "STUDENT HOURLY")</f>
        <v xml:space="preserve">          6007 - STUDENT HOURLY</v>
      </c>
      <c r="C42" s="11"/>
      <c r="D42" s="6">
        <v>66282.009999999995</v>
      </c>
      <c r="E42" s="2"/>
      <c r="F42" s="7">
        <f t="shared" si="20"/>
        <v>6.2018996007091466E-2</v>
      </c>
      <c r="G42" s="2"/>
      <c r="H42" s="6">
        <v>10668.46</v>
      </c>
      <c r="I42" s="2"/>
      <c r="J42" s="7">
        <f t="shared" si="21"/>
        <v>6.7844404410255743E-2</v>
      </c>
      <c r="K42" s="2"/>
      <c r="L42" s="6">
        <f t="shared" si="22"/>
        <v>55613.549999999996</v>
      </c>
      <c r="M42" s="2"/>
      <c r="N42" s="7">
        <f t="shared" si="23"/>
        <v>5.2128938947139511</v>
      </c>
      <c r="O42" s="11"/>
      <c r="P42" s="6">
        <v>342068.27</v>
      </c>
      <c r="Q42" s="2"/>
      <c r="R42" s="7">
        <f t="shared" si="24"/>
        <v>5.3600107579957243E-2</v>
      </c>
      <c r="S42" s="2"/>
      <c r="T42" s="6">
        <v>69207.14</v>
      </c>
      <c r="U42" s="2"/>
      <c r="V42" s="7">
        <f t="shared" si="25"/>
        <v>8.3310443381792137E-2</v>
      </c>
      <c r="W42" s="2"/>
      <c r="X42" s="6">
        <f t="shared" si="26"/>
        <v>272861.13</v>
      </c>
      <c r="Y42" s="2"/>
      <c r="Z42" s="7">
        <f t="shared" si="27"/>
        <v>3.9426731114737583</v>
      </c>
    </row>
    <row r="43" spans="1:26" s="24" customFormat="1" hidden="1" outlineLevel="2" x14ac:dyDescent="0.3">
      <c r="A43" s="28"/>
      <c r="B43" s="11" t="str">
        <f>CONCATENATE("          ", "6008", " - ", "STUDENT HOURLY-FICA EXEMPT")</f>
        <v xml:space="preserve">          6008 - STUDENT HOURLY-FICA EXEMPT</v>
      </c>
      <c r="C43" s="11"/>
      <c r="D43" s="6">
        <v>31022.04</v>
      </c>
      <c r="E43" s="2"/>
      <c r="F43" s="7">
        <f t="shared" si="20"/>
        <v>2.9026817003464923E-2</v>
      </c>
      <c r="G43" s="2"/>
      <c r="H43" s="6">
        <v>1096.03</v>
      </c>
      <c r="I43" s="2"/>
      <c r="J43" s="7">
        <f t="shared" si="21"/>
        <v>6.9700315289903713E-3</v>
      </c>
      <c r="K43" s="2"/>
      <c r="L43" s="6">
        <f t="shared" si="22"/>
        <v>29926.010000000002</v>
      </c>
      <c r="M43" s="2"/>
      <c r="N43" s="7">
        <f t="shared" si="23"/>
        <v>27.304006277200443</v>
      </c>
      <c r="O43" s="11"/>
      <c r="P43" s="6">
        <v>75400.009999999995</v>
      </c>
      <c r="Q43" s="2"/>
      <c r="R43" s="7">
        <f t="shared" si="24"/>
        <v>1.1814742850980746E-2</v>
      </c>
      <c r="S43" s="2"/>
      <c r="T43" s="6">
        <v>10630.88</v>
      </c>
      <c r="U43" s="2"/>
      <c r="V43" s="7">
        <f t="shared" si="25"/>
        <v>1.279728256851282E-2</v>
      </c>
      <c r="W43" s="2"/>
      <c r="X43" s="6">
        <f t="shared" si="26"/>
        <v>64769.13</v>
      </c>
      <c r="Y43" s="2"/>
      <c r="Z43" s="7">
        <f t="shared" si="27"/>
        <v>6.0925464307752515</v>
      </c>
    </row>
    <row r="44" spans="1:26" s="29" customFormat="1" outlineLevel="1" collapsed="1" x14ac:dyDescent="0.3">
      <c r="A44" s="27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247.65</v>
      </c>
      <c r="E44" s="1"/>
      <c r="F44" s="5">
        <f t="shared" ref="F44:F52" si="28">IF(D$12=0,0,D44/D$12)</f>
        <v>2.3172206698553958E-4</v>
      </c>
      <c r="G44" s="1"/>
      <c r="H44" s="1">
        <f>SUM(OSRRefH22_2x_0)</f>
        <v>7.42</v>
      </c>
      <c r="I44" s="1"/>
      <c r="J44" s="5">
        <f t="shared" ref="J44:J52" si="29">IF(H$12=0,0,H44/H$12)</f>
        <v>4.7186330616049334E-5</v>
      </c>
      <c r="K44" s="1"/>
      <c r="L44" s="1">
        <f t="shared" ref="L44:L52" si="30">+D44-H44</f>
        <v>240.23000000000002</v>
      </c>
      <c r="M44" s="1"/>
      <c r="N44" s="5">
        <f t="shared" ref="N44:N52" si="31">IF(H44=0,0,L44/H44)</f>
        <v>32.376010781671162</v>
      </c>
      <c r="O44" s="14"/>
      <c r="P44" s="1">
        <f>SUM(OSRRefP22_2x_0)</f>
        <v>4110.8599999999997</v>
      </c>
      <c r="Q44" s="1"/>
      <c r="R44" s="5">
        <f t="shared" ref="R44:R52" si="32">IF(P$12=0,0,P44/P$12)</f>
        <v>6.4414784290323969E-4</v>
      </c>
      <c r="S44" s="1"/>
      <c r="T44" s="1">
        <f>SUM(OSRRefT22_2x_0)</f>
        <v>1562.95</v>
      </c>
      <c r="U44" s="1"/>
      <c r="V44" s="5">
        <f t="shared" ref="V44:V52" si="33">IF(T$12=0,0,T44/T$12)</f>
        <v>1.8814541026196433E-3</v>
      </c>
      <c r="W44" s="1"/>
      <c r="X44" s="1">
        <f t="shared" ref="X44:X52" si="34">+P44-T44</f>
        <v>2547.91</v>
      </c>
      <c r="Y44" s="1"/>
      <c r="Z44" s="5">
        <f t="shared" ref="Z44:Z52" si="35">IF(T44=0,0,X44/T44)</f>
        <v>1.6301929044435202</v>
      </c>
    </row>
    <row r="45" spans="1:26" s="24" customFormat="1" hidden="1" outlineLevel="2" x14ac:dyDescent="0.3">
      <c r="A45" s="28"/>
      <c r="B45" s="11" t="str">
        <f>CONCATENATE("          ", "6362", " - ", "ADVERTISING EXPENSE")</f>
        <v xml:space="preserve">          6362 - ADVERTISING EXPENSE</v>
      </c>
      <c r="C45" s="11"/>
      <c r="D45" s="6">
        <v>247.65</v>
      </c>
      <c r="E45" s="2"/>
      <c r="F45" s="7">
        <f t="shared" si="28"/>
        <v>2.3172206698553958E-4</v>
      </c>
      <c r="G45" s="2"/>
      <c r="H45" s="6">
        <v>7.42</v>
      </c>
      <c r="I45" s="2"/>
      <c r="J45" s="7">
        <f t="shared" si="29"/>
        <v>4.7186330616049334E-5</v>
      </c>
      <c r="K45" s="2"/>
      <c r="L45" s="6">
        <f t="shared" si="30"/>
        <v>240.23000000000002</v>
      </c>
      <c r="M45" s="2"/>
      <c r="N45" s="7">
        <f t="shared" si="31"/>
        <v>32.376010781671162</v>
      </c>
      <c r="O45" s="11"/>
      <c r="P45" s="6">
        <v>4110.8599999999997</v>
      </c>
      <c r="Q45" s="2"/>
      <c r="R45" s="7">
        <f t="shared" si="32"/>
        <v>6.4414784290323969E-4</v>
      </c>
      <c r="S45" s="2"/>
      <c r="T45" s="6">
        <v>1562.95</v>
      </c>
      <c r="U45" s="2"/>
      <c r="V45" s="7">
        <f t="shared" si="33"/>
        <v>1.8814541026196433E-3</v>
      </c>
      <c r="W45" s="2"/>
      <c r="X45" s="6">
        <f t="shared" si="34"/>
        <v>2547.91</v>
      </c>
      <c r="Y45" s="2"/>
      <c r="Z45" s="7">
        <f t="shared" si="35"/>
        <v>1.6301929044435202</v>
      </c>
    </row>
    <row r="46" spans="1:26" s="29" customFormat="1" outlineLevel="1" collapsed="1" x14ac:dyDescent="0.3">
      <c r="A46" s="27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26</v>
      </c>
      <c r="E46" s="1"/>
      <c r="F46" s="5">
        <f t="shared" si="28"/>
        <v>2.4327776061473971E-5</v>
      </c>
      <c r="G46" s="1"/>
      <c r="H46" s="1">
        <f>SUM(OSRRefH22_3x_0)</f>
        <v>1.74</v>
      </c>
      <c r="I46" s="1"/>
      <c r="J46" s="5">
        <f t="shared" si="29"/>
        <v>1.1065258122901058E-5</v>
      </c>
      <c r="K46" s="1"/>
      <c r="L46" s="1">
        <f t="shared" si="30"/>
        <v>24.26</v>
      </c>
      <c r="M46" s="1"/>
      <c r="N46" s="5">
        <f t="shared" si="31"/>
        <v>13.942528735632186</v>
      </c>
      <c r="O46" s="14"/>
      <c r="P46" s="1">
        <f>SUM(OSRRefP22_3x_0)</f>
        <v>-104.81</v>
      </c>
      <c r="Q46" s="1"/>
      <c r="R46" s="5">
        <f t="shared" si="32"/>
        <v>-1.6423117161540057E-5</v>
      </c>
      <c r="S46" s="1"/>
      <c r="T46" s="1">
        <f>SUM(OSRRefT22_3x_0)</f>
        <v>78.53</v>
      </c>
      <c r="U46" s="1"/>
      <c r="V46" s="5">
        <f t="shared" si="33"/>
        <v>9.4533152486465076E-5</v>
      </c>
      <c r="W46" s="1"/>
      <c r="X46" s="1">
        <f t="shared" si="34"/>
        <v>-183.34</v>
      </c>
      <c r="Y46" s="1"/>
      <c r="Z46" s="5">
        <f t="shared" si="35"/>
        <v>-2.3346491786578376</v>
      </c>
    </row>
    <row r="47" spans="1:26" s="24" customFormat="1" hidden="1" outlineLevel="2" x14ac:dyDescent="0.3">
      <c r="A47" s="28"/>
      <c r="B47" s="11" t="str">
        <f>CONCATENATE("          ", "6272", " - ", "CASH (OVER/SHORT)")</f>
        <v xml:space="preserve">          6272 - CASH (OVER/SHORT)</v>
      </c>
      <c r="C47" s="11"/>
      <c r="D47" s="6">
        <v>26</v>
      </c>
      <c r="E47" s="2"/>
      <c r="F47" s="7">
        <f t="shared" si="28"/>
        <v>2.4327776061473971E-5</v>
      </c>
      <c r="G47" s="2"/>
      <c r="H47" s="6">
        <v>1.74</v>
      </c>
      <c r="I47" s="2"/>
      <c r="J47" s="7">
        <f t="shared" si="29"/>
        <v>1.1065258122901058E-5</v>
      </c>
      <c r="K47" s="2"/>
      <c r="L47" s="6">
        <f t="shared" si="30"/>
        <v>24.26</v>
      </c>
      <c r="M47" s="2"/>
      <c r="N47" s="7">
        <f t="shared" si="31"/>
        <v>13.942528735632186</v>
      </c>
      <c r="O47" s="11"/>
      <c r="P47" s="6">
        <v>-104.81</v>
      </c>
      <c r="Q47" s="2"/>
      <c r="R47" s="7">
        <f t="shared" si="32"/>
        <v>-1.6423117161540057E-5</v>
      </c>
      <c r="S47" s="2"/>
      <c r="T47" s="6">
        <v>78.53</v>
      </c>
      <c r="U47" s="2"/>
      <c r="V47" s="7">
        <f t="shared" si="33"/>
        <v>9.4533152486465076E-5</v>
      </c>
      <c r="W47" s="2"/>
      <c r="X47" s="6">
        <f t="shared" si="34"/>
        <v>-183.34</v>
      </c>
      <c r="Y47" s="2"/>
      <c r="Z47" s="7">
        <f t="shared" si="35"/>
        <v>-2.3346491786578376</v>
      </c>
    </row>
    <row r="48" spans="1:26" s="29" customFormat="1" outlineLevel="1" collapsed="1" x14ac:dyDescent="0.3">
      <c r="A48" s="27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4074.9</v>
      </c>
      <c r="E48" s="1"/>
      <c r="F48" s="5">
        <f t="shared" si="28"/>
        <v>3.8128174874192417E-3</v>
      </c>
      <c r="G48" s="1"/>
      <c r="H48" s="1">
        <f>SUM(OSRRefH22_4x_0)</f>
        <v>664.59</v>
      </c>
      <c r="I48" s="1"/>
      <c r="J48" s="5">
        <f t="shared" si="29"/>
        <v>4.2263562620108129E-3</v>
      </c>
      <c r="K48" s="1"/>
      <c r="L48" s="1">
        <f t="shared" si="30"/>
        <v>3410.31</v>
      </c>
      <c r="M48" s="1"/>
      <c r="N48" s="5">
        <f t="shared" si="31"/>
        <v>5.1314494650837359</v>
      </c>
      <c r="O48" s="14"/>
      <c r="P48" s="1">
        <f>SUM(OSRRefP22_4x_0)</f>
        <v>23393.55</v>
      </c>
      <c r="Q48" s="1"/>
      <c r="R48" s="5">
        <f t="shared" si="32"/>
        <v>3.6656331693001184E-3</v>
      </c>
      <c r="S48" s="1"/>
      <c r="T48" s="1">
        <f>SUM(OSRRefT22_4x_0)</f>
        <v>3289.96</v>
      </c>
      <c r="U48" s="1"/>
      <c r="V48" s="5">
        <f t="shared" si="33"/>
        <v>3.9604009977635378E-3</v>
      </c>
      <c r="W48" s="1"/>
      <c r="X48" s="1">
        <f t="shared" si="34"/>
        <v>20103.59</v>
      </c>
      <c r="Y48" s="1"/>
      <c r="Z48" s="5">
        <f t="shared" si="35"/>
        <v>6.1105879706744153</v>
      </c>
    </row>
    <row r="49" spans="1:26" s="24" customFormat="1" hidden="1" outlineLevel="2" x14ac:dyDescent="0.3">
      <c r="A49" s="28"/>
      <c r="B49" s="11" t="str">
        <f>CONCATENATE("          ", "6381", " - ", "BANK/CREDIT CARD FEES")</f>
        <v xml:space="preserve">          6381 - BANK/CREDIT CARD FEES</v>
      </c>
      <c r="C49" s="11"/>
      <c r="D49" s="6">
        <v>4074.9</v>
      </c>
      <c r="E49" s="2"/>
      <c r="F49" s="7">
        <f t="shared" si="28"/>
        <v>3.8128174874192417E-3</v>
      </c>
      <c r="G49" s="2"/>
      <c r="H49" s="6">
        <v>664.59</v>
      </c>
      <c r="I49" s="2"/>
      <c r="J49" s="7">
        <f t="shared" si="29"/>
        <v>4.2263562620108129E-3</v>
      </c>
      <c r="K49" s="2"/>
      <c r="L49" s="6">
        <f t="shared" si="30"/>
        <v>3410.31</v>
      </c>
      <c r="M49" s="2"/>
      <c r="N49" s="7">
        <f t="shared" si="31"/>
        <v>5.1314494650837359</v>
      </c>
      <c r="O49" s="11"/>
      <c r="P49" s="6">
        <v>23393.55</v>
      </c>
      <c r="Q49" s="2"/>
      <c r="R49" s="7">
        <f t="shared" si="32"/>
        <v>3.6656331693001184E-3</v>
      </c>
      <c r="S49" s="2"/>
      <c r="T49" s="6">
        <v>3289.96</v>
      </c>
      <c r="U49" s="2"/>
      <c r="V49" s="7">
        <f t="shared" si="33"/>
        <v>3.9604009977635378E-3</v>
      </c>
      <c r="W49" s="2"/>
      <c r="X49" s="6">
        <f t="shared" si="34"/>
        <v>20103.59</v>
      </c>
      <c r="Y49" s="2"/>
      <c r="Z49" s="7">
        <f t="shared" si="35"/>
        <v>6.1105879706744153</v>
      </c>
    </row>
    <row r="50" spans="1:26" s="29" customFormat="1" outlineLevel="1" collapsed="1" x14ac:dyDescent="0.3">
      <c r="A50" s="27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33542.080000000002</v>
      </c>
      <c r="E50" s="1"/>
      <c r="F50" s="5">
        <f t="shared" si="28"/>
        <v>3.1384777341386338E-2</v>
      </c>
      <c r="G50" s="1"/>
      <c r="H50" s="1">
        <f>SUM(OSRRefH22_5x_0)</f>
        <v>37479.26</v>
      </c>
      <c r="I50" s="1"/>
      <c r="J50" s="5">
        <f t="shared" si="29"/>
        <v>0.23834349779041419</v>
      </c>
      <c r="K50" s="1"/>
      <c r="L50" s="1">
        <f t="shared" si="30"/>
        <v>-3937.1800000000003</v>
      </c>
      <c r="M50" s="1"/>
      <c r="N50" s="5">
        <f t="shared" si="31"/>
        <v>-0.10504956608001333</v>
      </c>
      <c r="O50" s="14"/>
      <c r="P50" s="1">
        <f>SUM(OSRRefP22_5x_0)</f>
        <v>201340.62</v>
      </c>
      <c r="Q50" s="1"/>
      <c r="R50" s="5">
        <f t="shared" si="32"/>
        <v>3.1548903650769157E-2</v>
      </c>
      <c r="S50" s="1"/>
      <c r="T50" s="1">
        <f>SUM(OSRRefT22_5x_0)</f>
        <v>227170.64</v>
      </c>
      <c r="U50" s="1"/>
      <c r="V50" s="5">
        <f t="shared" si="33"/>
        <v>0.27346436714081068</v>
      </c>
      <c r="W50" s="1"/>
      <c r="X50" s="1">
        <f t="shared" si="34"/>
        <v>-25830.020000000019</v>
      </c>
      <c r="Y50" s="1"/>
      <c r="Z50" s="5">
        <f t="shared" si="35"/>
        <v>-0.1137031616409586</v>
      </c>
    </row>
    <row r="51" spans="1:26" s="24" customFormat="1" hidden="1" outlineLevel="2" x14ac:dyDescent="0.3">
      <c r="A51" s="28"/>
      <c r="B51" s="11" t="str">
        <f>CONCATENATE("          ", "6321", " - ", "BUILDING DEPRECIATION")</f>
        <v xml:space="preserve">          6321 - BUILDING DEPRECIATION</v>
      </c>
      <c r="C51" s="11"/>
      <c r="D51" s="6">
        <v>23539.4</v>
      </c>
      <c r="E51" s="2"/>
      <c r="F51" s="7">
        <f t="shared" si="28"/>
        <v>2.2025432762363861E-2</v>
      </c>
      <c r="G51" s="2"/>
      <c r="H51" s="6">
        <v>23583.49</v>
      </c>
      <c r="I51" s="2"/>
      <c r="J51" s="7">
        <f t="shared" si="29"/>
        <v>0.14997551970623901</v>
      </c>
      <c r="K51" s="2"/>
      <c r="L51" s="6">
        <f t="shared" si="30"/>
        <v>-44.090000000000146</v>
      </c>
      <c r="M51" s="2"/>
      <c r="N51" s="7">
        <f t="shared" si="31"/>
        <v>-1.8695282165616769E-3</v>
      </c>
      <c r="O51" s="11"/>
      <c r="P51" s="6">
        <v>141324.54</v>
      </c>
      <c r="Q51" s="2"/>
      <c r="R51" s="7">
        <f t="shared" si="32"/>
        <v>2.2144733119175218E-2</v>
      </c>
      <c r="S51" s="2"/>
      <c r="T51" s="6">
        <v>142285.13</v>
      </c>
      <c r="U51" s="2"/>
      <c r="V51" s="7">
        <f t="shared" si="33"/>
        <v>0.17128055381187454</v>
      </c>
      <c r="W51" s="2"/>
      <c r="X51" s="6">
        <f t="shared" si="34"/>
        <v>-960.58999999999651</v>
      </c>
      <c r="Y51" s="2"/>
      <c r="Z51" s="7">
        <f t="shared" si="35"/>
        <v>-6.7511622612988192E-3</v>
      </c>
    </row>
    <row r="52" spans="1:26" s="24" customFormat="1" hidden="1" outlineLevel="2" x14ac:dyDescent="0.3">
      <c r="A52" s="28"/>
      <c r="B52" s="11" t="str">
        <f>CONCATENATE("          ", "6322", " - ", "EQUIPMENT DEPRECIATION EXPENSE")</f>
        <v xml:space="preserve">          6322 - EQUIPMENT DEPRECIATION EXPENSE</v>
      </c>
      <c r="C52" s="11"/>
      <c r="D52" s="6">
        <v>10002.68</v>
      </c>
      <c r="E52" s="2"/>
      <c r="F52" s="7">
        <f t="shared" si="28"/>
        <v>9.3593445790224796E-3</v>
      </c>
      <c r="G52" s="2"/>
      <c r="H52" s="6">
        <v>13895.77</v>
      </c>
      <c r="I52" s="2"/>
      <c r="J52" s="7">
        <f t="shared" si="29"/>
        <v>8.8367978084175194E-2</v>
      </c>
      <c r="K52" s="2"/>
      <c r="L52" s="6">
        <f t="shared" si="30"/>
        <v>-3893.09</v>
      </c>
      <c r="M52" s="2"/>
      <c r="N52" s="7">
        <f t="shared" si="31"/>
        <v>-0.28016367570850698</v>
      </c>
      <c r="O52" s="11"/>
      <c r="P52" s="6">
        <v>60016.08</v>
      </c>
      <c r="Q52" s="2"/>
      <c r="R52" s="7">
        <f t="shared" si="32"/>
        <v>9.4041705315939424E-3</v>
      </c>
      <c r="S52" s="2"/>
      <c r="T52" s="6">
        <v>84885.51</v>
      </c>
      <c r="U52" s="2"/>
      <c r="V52" s="7">
        <f t="shared" si="33"/>
        <v>0.10218381332893614</v>
      </c>
      <c r="W52" s="2"/>
      <c r="X52" s="6">
        <f t="shared" si="34"/>
        <v>-24869.429999999993</v>
      </c>
      <c r="Y52" s="2"/>
      <c r="Z52" s="7">
        <f t="shared" si="35"/>
        <v>-0.29297615105334224</v>
      </c>
    </row>
    <row r="53" spans="1:26" s="29" customFormat="1" outlineLevel="1" collapsed="1" x14ac:dyDescent="0.3">
      <c r="A53" s="27"/>
      <c r="B53" s="14" t="str">
        <f>CONCATENATE("     ","Donations                                         ")</f>
        <v xml:space="preserve">     Donations                                         </v>
      </c>
      <c r="C53" s="14"/>
      <c r="D53" s="1">
        <f>SUM(OSRRefD22_6x_0)</f>
        <v>3782.41</v>
      </c>
      <c r="E53" s="1"/>
      <c r="F53" s="5">
        <f t="shared" ref="F53:F74" si="36">IF(D$12=0,0,D53/D$12)</f>
        <v>3.5391393635646061E-3</v>
      </c>
      <c r="G53" s="1"/>
      <c r="H53" s="1">
        <f>SUM(OSRRefH22_6x_0)</f>
        <v>6666.05</v>
      </c>
      <c r="I53" s="1"/>
      <c r="J53" s="5">
        <f t="shared" ref="J53:J74" si="37">IF(H$12=0,0,H53/H$12)</f>
        <v>4.2391703396646316E-2</v>
      </c>
      <c r="K53" s="1"/>
      <c r="L53" s="1">
        <f t="shared" ref="L53:L74" si="38">+D53-H53</f>
        <v>-2883.6400000000003</v>
      </c>
      <c r="M53" s="1"/>
      <c r="N53" s="5">
        <f t="shared" ref="N53:N74" si="39">IF(H53=0,0,L53/H53)</f>
        <v>-0.4325860142063141</v>
      </c>
      <c r="O53" s="14"/>
      <c r="P53" s="1">
        <f>SUM(OSRRefP22_6x_0)</f>
        <v>36595</v>
      </c>
      <c r="Q53" s="1"/>
      <c r="R53" s="5">
        <f t="shared" ref="R53:R74" si="40">IF(P$12=0,0,P53/P$12)</f>
        <v>5.7342235714775156E-3</v>
      </c>
      <c r="S53" s="1"/>
      <c r="T53" s="1">
        <f>SUM(OSRRefT22_6x_0)</f>
        <v>36822.01</v>
      </c>
      <c r="U53" s="1"/>
      <c r="V53" s="5">
        <f t="shared" ref="V53:V74" si="41">IF(T$12=0,0,T53/T$12)</f>
        <v>4.4325744125660795E-2</v>
      </c>
      <c r="W53" s="1"/>
      <c r="X53" s="1">
        <f t="shared" ref="X53:X74" si="42">+P53-T53</f>
        <v>-227.01000000000204</v>
      </c>
      <c r="Y53" s="1"/>
      <c r="Z53" s="5">
        <f t="shared" ref="Z53:Z74" si="43">IF(T53=0,0,X53/T53)</f>
        <v>-6.1650626894078301E-3</v>
      </c>
    </row>
    <row r="54" spans="1:26" s="24" customFormat="1" hidden="1" outlineLevel="2" x14ac:dyDescent="0.3">
      <c r="A54" s="28"/>
      <c r="B54" s="11" t="str">
        <f>CONCATENATE("          ", "6399", " - ", "DONATION-ON CAMPUS")</f>
        <v xml:space="preserve">          6399 - DONATION-ON CAMPUS</v>
      </c>
      <c r="C54" s="11"/>
      <c r="D54" s="6">
        <v>3782.41</v>
      </c>
      <c r="E54" s="2"/>
      <c r="F54" s="7">
        <f t="shared" si="36"/>
        <v>3.5391393635646061E-3</v>
      </c>
      <c r="G54" s="2"/>
      <c r="H54" s="6">
        <v>6666.05</v>
      </c>
      <c r="I54" s="2"/>
      <c r="J54" s="7">
        <f t="shared" si="37"/>
        <v>4.2391703396646316E-2</v>
      </c>
      <c r="K54" s="2"/>
      <c r="L54" s="6">
        <f t="shared" si="38"/>
        <v>-2883.6400000000003</v>
      </c>
      <c r="M54" s="2"/>
      <c r="N54" s="7">
        <f t="shared" si="39"/>
        <v>-0.4325860142063141</v>
      </c>
      <c r="O54" s="11"/>
      <c r="P54" s="6">
        <v>36595</v>
      </c>
      <c r="Q54" s="2"/>
      <c r="R54" s="7">
        <f t="shared" si="40"/>
        <v>5.7342235714775156E-3</v>
      </c>
      <c r="S54" s="2"/>
      <c r="T54" s="6">
        <v>36822.01</v>
      </c>
      <c r="U54" s="2"/>
      <c r="V54" s="7">
        <f t="shared" si="41"/>
        <v>4.4325744125660795E-2</v>
      </c>
      <c r="W54" s="2"/>
      <c r="X54" s="6">
        <f t="shared" si="42"/>
        <v>-227.01000000000204</v>
      </c>
      <c r="Y54" s="2"/>
      <c r="Z54" s="7">
        <f t="shared" si="43"/>
        <v>-6.1650626894078301E-3</v>
      </c>
    </row>
    <row r="55" spans="1:26" s="29" customFormat="1" outlineLevel="1" collapsed="1" x14ac:dyDescent="0.3">
      <c r="A55" s="27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SUM(OSRRefD22_7x_0)</f>
        <v>287.10000000000002</v>
      </c>
      <c r="E55" s="1"/>
      <c r="F55" s="5">
        <f t="shared" si="36"/>
        <v>2.68634788740353E-4</v>
      </c>
      <c r="G55" s="1"/>
      <c r="H55" s="1">
        <f>SUM(OSRRefH22_7x_0)</f>
        <v>10</v>
      </c>
      <c r="I55" s="1"/>
      <c r="J55" s="5">
        <f t="shared" si="37"/>
        <v>6.3593437487937112E-5</v>
      </c>
      <c r="K55" s="1"/>
      <c r="L55" s="1">
        <f t="shared" si="38"/>
        <v>277.10000000000002</v>
      </c>
      <c r="M55" s="1"/>
      <c r="N55" s="5">
        <f t="shared" si="39"/>
        <v>27.71</v>
      </c>
      <c r="O55" s="14"/>
      <c r="P55" s="1">
        <f>SUM(OSRRefP22_7x_0)</f>
        <v>477.23</v>
      </c>
      <c r="Q55" s="1"/>
      <c r="R55" s="5">
        <f t="shared" si="40"/>
        <v>7.477916423052917E-5</v>
      </c>
      <c r="S55" s="1"/>
      <c r="T55" s="1">
        <f>SUM(OSRRefT22_7x_0)</f>
        <v>10</v>
      </c>
      <c r="U55" s="1"/>
      <c r="V55" s="5">
        <f t="shared" si="41"/>
        <v>1.2037839359030317E-5</v>
      </c>
      <c r="W55" s="1"/>
      <c r="X55" s="1">
        <f t="shared" si="42"/>
        <v>467.23</v>
      </c>
      <c r="Y55" s="1"/>
      <c r="Z55" s="5">
        <f t="shared" si="43"/>
        <v>46.722999999999999</v>
      </c>
    </row>
    <row r="56" spans="1:26" s="24" customFormat="1" hidden="1" outlineLevel="2" x14ac:dyDescent="0.3">
      <c r="A56" s="28"/>
      <c r="B56" s="11" t="str">
        <f>CONCATENATE("          ", "6277", " - ", "EMPLOYEE APPRECIATION")</f>
        <v xml:space="preserve">          6277 - EMPLOYEE APPRECIATION</v>
      </c>
      <c r="C56" s="11"/>
      <c r="D56" s="6">
        <v>287.10000000000002</v>
      </c>
      <c r="E56" s="2"/>
      <c r="F56" s="7">
        <f t="shared" si="36"/>
        <v>2.68634788740353E-4</v>
      </c>
      <c r="G56" s="2"/>
      <c r="H56" s="6">
        <v>10</v>
      </c>
      <c r="I56" s="2"/>
      <c r="J56" s="7">
        <f t="shared" si="37"/>
        <v>6.3593437487937112E-5</v>
      </c>
      <c r="K56" s="2"/>
      <c r="L56" s="6">
        <f t="shared" si="38"/>
        <v>277.10000000000002</v>
      </c>
      <c r="M56" s="2"/>
      <c r="N56" s="7">
        <f t="shared" si="39"/>
        <v>27.71</v>
      </c>
      <c r="O56" s="11"/>
      <c r="P56" s="6">
        <v>477.23</v>
      </c>
      <c r="Q56" s="2"/>
      <c r="R56" s="7">
        <f t="shared" si="40"/>
        <v>7.477916423052917E-5</v>
      </c>
      <c r="S56" s="2"/>
      <c r="T56" s="6">
        <v>10</v>
      </c>
      <c r="U56" s="2"/>
      <c r="V56" s="7">
        <f t="shared" si="41"/>
        <v>1.2037839359030317E-5</v>
      </c>
      <c r="W56" s="2"/>
      <c r="X56" s="6">
        <f t="shared" si="42"/>
        <v>467.23</v>
      </c>
      <c r="Y56" s="2"/>
      <c r="Z56" s="7">
        <f t="shared" si="43"/>
        <v>46.722999999999999</v>
      </c>
    </row>
    <row r="57" spans="1:26" s="29" customFormat="1" outlineLevel="1" collapsed="1" x14ac:dyDescent="0.3">
      <c r="A57" s="27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SUM(OSRRefD22_8x_0)</f>
        <v>2579.75</v>
      </c>
      <c r="E57" s="1"/>
      <c r="F57" s="5">
        <f t="shared" si="36"/>
        <v>2.4138300113302875E-3</v>
      </c>
      <c r="G57" s="1"/>
      <c r="H57" s="1">
        <f>SUM(OSRRefH22_8x_0)</f>
        <v>684.84</v>
      </c>
      <c r="I57" s="1"/>
      <c r="J57" s="5">
        <f t="shared" si="37"/>
        <v>4.355132972923885E-3</v>
      </c>
      <c r="K57" s="1"/>
      <c r="L57" s="1">
        <f t="shared" si="38"/>
        <v>1894.9099999999999</v>
      </c>
      <c r="M57" s="1"/>
      <c r="N57" s="5">
        <f t="shared" si="39"/>
        <v>2.7669382629519301</v>
      </c>
      <c r="O57" s="14"/>
      <c r="P57" s="1">
        <f>SUM(OSRRefP22_8x_0)</f>
        <v>13632.86</v>
      </c>
      <c r="Q57" s="1"/>
      <c r="R57" s="5">
        <f t="shared" si="40"/>
        <v>2.1361898390122413E-3</v>
      </c>
      <c r="S57" s="1"/>
      <c r="T57" s="1">
        <f>SUM(OSRRefT22_8x_0)</f>
        <v>7301.15</v>
      </c>
      <c r="U57" s="1"/>
      <c r="V57" s="5">
        <f t="shared" si="41"/>
        <v>8.7890070836184192E-3</v>
      </c>
      <c r="W57" s="1"/>
      <c r="X57" s="1">
        <f t="shared" si="42"/>
        <v>6331.7100000000009</v>
      </c>
      <c r="Y57" s="1"/>
      <c r="Z57" s="5">
        <f t="shared" si="43"/>
        <v>0.86722091725276174</v>
      </c>
    </row>
    <row r="58" spans="1:26" s="24" customFormat="1" hidden="1" outlineLevel="2" x14ac:dyDescent="0.3">
      <c r="A58" s="28"/>
      <c r="B58" s="11" t="str">
        <f>CONCATENATE("          ", "6351", " - ", "EQUIPMENT RENTAL")</f>
        <v xml:space="preserve">          6351 - EQUIPMENT RENTAL</v>
      </c>
      <c r="C58" s="11"/>
      <c r="D58" s="6">
        <v>2579.75</v>
      </c>
      <c r="E58" s="2"/>
      <c r="F58" s="7">
        <f t="shared" si="36"/>
        <v>2.4138300113302875E-3</v>
      </c>
      <c r="G58" s="2"/>
      <c r="H58" s="6">
        <v>684.84</v>
      </c>
      <c r="I58" s="2"/>
      <c r="J58" s="7">
        <f t="shared" si="37"/>
        <v>4.355132972923885E-3</v>
      </c>
      <c r="K58" s="2"/>
      <c r="L58" s="6">
        <f t="shared" si="38"/>
        <v>1894.9099999999999</v>
      </c>
      <c r="M58" s="2"/>
      <c r="N58" s="7">
        <f t="shared" si="39"/>
        <v>2.7669382629519301</v>
      </c>
      <c r="O58" s="11"/>
      <c r="P58" s="6">
        <v>13632.86</v>
      </c>
      <c r="Q58" s="2"/>
      <c r="R58" s="7">
        <f t="shared" si="40"/>
        <v>2.1361898390122413E-3</v>
      </c>
      <c r="S58" s="2"/>
      <c r="T58" s="6">
        <v>7301.15</v>
      </c>
      <c r="U58" s="2"/>
      <c r="V58" s="7">
        <f t="shared" si="41"/>
        <v>8.7890070836184192E-3</v>
      </c>
      <c r="W58" s="2"/>
      <c r="X58" s="6">
        <f t="shared" si="42"/>
        <v>6331.7100000000009</v>
      </c>
      <c r="Y58" s="2"/>
      <c r="Z58" s="7">
        <f t="shared" si="43"/>
        <v>0.86722091725276174</v>
      </c>
    </row>
    <row r="59" spans="1:26" s="29" customFormat="1" outlineLevel="1" collapsed="1" x14ac:dyDescent="0.3">
      <c r="A59" s="27"/>
      <c r="B59" s="14" t="str">
        <f>CONCATENATE("     ","Freight out/Postage                               ")</f>
        <v xml:space="preserve">     Freight out/Postage                               </v>
      </c>
      <c r="C59" s="14"/>
      <c r="D59" s="1">
        <f>SUM(OSRRefD22_9x_0)</f>
        <v>0</v>
      </c>
      <c r="E59" s="1"/>
      <c r="F59" s="5">
        <f t="shared" si="36"/>
        <v>0</v>
      </c>
      <c r="G59" s="1"/>
      <c r="H59" s="1">
        <f>SUM(OSRRefH22_9x_0)</f>
        <v>0</v>
      </c>
      <c r="I59" s="1"/>
      <c r="J59" s="5">
        <f t="shared" si="37"/>
        <v>0</v>
      </c>
      <c r="K59" s="1"/>
      <c r="L59" s="1">
        <f t="shared" si="38"/>
        <v>0</v>
      </c>
      <c r="M59" s="1"/>
      <c r="N59" s="5">
        <f t="shared" si="39"/>
        <v>0</v>
      </c>
      <c r="O59" s="14"/>
      <c r="P59" s="1">
        <f>SUM(OSRRefP22_9x_0)</f>
        <v>0</v>
      </c>
      <c r="Q59" s="1"/>
      <c r="R59" s="5">
        <f t="shared" si="40"/>
        <v>0</v>
      </c>
      <c r="S59" s="1"/>
      <c r="T59" s="1">
        <f>SUM(OSRRefT22_9x_0)</f>
        <v>-5.41</v>
      </c>
      <c r="U59" s="1"/>
      <c r="V59" s="5">
        <f t="shared" si="41"/>
        <v>-6.5124710932354014E-6</v>
      </c>
      <c r="W59" s="1"/>
      <c r="X59" s="1">
        <f t="shared" si="42"/>
        <v>5.41</v>
      </c>
      <c r="Y59" s="1"/>
      <c r="Z59" s="5">
        <f t="shared" si="43"/>
        <v>-1</v>
      </c>
    </row>
    <row r="60" spans="1:26" s="24" customFormat="1" hidden="1" outlineLevel="2" x14ac:dyDescent="0.3">
      <c r="A60" s="28"/>
      <c r="B60" s="11" t="str">
        <f>CONCATENATE("          ", "6307", " - ", "POSTAGE")</f>
        <v xml:space="preserve">          6307 - POSTAGE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/>
      <c r="Q60" s="2"/>
      <c r="R60" s="7">
        <f t="shared" si="40"/>
        <v>0</v>
      </c>
      <c r="S60" s="2"/>
      <c r="T60" s="6">
        <v>-5.41</v>
      </c>
      <c r="U60" s="2"/>
      <c r="V60" s="7">
        <f t="shared" si="41"/>
        <v>-6.5124710932354014E-6</v>
      </c>
      <c r="W60" s="2"/>
      <c r="X60" s="6">
        <f t="shared" si="42"/>
        <v>5.41</v>
      </c>
      <c r="Y60" s="2"/>
      <c r="Z60" s="7">
        <f t="shared" si="43"/>
        <v>-1</v>
      </c>
    </row>
    <row r="61" spans="1:26" s="29" customFormat="1" outlineLevel="1" collapsed="1" x14ac:dyDescent="0.3">
      <c r="A61" s="27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SUM(OSRRefD22_10x_0)</f>
        <v>710</v>
      </c>
      <c r="E61" s="1"/>
      <c r="F61" s="5">
        <f t="shared" si="36"/>
        <v>6.6433542321717382E-4</v>
      </c>
      <c r="G61" s="1"/>
      <c r="H61" s="1">
        <f>SUM(OSRRefH22_10x_0)</f>
        <v>1198.48</v>
      </c>
      <c r="I61" s="1"/>
      <c r="J61" s="5">
        <f t="shared" si="37"/>
        <v>7.6215462960542869E-3</v>
      </c>
      <c r="K61" s="1"/>
      <c r="L61" s="1">
        <f t="shared" si="38"/>
        <v>-488.48</v>
      </c>
      <c r="M61" s="1"/>
      <c r="N61" s="5">
        <f t="shared" si="39"/>
        <v>-0.40758293838862558</v>
      </c>
      <c r="O61" s="14"/>
      <c r="P61" s="1">
        <f>SUM(OSRRefP22_10x_0)</f>
        <v>25972.97</v>
      </c>
      <c r="Q61" s="1"/>
      <c r="R61" s="5">
        <f t="shared" si="40"/>
        <v>4.0698132749085493E-3</v>
      </c>
      <c r="S61" s="1"/>
      <c r="T61" s="1">
        <f>SUM(OSRRefT22_10x_0)</f>
        <v>11838.88</v>
      </c>
      <c r="U61" s="1"/>
      <c r="V61" s="5">
        <f t="shared" si="41"/>
        <v>1.4251453563083683E-2</v>
      </c>
      <c r="W61" s="1"/>
      <c r="X61" s="1">
        <f t="shared" si="42"/>
        <v>14134.090000000002</v>
      </c>
      <c r="Y61" s="1"/>
      <c r="Z61" s="5">
        <f t="shared" si="43"/>
        <v>1.1938705350506131</v>
      </c>
    </row>
    <row r="62" spans="1:26" s="24" customFormat="1" hidden="1" outlineLevel="2" x14ac:dyDescent="0.3">
      <c r="A62" s="28"/>
      <c r="B62" s="11" t="str">
        <f>CONCATENATE("          ", "6279", " - ", "GENERAL EXPENSE")</f>
        <v xml:space="preserve">          6279 - GENERAL EXPENSE</v>
      </c>
      <c r="C62" s="11"/>
      <c r="D62" s="6">
        <v>710</v>
      </c>
      <c r="E62" s="2"/>
      <c r="F62" s="7">
        <f t="shared" si="36"/>
        <v>6.6433542321717382E-4</v>
      </c>
      <c r="G62" s="2"/>
      <c r="H62" s="6">
        <v>1198.48</v>
      </c>
      <c r="I62" s="2"/>
      <c r="J62" s="7">
        <f t="shared" si="37"/>
        <v>7.6215462960542869E-3</v>
      </c>
      <c r="K62" s="2"/>
      <c r="L62" s="6">
        <f t="shared" si="38"/>
        <v>-488.48</v>
      </c>
      <c r="M62" s="2"/>
      <c r="N62" s="7">
        <f t="shared" si="39"/>
        <v>-0.40758293838862558</v>
      </c>
      <c r="O62" s="11"/>
      <c r="P62" s="6">
        <v>25972.97</v>
      </c>
      <c r="Q62" s="2"/>
      <c r="R62" s="7">
        <f t="shared" si="40"/>
        <v>4.0698132749085493E-3</v>
      </c>
      <c r="S62" s="2"/>
      <c r="T62" s="6">
        <v>11838.88</v>
      </c>
      <c r="U62" s="2"/>
      <c r="V62" s="7">
        <f t="shared" si="41"/>
        <v>1.4251453563083683E-2</v>
      </c>
      <c r="W62" s="2"/>
      <c r="X62" s="6">
        <f t="shared" si="42"/>
        <v>14134.090000000002</v>
      </c>
      <c r="Y62" s="2"/>
      <c r="Z62" s="7">
        <f t="shared" si="43"/>
        <v>1.1938705350506131</v>
      </c>
    </row>
    <row r="63" spans="1:26" s="29" customFormat="1" outlineLevel="1" collapsed="1" x14ac:dyDescent="0.3">
      <c r="A63" s="27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SUM(OSRRefD22_11x_0)</f>
        <v>5761.42</v>
      </c>
      <c r="E63" s="1"/>
      <c r="F63" s="5">
        <f t="shared" si="36"/>
        <v>5.3908667521575908E-3</v>
      </c>
      <c r="G63" s="1"/>
      <c r="H63" s="1">
        <f>SUM(OSRRefH22_11x_0)</f>
        <v>4246.03</v>
      </c>
      <c r="I63" s="1"/>
      <c r="J63" s="5">
        <f t="shared" si="37"/>
        <v>2.7001964337690559E-2</v>
      </c>
      <c r="K63" s="1"/>
      <c r="L63" s="1">
        <f t="shared" si="38"/>
        <v>1515.3900000000003</v>
      </c>
      <c r="M63" s="1"/>
      <c r="N63" s="5">
        <f t="shared" si="39"/>
        <v>0.35689573554591003</v>
      </c>
      <c r="O63" s="14"/>
      <c r="P63" s="1">
        <f>SUM(OSRRefP22_11x_0)</f>
        <v>41451.53</v>
      </c>
      <c r="Q63" s="1"/>
      <c r="R63" s="5">
        <f t="shared" si="40"/>
        <v>6.495213564689367E-3</v>
      </c>
      <c r="S63" s="1"/>
      <c r="T63" s="1">
        <f>SUM(OSRRefT22_11x_0)</f>
        <v>31588.18</v>
      </c>
      <c r="U63" s="1"/>
      <c r="V63" s="5">
        <f t="shared" si="41"/>
        <v>3.802534364841343E-2</v>
      </c>
      <c r="W63" s="1"/>
      <c r="X63" s="1">
        <f t="shared" si="42"/>
        <v>9863.3499999999985</v>
      </c>
      <c r="Y63" s="1"/>
      <c r="Z63" s="5">
        <f t="shared" si="43"/>
        <v>0.31224812572297606</v>
      </c>
    </row>
    <row r="64" spans="1:26" s="24" customFormat="1" hidden="1" outlineLevel="2" x14ac:dyDescent="0.3">
      <c r="A64" s="28"/>
      <c r="B64" s="11" t="str">
        <f>CONCATENATE("          ", "6314", " - ", "LIABILITY INSURANCE")</f>
        <v xml:space="preserve">          6314 - LIABILITY INSURANCE</v>
      </c>
      <c r="C64" s="11"/>
      <c r="D64" s="6">
        <v>5761.42</v>
      </c>
      <c r="E64" s="2"/>
      <c r="F64" s="7">
        <f t="shared" si="36"/>
        <v>5.3908667521575908E-3</v>
      </c>
      <c r="G64" s="2"/>
      <c r="H64" s="6">
        <v>4246.03</v>
      </c>
      <c r="I64" s="2"/>
      <c r="J64" s="7">
        <f t="shared" si="37"/>
        <v>2.7001964337690559E-2</v>
      </c>
      <c r="K64" s="2"/>
      <c r="L64" s="6">
        <f t="shared" si="38"/>
        <v>1515.3900000000003</v>
      </c>
      <c r="M64" s="2"/>
      <c r="N64" s="7">
        <f t="shared" si="39"/>
        <v>0.35689573554591003</v>
      </c>
      <c r="O64" s="11"/>
      <c r="P64" s="6">
        <v>41451.53</v>
      </c>
      <c r="Q64" s="2"/>
      <c r="R64" s="7">
        <f t="shared" si="40"/>
        <v>6.495213564689367E-3</v>
      </c>
      <c r="S64" s="2"/>
      <c r="T64" s="6">
        <v>31588.18</v>
      </c>
      <c r="U64" s="2"/>
      <c r="V64" s="7">
        <f t="shared" si="41"/>
        <v>3.802534364841343E-2</v>
      </c>
      <c r="W64" s="2"/>
      <c r="X64" s="6">
        <f t="shared" si="42"/>
        <v>9863.3499999999985</v>
      </c>
      <c r="Y64" s="2"/>
      <c r="Z64" s="7">
        <f t="shared" si="43"/>
        <v>0.31224812572297606</v>
      </c>
    </row>
    <row r="65" spans="1:26" s="29" customFormat="1" outlineLevel="1" collapsed="1" x14ac:dyDescent="0.3">
      <c r="A65" s="27"/>
      <c r="B65" s="14" t="str">
        <f>CONCATENATE("     ","Interest                                          ")</f>
        <v xml:space="preserve">     Interest                                          </v>
      </c>
      <c r="C65" s="14"/>
      <c r="D65" s="1">
        <f>SUM(OSRRefD22_12x_0)</f>
        <v>7253</v>
      </c>
      <c r="E65" s="1"/>
      <c r="F65" s="5">
        <f t="shared" si="36"/>
        <v>6.786513837456566E-3</v>
      </c>
      <c r="G65" s="1"/>
      <c r="H65" s="1">
        <f>SUM(OSRRefH22_12x_0)</f>
        <v>7510</v>
      </c>
      <c r="I65" s="1"/>
      <c r="J65" s="5">
        <f t="shared" si="37"/>
        <v>4.7758671553440768E-2</v>
      </c>
      <c r="K65" s="1"/>
      <c r="L65" s="1">
        <f t="shared" si="38"/>
        <v>-257</v>
      </c>
      <c r="M65" s="1"/>
      <c r="N65" s="5">
        <f t="shared" si="39"/>
        <v>-3.4221038615179764E-2</v>
      </c>
      <c r="O65" s="14"/>
      <c r="P65" s="1">
        <f>SUM(OSRRefP22_12x_0)</f>
        <v>43004</v>
      </c>
      <c r="Q65" s="1"/>
      <c r="R65" s="5">
        <f t="shared" si="40"/>
        <v>6.738476580620825E-3</v>
      </c>
      <c r="S65" s="1"/>
      <c r="T65" s="1">
        <f>SUM(OSRRefT22_12x_0)</f>
        <v>44573.15</v>
      </c>
      <c r="U65" s="1"/>
      <c r="V65" s="5">
        <f t="shared" si="41"/>
        <v>5.3656441942596216E-2</v>
      </c>
      <c r="W65" s="1"/>
      <c r="X65" s="1">
        <f t="shared" si="42"/>
        <v>-1569.1500000000015</v>
      </c>
      <c r="Y65" s="1"/>
      <c r="Z65" s="5">
        <f t="shared" si="43"/>
        <v>-3.5203928822620821E-2</v>
      </c>
    </row>
    <row r="66" spans="1:26" s="24" customFormat="1" hidden="1" outlineLevel="2" x14ac:dyDescent="0.3">
      <c r="A66" s="28"/>
      <c r="B66" s="11" t="str">
        <f>CONCATENATE("          ", "6401", " - ", "INTEREST EXPENSE")</f>
        <v xml:space="preserve">          6401 - INTEREST EXPENSE</v>
      </c>
      <c r="C66" s="11"/>
      <c r="D66" s="6">
        <v>7253</v>
      </c>
      <c r="E66" s="2"/>
      <c r="F66" s="7">
        <f t="shared" si="36"/>
        <v>6.786513837456566E-3</v>
      </c>
      <c r="G66" s="2"/>
      <c r="H66" s="6">
        <v>7510</v>
      </c>
      <c r="I66" s="2"/>
      <c r="J66" s="7">
        <f t="shared" si="37"/>
        <v>4.7758671553440768E-2</v>
      </c>
      <c r="K66" s="2"/>
      <c r="L66" s="6">
        <f t="shared" si="38"/>
        <v>-257</v>
      </c>
      <c r="M66" s="2"/>
      <c r="N66" s="7">
        <f t="shared" si="39"/>
        <v>-3.4221038615179764E-2</v>
      </c>
      <c r="O66" s="11"/>
      <c r="P66" s="6">
        <v>43004</v>
      </c>
      <c r="Q66" s="2"/>
      <c r="R66" s="7">
        <f t="shared" si="40"/>
        <v>6.738476580620825E-3</v>
      </c>
      <c r="S66" s="2"/>
      <c r="T66" s="6">
        <v>44573.15</v>
      </c>
      <c r="U66" s="2"/>
      <c r="V66" s="7">
        <f t="shared" si="41"/>
        <v>5.3656441942596216E-2</v>
      </c>
      <c r="W66" s="2"/>
      <c r="X66" s="6">
        <f t="shared" si="42"/>
        <v>-1569.1500000000015</v>
      </c>
      <c r="Y66" s="2"/>
      <c r="Z66" s="7">
        <f t="shared" si="43"/>
        <v>-3.5203928822620821E-2</v>
      </c>
    </row>
    <row r="67" spans="1:26" s="29" customFormat="1" outlineLevel="1" collapsed="1" x14ac:dyDescent="0.3">
      <c r="A67" s="27"/>
      <c r="B67" s="14" t="str">
        <f>CONCATENATE("     ","R/H Commissions                                   ")</f>
        <v xml:space="preserve">     R/H Commissions                                   </v>
      </c>
      <c r="C67" s="14"/>
      <c r="D67" s="1">
        <f>SUM(OSRRefD22_13x_0)</f>
        <v>76752.539999999994</v>
      </c>
      <c r="E67" s="1"/>
      <c r="F67" s="5">
        <f t="shared" si="36"/>
        <v>7.181610020266628E-2</v>
      </c>
      <c r="G67" s="1"/>
      <c r="H67" s="1">
        <f>SUM(OSRRefH22_13x_0)</f>
        <v>38313.42</v>
      </c>
      <c r="I67" s="1"/>
      <c r="J67" s="5">
        <f t="shared" si="37"/>
        <v>0.24364820797190795</v>
      </c>
      <c r="K67" s="1"/>
      <c r="L67" s="1">
        <f t="shared" si="38"/>
        <v>38439.119999999995</v>
      </c>
      <c r="M67" s="1"/>
      <c r="N67" s="5">
        <f t="shared" si="39"/>
        <v>1.0032808347571163</v>
      </c>
      <c r="O67" s="14"/>
      <c r="P67" s="1">
        <f>SUM(OSRRefP22_13x_0)</f>
        <v>449668.74</v>
      </c>
      <c r="Q67" s="1"/>
      <c r="R67" s="5">
        <f t="shared" si="40"/>
        <v>7.0460475154108332E-2</v>
      </c>
      <c r="S67" s="1"/>
      <c r="T67" s="1">
        <f>SUM(OSRRefT22_13x_0)</f>
        <v>75016.490000000005</v>
      </c>
      <c r="U67" s="1"/>
      <c r="V67" s="5">
        <f t="shared" si="41"/>
        <v>9.0303645589830422E-2</v>
      </c>
      <c r="W67" s="1"/>
      <c r="X67" s="1">
        <f t="shared" si="42"/>
        <v>374652.25</v>
      </c>
      <c r="Y67" s="1"/>
      <c r="Z67" s="5">
        <f t="shared" si="43"/>
        <v>4.9942652608779747</v>
      </c>
    </row>
    <row r="68" spans="1:26" s="24" customFormat="1" hidden="1" outlineLevel="2" x14ac:dyDescent="0.3">
      <c r="A68" s="28"/>
      <c r="B68" s="11" t="str">
        <f>CONCATENATE("          ", "6387", " - ", "COMMISSION DUE HOUSING")</f>
        <v xml:space="preserve">          6387 - COMMISSION DUE HOUSING</v>
      </c>
      <c r="C68" s="11"/>
      <c r="D68" s="6">
        <v>76752.539999999994</v>
      </c>
      <c r="E68" s="2"/>
      <c r="F68" s="7">
        <f t="shared" si="36"/>
        <v>7.181610020266628E-2</v>
      </c>
      <c r="G68" s="2"/>
      <c r="H68" s="6">
        <v>38313.42</v>
      </c>
      <c r="I68" s="2"/>
      <c r="J68" s="7">
        <f t="shared" si="37"/>
        <v>0.24364820797190795</v>
      </c>
      <c r="K68" s="2"/>
      <c r="L68" s="6">
        <f t="shared" si="38"/>
        <v>38439.119999999995</v>
      </c>
      <c r="M68" s="2"/>
      <c r="N68" s="7">
        <f t="shared" si="39"/>
        <v>1.0032808347571163</v>
      </c>
      <c r="O68" s="11"/>
      <c r="P68" s="6">
        <v>449668.74</v>
      </c>
      <c r="Q68" s="2"/>
      <c r="R68" s="7">
        <f t="shared" si="40"/>
        <v>7.0460475154108332E-2</v>
      </c>
      <c r="S68" s="2"/>
      <c r="T68" s="6">
        <v>75016.490000000005</v>
      </c>
      <c r="U68" s="2"/>
      <c r="V68" s="7">
        <f t="shared" si="41"/>
        <v>9.0303645589830422E-2</v>
      </c>
      <c r="W68" s="2"/>
      <c r="X68" s="6">
        <f t="shared" si="42"/>
        <v>374652.25</v>
      </c>
      <c r="Y68" s="2"/>
      <c r="Z68" s="7">
        <f t="shared" si="43"/>
        <v>4.9942652608779747</v>
      </c>
    </row>
    <row r="69" spans="1:26" s="29" customFormat="1" outlineLevel="1" collapsed="1" x14ac:dyDescent="0.3">
      <c r="A69" s="27"/>
      <c r="B69" s="14" t="str">
        <f>CONCATENATE("     ","Rent                                              ")</f>
        <v xml:space="preserve">     Rent                                              </v>
      </c>
      <c r="C69" s="14"/>
      <c r="D69" s="1">
        <f>SUM(OSRRefD22_14x_0)</f>
        <v>1850</v>
      </c>
      <c r="E69" s="1"/>
      <c r="F69" s="5">
        <f t="shared" si="36"/>
        <v>1.7310148351433402E-3</v>
      </c>
      <c r="G69" s="1"/>
      <c r="H69" s="1">
        <f>SUM(OSRRefH22_14x_0)</f>
        <v>5550</v>
      </c>
      <c r="I69" s="1"/>
      <c r="J69" s="5">
        <f t="shared" si="37"/>
        <v>3.5294357805805095E-2</v>
      </c>
      <c r="K69" s="1"/>
      <c r="L69" s="1">
        <f t="shared" si="38"/>
        <v>-3700</v>
      </c>
      <c r="M69" s="1"/>
      <c r="N69" s="5">
        <f t="shared" si="39"/>
        <v>-0.66666666666666663</v>
      </c>
      <c r="O69" s="14"/>
      <c r="P69" s="1">
        <f>SUM(OSRRefP22_14x_0)</f>
        <v>11100</v>
      </c>
      <c r="Q69" s="1"/>
      <c r="R69" s="5">
        <f t="shared" si="40"/>
        <v>1.7393054144937948E-3</v>
      </c>
      <c r="S69" s="1"/>
      <c r="T69" s="1">
        <f>SUM(OSRRefT22_14x_0)</f>
        <v>11100</v>
      </c>
      <c r="U69" s="1"/>
      <c r="V69" s="5">
        <f t="shared" si="41"/>
        <v>1.3362001688523651E-2</v>
      </c>
      <c r="W69" s="1"/>
      <c r="X69" s="1">
        <f t="shared" si="42"/>
        <v>0</v>
      </c>
      <c r="Y69" s="1"/>
      <c r="Z69" s="5">
        <f t="shared" si="43"/>
        <v>0</v>
      </c>
    </row>
    <row r="70" spans="1:26" s="24" customFormat="1" hidden="1" outlineLevel="2" x14ac:dyDescent="0.3">
      <c r="A70" s="28"/>
      <c r="B70" s="11" t="str">
        <f>CONCATENATE("          ", "6273", " - ", "RENT")</f>
        <v xml:space="preserve">          6273 - RENT</v>
      </c>
      <c r="C70" s="11"/>
      <c r="D70" s="6">
        <v>1850</v>
      </c>
      <c r="E70" s="2"/>
      <c r="F70" s="7">
        <f t="shared" si="36"/>
        <v>1.7310148351433402E-3</v>
      </c>
      <c r="G70" s="2"/>
      <c r="H70" s="6">
        <v>5550</v>
      </c>
      <c r="I70" s="2"/>
      <c r="J70" s="7">
        <f t="shared" si="37"/>
        <v>3.5294357805805095E-2</v>
      </c>
      <c r="K70" s="2"/>
      <c r="L70" s="6">
        <f t="shared" si="38"/>
        <v>-3700</v>
      </c>
      <c r="M70" s="2"/>
      <c r="N70" s="7">
        <f t="shared" si="39"/>
        <v>-0.66666666666666663</v>
      </c>
      <c r="O70" s="11"/>
      <c r="P70" s="6">
        <v>11100</v>
      </c>
      <c r="Q70" s="2"/>
      <c r="R70" s="7">
        <f t="shared" si="40"/>
        <v>1.7393054144937948E-3</v>
      </c>
      <c r="S70" s="2"/>
      <c r="T70" s="6">
        <v>11100</v>
      </c>
      <c r="U70" s="2"/>
      <c r="V70" s="7">
        <f t="shared" si="41"/>
        <v>1.3362001688523651E-2</v>
      </c>
      <c r="W70" s="2"/>
      <c r="X70" s="6">
        <f t="shared" si="42"/>
        <v>0</v>
      </c>
      <c r="Y70" s="2"/>
      <c r="Z70" s="7">
        <f t="shared" si="43"/>
        <v>0</v>
      </c>
    </row>
    <row r="71" spans="1:26" s="29" customFormat="1" outlineLevel="1" collapsed="1" x14ac:dyDescent="0.3">
      <c r="A71" s="27"/>
      <c r="B71" s="14" t="str">
        <f>CONCATENATE("     ","Repair and Maintenance                            ")</f>
        <v xml:space="preserve">     Repair and Maintenance                            </v>
      </c>
      <c r="C71" s="14"/>
      <c r="D71" s="1">
        <f>SUM(OSRRefD22_15x_0)</f>
        <v>14904.449999999999</v>
      </c>
      <c r="E71" s="1"/>
      <c r="F71" s="5">
        <f t="shared" si="36"/>
        <v>1.3945850843055219E-2</v>
      </c>
      <c r="G71" s="1"/>
      <c r="H71" s="1">
        <f>SUM(OSRRefH22_15x_0)</f>
        <v>5421.87</v>
      </c>
      <c r="I71" s="1"/>
      <c r="J71" s="5">
        <f t="shared" si="37"/>
        <v>3.4479535091272155E-2</v>
      </c>
      <c r="K71" s="1"/>
      <c r="L71" s="1">
        <f t="shared" si="38"/>
        <v>9482.5799999999981</v>
      </c>
      <c r="M71" s="1"/>
      <c r="N71" s="5">
        <f t="shared" si="39"/>
        <v>1.7489500854871103</v>
      </c>
      <c r="O71" s="14"/>
      <c r="P71" s="1">
        <f>SUM(OSRRefP22_15x_0)</f>
        <v>79382.78</v>
      </c>
      <c r="Q71" s="1"/>
      <c r="R71" s="5">
        <f t="shared" si="40"/>
        <v>1.2438819736177453E-2</v>
      </c>
      <c r="S71" s="1"/>
      <c r="T71" s="1">
        <f>SUM(OSRRefT22_15x_0)</f>
        <v>28005.77</v>
      </c>
      <c r="U71" s="1"/>
      <c r="V71" s="5">
        <f t="shared" si="41"/>
        <v>3.371289603859505E-2</v>
      </c>
      <c r="W71" s="1"/>
      <c r="X71" s="1">
        <f t="shared" si="42"/>
        <v>51377.009999999995</v>
      </c>
      <c r="Y71" s="1"/>
      <c r="Z71" s="5">
        <f t="shared" si="43"/>
        <v>1.8345151731232525</v>
      </c>
    </row>
    <row r="72" spans="1:26" s="24" customFormat="1" hidden="1" outlineLevel="2" x14ac:dyDescent="0.3">
      <c r="A72" s="28"/>
      <c r="B72" s="11" t="str">
        <f>CONCATENATE("          ", "6371", " - ", "COMPUTER SOFTWARE MAINTENANCE")</f>
        <v xml:space="preserve">          6371 - COMPUTER SOFTWARE MAINTENANCE</v>
      </c>
      <c r="C72" s="11"/>
      <c r="D72" s="6">
        <v>4118.3599999999997</v>
      </c>
      <c r="E72" s="2"/>
      <c r="F72" s="7">
        <f t="shared" si="36"/>
        <v>3.8534823007896897E-3</v>
      </c>
      <c r="G72" s="2"/>
      <c r="H72" s="6">
        <v>3500</v>
      </c>
      <c r="I72" s="2"/>
      <c r="J72" s="7">
        <f t="shared" si="37"/>
        <v>2.2257703120777989E-2</v>
      </c>
      <c r="K72" s="2"/>
      <c r="L72" s="6">
        <f t="shared" si="38"/>
        <v>618.35999999999967</v>
      </c>
      <c r="M72" s="2"/>
      <c r="N72" s="7">
        <f t="shared" si="39"/>
        <v>0.17667428571428562</v>
      </c>
      <c r="O72" s="11"/>
      <c r="P72" s="6">
        <v>27336.080000000002</v>
      </c>
      <c r="Q72" s="2"/>
      <c r="R72" s="7">
        <f t="shared" si="40"/>
        <v>4.2834046806338325E-3</v>
      </c>
      <c r="S72" s="2"/>
      <c r="T72" s="6">
        <v>3500</v>
      </c>
      <c r="U72" s="2"/>
      <c r="V72" s="7">
        <f t="shared" si="41"/>
        <v>4.2132437756606106E-3</v>
      </c>
      <c r="W72" s="2"/>
      <c r="X72" s="6">
        <f t="shared" si="42"/>
        <v>23836.080000000002</v>
      </c>
      <c r="Y72" s="2"/>
      <c r="Z72" s="7">
        <f t="shared" si="43"/>
        <v>6.810308571428572</v>
      </c>
    </row>
    <row r="73" spans="1:26" s="24" customFormat="1" hidden="1" outlineLevel="2" x14ac:dyDescent="0.3">
      <c r="A73" s="28"/>
      <c r="B73" s="11" t="str">
        <f>CONCATENATE("          ", "6373", " - ", "MAINTENANCE CONTRACTS")</f>
        <v xml:space="preserve">          6373 - MAINTENANCE CONTRACTS</v>
      </c>
      <c r="C73" s="11"/>
      <c r="D73" s="6">
        <v>4715.1000000000004</v>
      </c>
      <c r="E73" s="2"/>
      <c r="F73" s="7">
        <f t="shared" si="36"/>
        <v>4.4118421887483052E-3</v>
      </c>
      <c r="G73" s="2"/>
      <c r="H73" s="6">
        <v>1479.4</v>
      </c>
      <c r="I73" s="2"/>
      <c r="J73" s="7">
        <f t="shared" si="37"/>
        <v>9.4080131419654166E-3</v>
      </c>
      <c r="K73" s="2"/>
      <c r="L73" s="6">
        <f t="shared" si="38"/>
        <v>3235.7000000000003</v>
      </c>
      <c r="M73" s="2"/>
      <c r="N73" s="7">
        <f t="shared" si="39"/>
        <v>2.1871704745166962</v>
      </c>
      <c r="O73" s="11"/>
      <c r="P73" s="6">
        <v>11712.02</v>
      </c>
      <c r="Q73" s="2"/>
      <c r="R73" s="7">
        <f t="shared" si="40"/>
        <v>1.8352053874468122E-3</v>
      </c>
      <c r="S73" s="2"/>
      <c r="T73" s="6">
        <v>13991.41</v>
      </c>
      <c r="U73" s="2"/>
      <c r="V73" s="7">
        <f t="shared" si="41"/>
        <v>1.6842634598633038E-2</v>
      </c>
      <c r="W73" s="2"/>
      <c r="X73" s="6">
        <f t="shared" si="42"/>
        <v>-2279.3899999999994</v>
      </c>
      <c r="Y73" s="2"/>
      <c r="Z73" s="7">
        <f t="shared" si="43"/>
        <v>-0.16291353051622384</v>
      </c>
    </row>
    <row r="74" spans="1:26" s="24" customFormat="1" hidden="1" outlineLevel="2" x14ac:dyDescent="0.3">
      <c r="A74" s="28"/>
      <c r="B74" s="11" t="str">
        <f>CONCATENATE("          ", "6375", " - ", "OUTSIDE REPAIRS &amp; MAINTENANCE")</f>
        <v xml:space="preserve">          6375 - OUTSIDE REPAIRS &amp; MAINTENANCE</v>
      </c>
      <c r="C74" s="11"/>
      <c r="D74" s="6">
        <v>6070.99</v>
      </c>
      <c r="E74" s="2"/>
      <c r="F74" s="7">
        <f t="shared" si="36"/>
        <v>5.680526353517225E-3</v>
      </c>
      <c r="G74" s="2"/>
      <c r="H74" s="6">
        <v>442.47</v>
      </c>
      <c r="I74" s="2"/>
      <c r="J74" s="7">
        <f t="shared" si="37"/>
        <v>2.8138188285287535E-3</v>
      </c>
      <c r="K74" s="2"/>
      <c r="L74" s="6">
        <f t="shared" si="38"/>
        <v>5628.5199999999995</v>
      </c>
      <c r="M74" s="2"/>
      <c r="N74" s="7">
        <f t="shared" si="39"/>
        <v>12.720681628132979</v>
      </c>
      <c r="O74" s="11"/>
      <c r="P74" s="6">
        <v>40334.68</v>
      </c>
      <c r="Q74" s="2"/>
      <c r="R74" s="7">
        <f t="shared" si="40"/>
        <v>6.320209668096809E-3</v>
      </c>
      <c r="S74" s="2"/>
      <c r="T74" s="6">
        <v>10514.36</v>
      </c>
      <c r="U74" s="2"/>
      <c r="V74" s="7">
        <f t="shared" si="41"/>
        <v>1.26570176643014E-2</v>
      </c>
      <c r="W74" s="2"/>
      <c r="X74" s="6">
        <f t="shared" si="42"/>
        <v>29820.32</v>
      </c>
      <c r="Y74" s="2"/>
      <c r="Z74" s="7">
        <f t="shared" si="43"/>
        <v>2.8361517011021116</v>
      </c>
    </row>
    <row r="75" spans="1:26" s="29" customFormat="1" outlineLevel="1" collapsed="1" x14ac:dyDescent="0.3">
      <c r="A75" s="27"/>
      <c r="B75" s="14" t="str">
        <f>CONCATENATE("     ","Royalty &amp; Commissions                             ")</f>
        <v xml:space="preserve">     Royalty &amp; Commissions                             </v>
      </c>
      <c r="C75" s="14"/>
      <c r="D75" s="1">
        <f>SUM(OSRRefD22_16x_0)</f>
        <v>412.47</v>
      </c>
      <c r="E75" s="1"/>
      <c r="F75" s="5">
        <f t="shared" ref="F75:F81" si="44">IF(D$12=0,0,D75/D$12)</f>
        <v>3.8594145354139113E-4</v>
      </c>
      <c r="G75" s="1"/>
      <c r="H75" s="1">
        <f>SUM(OSRRefH22_16x_0)</f>
        <v>0</v>
      </c>
      <c r="I75" s="1"/>
      <c r="J75" s="5">
        <f t="shared" ref="J75:J81" si="45">IF(H$12=0,0,H75/H$12)</f>
        <v>0</v>
      </c>
      <c r="K75" s="1"/>
      <c r="L75" s="1">
        <f t="shared" ref="L75:L81" si="46">+D75-H75</f>
        <v>412.47</v>
      </c>
      <c r="M75" s="1"/>
      <c r="N75" s="5">
        <f t="shared" ref="N75:N81" si="47">IF(H75=0,0,L75/H75)</f>
        <v>0</v>
      </c>
      <c r="O75" s="14"/>
      <c r="P75" s="1">
        <f>SUM(OSRRefP22_16x_0)</f>
        <v>1844.91</v>
      </c>
      <c r="Q75" s="1"/>
      <c r="R75" s="5">
        <f t="shared" ref="R75:R81" si="48">IF(P$12=0,0,P75/P$12)</f>
        <v>2.8908666236520243E-4</v>
      </c>
      <c r="S75" s="1"/>
      <c r="T75" s="1">
        <f>SUM(OSRRefT22_16x_0)</f>
        <v>0</v>
      </c>
      <c r="U75" s="1"/>
      <c r="V75" s="5">
        <f t="shared" ref="V75:V81" si="49">IF(T$12=0,0,T75/T$12)</f>
        <v>0</v>
      </c>
      <c r="W75" s="1"/>
      <c r="X75" s="1">
        <f t="shared" ref="X75:X81" si="50">+P75-T75</f>
        <v>1844.91</v>
      </c>
      <c r="Y75" s="1"/>
      <c r="Z75" s="5">
        <f t="shared" ref="Z75:Z81" si="51">IF(T75=0,0,X75/T75)</f>
        <v>0</v>
      </c>
    </row>
    <row r="76" spans="1:26" s="24" customFormat="1" hidden="1" outlineLevel="2" x14ac:dyDescent="0.3">
      <c r="A76" s="28"/>
      <c r="B76" s="11" t="str">
        <f>CONCATENATE("          ", "6254", " - ", "ROYALTY &amp; COMMISSIONS")</f>
        <v xml:space="preserve">          6254 - ROYALTY &amp; COMMISSIONS</v>
      </c>
      <c r="C76" s="11"/>
      <c r="D76" s="6">
        <v>412.47</v>
      </c>
      <c r="E76" s="2"/>
      <c r="F76" s="7">
        <f t="shared" si="44"/>
        <v>3.8594145354139113E-4</v>
      </c>
      <c r="G76" s="2"/>
      <c r="H76" s="6"/>
      <c r="I76" s="2"/>
      <c r="J76" s="7">
        <f t="shared" si="45"/>
        <v>0</v>
      </c>
      <c r="K76" s="2"/>
      <c r="L76" s="6">
        <f t="shared" si="46"/>
        <v>412.47</v>
      </c>
      <c r="M76" s="2"/>
      <c r="N76" s="7">
        <f t="shared" si="47"/>
        <v>0</v>
      </c>
      <c r="O76" s="11"/>
      <c r="P76" s="6">
        <v>1844.91</v>
      </c>
      <c r="Q76" s="2"/>
      <c r="R76" s="7">
        <f t="shared" si="48"/>
        <v>2.8908666236520243E-4</v>
      </c>
      <c r="S76" s="2"/>
      <c r="T76" s="6"/>
      <c r="U76" s="2"/>
      <c r="V76" s="7">
        <f t="shared" si="49"/>
        <v>0</v>
      </c>
      <c r="W76" s="2"/>
      <c r="X76" s="6">
        <f t="shared" si="50"/>
        <v>1844.91</v>
      </c>
      <c r="Y76" s="2"/>
      <c r="Z76" s="7">
        <f t="shared" si="51"/>
        <v>0</v>
      </c>
    </row>
    <row r="77" spans="1:26" s="29" customFormat="1" outlineLevel="1" collapsed="1" x14ac:dyDescent="0.3">
      <c r="A77" s="27"/>
      <c r="B77" s="14" t="str">
        <f>CONCATENATE("     ","Services                                          ")</f>
        <v xml:space="preserve">     Services                                          </v>
      </c>
      <c r="C77" s="14"/>
      <c r="D77" s="1">
        <f>SUM(OSRRefD22_17x_0)</f>
        <v>17538.489999999998</v>
      </c>
      <c r="E77" s="1"/>
      <c r="F77" s="5">
        <f t="shared" si="44"/>
        <v>1.6410479122169253E-2</v>
      </c>
      <c r="G77" s="1"/>
      <c r="H77" s="1">
        <f>SUM(OSRRefH22_17x_0)</f>
        <v>23770.14</v>
      </c>
      <c r="I77" s="1"/>
      <c r="J77" s="5">
        <f t="shared" si="45"/>
        <v>0.15116249121695133</v>
      </c>
      <c r="K77" s="1"/>
      <c r="L77" s="1">
        <f t="shared" si="46"/>
        <v>-6231.6500000000015</v>
      </c>
      <c r="M77" s="1"/>
      <c r="N77" s="5">
        <f t="shared" si="47"/>
        <v>-0.26216294897716219</v>
      </c>
      <c r="O77" s="14"/>
      <c r="P77" s="1">
        <f>SUM(OSRRefP22_17x_0)</f>
        <v>139184.47999999998</v>
      </c>
      <c r="Q77" s="1"/>
      <c r="R77" s="5">
        <f t="shared" si="48"/>
        <v>2.1809398169144439E-2</v>
      </c>
      <c r="S77" s="1"/>
      <c r="T77" s="1">
        <f>SUM(OSRRefT22_17x_0)</f>
        <v>102215.25</v>
      </c>
      <c r="U77" s="1"/>
      <c r="V77" s="5">
        <f t="shared" si="49"/>
        <v>0.12304507595431236</v>
      </c>
      <c r="W77" s="1"/>
      <c r="X77" s="1">
        <f t="shared" si="50"/>
        <v>36969.229999999981</v>
      </c>
      <c r="Y77" s="1"/>
      <c r="Z77" s="5">
        <f t="shared" si="51"/>
        <v>0.36168017981661232</v>
      </c>
    </row>
    <row r="78" spans="1:26" s="24" customFormat="1" hidden="1" outlineLevel="2" x14ac:dyDescent="0.3">
      <c r="A78" s="28"/>
      <c r="B78" s="11" t="str">
        <f>CONCATENATE("          ", "6282", " - ", "JANITORIAL/EXTERMINATOR EXPENS")</f>
        <v xml:space="preserve">          6282 - JANITORIAL/EXTERMINATOR EXPENS</v>
      </c>
      <c r="C78" s="11"/>
      <c r="D78" s="6">
        <v>1868.9</v>
      </c>
      <c r="E78" s="2"/>
      <c r="F78" s="7">
        <f t="shared" si="44"/>
        <v>1.7486992569726424E-3</v>
      </c>
      <c r="G78" s="2"/>
      <c r="H78" s="6">
        <v>4501.1899999999996</v>
      </c>
      <c r="I78" s="2"/>
      <c r="J78" s="7">
        <f t="shared" si="45"/>
        <v>2.8624614488632762E-2</v>
      </c>
      <c r="K78" s="2"/>
      <c r="L78" s="6">
        <f t="shared" si="46"/>
        <v>-2632.2899999999995</v>
      </c>
      <c r="M78" s="2"/>
      <c r="N78" s="7">
        <f t="shared" si="47"/>
        <v>-0.58479868656955158</v>
      </c>
      <c r="O78" s="11"/>
      <c r="P78" s="6">
        <v>16433.580000000002</v>
      </c>
      <c r="Q78" s="2"/>
      <c r="R78" s="7">
        <f t="shared" si="48"/>
        <v>2.5750463669835084E-3</v>
      </c>
      <c r="S78" s="2"/>
      <c r="T78" s="6">
        <v>10142.549999999999</v>
      </c>
      <c r="U78" s="2"/>
      <c r="V78" s="7">
        <f t="shared" si="49"/>
        <v>1.2209438759093293E-2</v>
      </c>
      <c r="W78" s="2"/>
      <c r="X78" s="6">
        <f t="shared" si="50"/>
        <v>6291.0300000000025</v>
      </c>
      <c r="Y78" s="2"/>
      <c r="Z78" s="7">
        <f t="shared" si="51"/>
        <v>0.62026117692296345</v>
      </c>
    </row>
    <row r="79" spans="1:26" s="24" customFormat="1" hidden="1" outlineLevel="2" x14ac:dyDescent="0.3">
      <c r="A79" s="28"/>
      <c r="B79" s="11" t="str">
        <f>CONCATENATE("          ", "6284", " - ", "TRASH REMOVAL EXPENSE")</f>
        <v xml:space="preserve">          6284 - TRASH REMOVAL EXPENSE</v>
      </c>
      <c r="C79" s="11"/>
      <c r="D79" s="6"/>
      <c r="E79" s="2"/>
      <c r="F79" s="7">
        <f t="shared" si="44"/>
        <v>0</v>
      </c>
      <c r="G79" s="2"/>
      <c r="H79" s="6">
        <v>5651.75</v>
      </c>
      <c r="I79" s="2"/>
      <c r="J79" s="7">
        <f t="shared" si="45"/>
        <v>3.5941421032244854E-2</v>
      </c>
      <c r="K79" s="2"/>
      <c r="L79" s="6">
        <f t="shared" si="46"/>
        <v>-5651.75</v>
      </c>
      <c r="M79" s="2"/>
      <c r="N79" s="7">
        <f t="shared" si="47"/>
        <v>-1</v>
      </c>
      <c r="O79" s="11"/>
      <c r="P79" s="6"/>
      <c r="Q79" s="2"/>
      <c r="R79" s="7">
        <f t="shared" si="48"/>
        <v>0</v>
      </c>
      <c r="S79" s="2"/>
      <c r="T79" s="6">
        <v>19150.75</v>
      </c>
      <c r="U79" s="2"/>
      <c r="V79" s="7">
        <f t="shared" si="49"/>
        <v>2.3053365210494985E-2</v>
      </c>
      <c r="W79" s="2"/>
      <c r="X79" s="6">
        <f t="shared" si="50"/>
        <v>-19150.75</v>
      </c>
      <c r="Y79" s="2"/>
      <c r="Z79" s="7">
        <f t="shared" si="51"/>
        <v>-1</v>
      </c>
    </row>
    <row r="80" spans="1:26" s="24" customFormat="1" hidden="1" outlineLevel="2" x14ac:dyDescent="0.3">
      <c r="A80" s="28"/>
      <c r="B80" s="11" t="str">
        <f>CONCATENATE("          ", "6285", " - ", "JANITORIAL SERVICES")</f>
        <v xml:space="preserve">          6285 - JANITORIAL SERVICES</v>
      </c>
      <c r="C80" s="11"/>
      <c r="D80" s="6">
        <v>13631.9</v>
      </c>
      <c r="E80" s="2"/>
      <c r="F80" s="7">
        <f t="shared" si="44"/>
        <v>1.2755146557400268E-2</v>
      </c>
      <c r="G80" s="2"/>
      <c r="H80" s="6">
        <v>11530.59</v>
      </c>
      <c r="I80" s="2"/>
      <c r="J80" s="7">
        <f t="shared" si="45"/>
        <v>7.3326985436403272E-2</v>
      </c>
      <c r="K80" s="2"/>
      <c r="L80" s="6">
        <f t="shared" si="46"/>
        <v>2101.3099999999995</v>
      </c>
      <c r="M80" s="2"/>
      <c r="N80" s="7">
        <f t="shared" si="47"/>
        <v>0.1822378559986956</v>
      </c>
      <c r="O80" s="11"/>
      <c r="P80" s="6">
        <v>105695.98</v>
      </c>
      <c r="Q80" s="2"/>
      <c r="R80" s="7">
        <f t="shared" si="48"/>
        <v>1.6561945072452958E-2</v>
      </c>
      <c r="S80" s="2"/>
      <c r="T80" s="6">
        <v>62072.79</v>
      </c>
      <c r="U80" s="2"/>
      <c r="V80" s="7">
        <f t="shared" si="49"/>
        <v>7.4722227458682344E-2</v>
      </c>
      <c r="W80" s="2"/>
      <c r="X80" s="6">
        <f t="shared" si="50"/>
        <v>43623.189999999995</v>
      </c>
      <c r="Y80" s="2"/>
      <c r="Z80" s="7">
        <f t="shared" si="51"/>
        <v>0.70277475847307647</v>
      </c>
    </row>
    <row r="81" spans="1:26" s="24" customFormat="1" hidden="1" outlineLevel="2" x14ac:dyDescent="0.3">
      <c r="A81" s="28"/>
      <c r="B81" s="11" t="str">
        <f>CONCATENATE("          ", "6286", " - ", "LAUNDRY EXPENSE")</f>
        <v xml:space="preserve">          6286 - LAUNDRY EXPENSE</v>
      </c>
      <c r="C81" s="11"/>
      <c r="D81" s="6">
        <v>2037.69</v>
      </c>
      <c r="E81" s="2"/>
      <c r="F81" s="7">
        <f t="shared" si="44"/>
        <v>1.906633307796342E-3</v>
      </c>
      <c r="G81" s="2"/>
      <c r="H81" s="6">
        <v>2086.61</v>
      </c>
      <c r="I81" s="2"/>
      <c r="J81" s="7">
        <f t="shared" si="45"/>
        <v>1.3269470259670447E-2</v>
      </c>
      <c r="K81" s="2"/>
      <c r="L81" s="6">
        <f t="shared" si="46"/>
        <v>-48.920000000000073</v>
      </c>
      <c r="M81" s="2"/>
      <c r="N81" s="7">
        <f t="shared" si="47"/>
        <v>-2.3444726134735323E-2</v>
      </c>
      <c r="O81" s="11"/>
      <c r="P81" s="6">
        <v>17054.919999999998</v>
      </c>
      <c r="Q81" s="2"/>
      <c r="R81" s="7">
        <f t="shared" si="48"/>
        <v>2.6724067297079737E-3</v>
      </c>
      <c r="S81" s="2"/>
      <c r="T81" s="6">
        <v>10849.16</v>
      </c>
      <c r="U81" s="2"/>
      <c r="V81" s="7">
        <f t="shared" si="49"/>
        <v>1.3060044526041734E-2</v>
      </c>
      <c r="W81" s="2"/>
      <c r="X81" s="6">
        <f t="shared" si="50"/>
        <v>6205.7599999999984</v>
      </c>
      <c r="Y81" s="2"/>
      <c r="Z81" s="7">
        <f t="shared" si="51"/>
        <v>0.57200373116444025</v>
      </c>
    </row>
    <row r="82" spans="1:26" s="29" customFormat="1" outlineLevel="1" collapsed="1" x14ac:dyDescent="0.3">
      <c r="A82" s="27"/>
      <c r="B82" s="14" t="str">
        <f>CONCATENATE("     ","Subscriptions &amp; Dues                              ")</f>
        <v xml:space="preserve">     Subscriptions &amp; Dues                              </v>
      </c>
      <c r="C82" s="14"/>
      <c r="D82" s="1">
        <f>SUM(OSRRefD22_18x_0)</f>
        <v>1456.11</v>
      </c>
      <c r="E82" s="1"/>
      <c r="F82" s="5">
        <f t="shared" ref="F82:F84" si="52">IF(D$12=0,0,D82/D$12)</f>
        <v>1.3624583846489561E-3</v>
      </c>
      <c r="G82" s="1"/>
      <c r="H82" s="1">
        <f>SUM(OSRRefH22_18x_0)</f>
        <v>262.83999999999997</v>
      </c>
      <c r="I82" s="1"/>
      <c r="J82" s="5">
        <f t="shared" ref="J82:J84" si="53">IF(H$12=0,0,H82/H$12)</f>
        <v>1.6714899109329389E-3</v>
      </c>
      <c r="K82" s="1"/>
      <c r="L82" s="1">
        <f t="shared" ref="L82:L84" si="54">+D82-H82</f>
        <v>1193.27</v>
      </c>
      <c r="M82" s="1"/>
      <c r="N82" s="5">
        <f t="shared" ref="N82:N84" si="55">IF(H82=0,0,L82/H82)</f>
        <v>4.5399102115355356</v>
      </c>
      <c r="O82" s="14"/>
      <c r="P82" s="1">
        <f>SUM(OSRRefP22_18x_0)</f>
        <v>3972.61</v>
      </c>
      <c r="Q82" s="1"/>
      <c r="R82" s="5">
        <f t="shared" ref="R82:R84" si="56">IF(P$12=0,0,P82/P$12)</f>
        <v>6.2248487231281028E-4</v>
      </c>
      <c r="S82" s="1"/>
      <c r="T82" s="1">
        <f>SUM(OSRRefT22_18x_0)</f>
        <v>1329.17</v>
      </c>
      <c r="U82" s="1"/>
      <c r="V82" s="5">
        <f t="shared" ref="V82:V84" si="57">IF(T$12=0,0,T82/T$12)</f>
        <v>1.6000334940842328E-3</v>
      </c>
      <c r="W82" s="1"/>
      <c r="X82" s="1">
        <f t="shared" ref="X82:X84" si="58">+P82-T82</f>
        <v>2643.44</v>
      </c>
      <c r="Y82" s="1"/>
      <c r="Z82" s="5">
        <f t="shared" ref="Z82:Z84" si="59">IF(T82=0,0,X82/T82)</f>
        <v>1.9887899967648983</v>
      </c>
    </row>
    <row r="83" spans="1:26" s="24" customFormat="1" hidden="1" outlineLevel="2" x14ac:dyDescent="0.3">
      <c r="A83" s="28"/>
      <c r="B83" s="11" t="str">
        <f>CONCATENATE("          ", "6258", " - ", "MEMBERSHIP DUES")</f>
        <v xml:space="preserve">          6258 - MEMBERSHIP DUES</v>
      </c>
      <c r="C83" s="11"/>
      <c r="D83" s="6"/>
      <c r="E83" s="2"/>
      <c r="F83" s="7">
        <f t="shared" si="52"/>
        <v>0</v>
      </c>
      <c r="G83" s="2"/>
      <c r="H83" s="6"/>
      <c r="I83" s="2"/>
      <c r="J83" s="7">
        <f t="shared" si="53"/>
        <v>0</v>
      </c>
      <c r="K83" s="2"/>
      <c r="L83" s="6">
        <f t="shared" si="54"/>
        <v>0</v>
      </c>
      <c r="M83" s="2"/>
      <c r="N83" s="7">
        <f t="shared" si="55"/>
        <v>0</v>
      </c>
      <c r="O83" s="11"/>
      <c r="P83" s="6"/>
      <c r="Q83" s="2"/>
      <c r="R83" s="7">
        <f t="shared" si="56"/>
        <v>0</v>
      </c>
      <c r="S83" s="2"/>
      <c r="T83" s="6">
        <v>795</v>
      </c>
      <c r="U83" s="2"/>
      <c r="V83" s="7">
        <f t="shared" si="57"/>
        <v>9.5700822904291015E-4</v>
      </c>
      <c r="W83" s="2"/>
      <c r="X83" s="6">
        <f t="shared" si="58"/>
        <v>-795</v>
      </c>
      <c r="Y83" s="2"/>
      <c r="Z83" s="7">
        <f t="shared" si="59"/>
        <v>-1</v>
      </c>
    </row>
    <row r="84" spans="1:26" s="24" customFormat="1" hidden="1" outlineLevel="2" x14ac:dyDescent="0.3">
      <c r="A84" s="28"/>
      <c r="B84" s="11" t="str">
        <f>CONCATENATE("          ", "6275", " - ", "SUBSCRIPTIONS")</f>
        <v xml:space="preserve">          6275 - SUBSCRIPTIONS</v>
      </c>
      <c r="C84" s="11"/>
      <c r="D84" s="6">
        <v>1456.11</v>
      </c>
      <c r="E84" s="2"/>
      <c r="F84" s="7">
        <f t="shared" si="52"/>
        <v>1.3624583846489561E-3</v>
      </c>
      <c r="G84" s="2"/>
      <c r="H84" s="6">
        <v>262.83999999999997</v>
      </c>
      <c r="I84" s="2"/>
      <c r="J84" s="7">
        <f t="shared" si="53"/>
        <v>1.6714899109329389E-3</v>
      </c>
      <c r="K84" s="2"/>
      <c r="L84" s="6">
        <f t="shared" si="54"/>
        <v>1193.27</v>
      </c>
      <c r="M84" s="2"/>
      <c r="N84" s="7">
        <f t="shared" si="55"/>
        <v>4.5399102115355356</v>
      </c>
      <c r="O84" s="11"/>
      <c r="P84" s="6">
        <v>3972.61</v>
      </c>
      <c r="Q84" s="2"/>
      <c r="R84" s="7">
        <f t="shared" si="56"/>
        <v>6.2248487231281028E-4</v>
      </c>
      <c r="S84" s="2"/>
      <c r="T84" s="6">
        <v>534.16999999999996</v>
      </c>
      <c r="U84" s="2"/>
      <c r="V84" s="7">
        <f t="shared" si="57"/>
        <v>6.4302526504132242E-4</v>
      </c>
      <c r="W84" s="2"/>
      <c r="X84" s="6">
        <f t="shared" si="58"/>
        <v>3438.44</v>
      </c>
      <c r="Y84" s="2"/>
      <c r="Z84" s="7">
        <f t="shared" si="59"/>
        <v>6.4369769923432623</v>
      </c>
    </row>
    <row r="85" spans="1:26" s="29" customFormat="1" outlineLevel="1" collapsed="1" x14ac:dyDescent="0.3">
      <c r="A85" s="27"/>
      <c r="B85" s="14" t="str">
        <f>CONCATENATE("     ","Supplies                                          ")</f>
        <v xml:space="preserve">     Supplies                                          </v>
      </c>
      <c r="C85" s="14"/>
      <c r="D85" s="1">
        <f>SUM(OSRRefD22_19x_0)</f>
        <v>31034.079999999998</v>
      </c>
      <c r="E85" s="1"/>
      <c r="F85" s="5">
        <f t="shared" ref="F85:F94" si="60">IF(D$12=0,0,D85/D$12)</f>
        <v>2.903808263514877E-2</v>
      </c>
      <c r="G85" s="1"/>
      <c r="H85" s="1">
        <f>SUM(OSRRefH22_19x_0)</f>
        <v>13761.939999999999</v>
      </c>
      <c r="I85" s="1"/>
      <c r="J85" s="5">
        <f t="shared" ref="J85:J94" si="61">IF(H$12=0,0,H85/H$12)</f>
        <v>8.7516907110274114E-2</v>
      </c>
      <c r="K85" s="1"/>
      <c r="L85" s="1">
        <f t="shared" ref="L85:L94" si="62">+D85-H85</f>
        <v>17272.14</v>
      </c>
      <c r="M85" s="1"/>
      <c r="N85" s="5">
        <f t="shared" ref="N85:N94" si="63">IF(H85=0,0,L85/H85)</f>
        <v>1.2550657828765421</v>
      </c>
      <c r="O85" s="14"/>
      <c r="P85" s="1">
        <f>SUM(OSRRefP22_19x_0)</f>
        <v>227757.68</v>
      </c>
      <c r="Q85" s="1"/>
      <c r="R85" s="5">
        <f t="shared" ref="R85:R94" si="64">IF(P$12=0,0,P85/P$12)</f>
        <v>3.5688303244733793E-2</v>
      </c>
      <c r="S85" s="1"/>
      <c r="T85" s="1">
        <f>SUM(OSRRefT22_19x_0)</f>
        <v>68194.460000000006</v>
      </c>
      <c r="U85" s="1"/>
      <c r="V85" s="5">
        <f t="shared" ref="V85:V94" si="65">IF(T$12=0,0,T85/T$12)</f>
        <v>8.2091395465581862E-2</v>
      </c>
      <c r="W85" s="1"/>
      <c r="X85" s="1">
        <f t="shared" ref="X85:X94" si="66">+P85-T85</f>
        <v>159563.21999999997</v>
      </c>
      <c r="Y85" s="1"/>
      <c r="Z85" s="5">
        <f t="shared" ref="Z85:Z94" si="67">IF(T85=0,0,X85/T85)</f>
        <v>2.3398267249275082</v>
      </c>
    </row>
    <row r="86" spans="1:26" s="24" customFormat="1" hidden="1" outlineLevel="2" x14ac:dyDescent="0.3">
      <c r="A86" s="28"/>
      <c r="B86" s="11" t="str">
        <f>CONCATENATE("          ", "6234", " - ", "EXPENDABLE SUPPLIES &amp; EQUIPMEN")</f>
        <v xml:space="preserve">          6234 - EXPENDABLE SUPPLIES &amp; EQUIPMEN</v>
      </c>
      <c r="C86" s="11"/>
      <c r="D86" s="6">
        <v>315</v>
      </c>
      <c r="E86" s="2"/>
      <c r="F86" s="7">
        <f t="shared" si="60"/>
        <v>2.9474036382170387E-4</v>
      </c>
      <c r="G86" s="2"/>
      <c r="H86" s="6"/>
      <c r="I86" s="2"/>
      <c r="J86" s="7">
        <f t="shared" si="61"/>
        <v>0</v>
      </c>
      <c r="K86" s="2"/>
      <c r="L86" s="6">
        <f t="shared" si="62"/>
        <v>315</v>
      </c>
      <c r="M86" s="2"/>
      <c r="N86" s="7">
        <f t="shared" si="63"/>
        <v>0</v>
      </c>
      <c r="O86" s="11"/>
      <c r="P86" s="6">
        <v>336.98</v>
      </c>
      <c r="Q86" s="2"/>
      <c r="R86" s="7">
        <f t="shared" si="64"/>
        <v>5.2802805277127838E-5</v>
      </c>
      <c r="S86" s="2"/>
      <c r="T86" s="6">
        <v>310.91000000000003</v>
      </c>
      <c r="U86" s="2"/>
      <c r="V86" s="7">
        <f t="shared" si="65"/>
        <v>3.7426846351161161E-4</v>
      </c>
      <c r="W86" s="2"/>
      <c r="X86" s="6">
        <f t="shared" si="66"/>
        <v>26.069999999999993</v>
      </c>
      <c r="Y86" s="2"/>
      <c r="Z86" s="7">
        <f t="shared" si="67"/>
        <v>8.3850632015695828E-2</v>
      </c>
    </row>
    <row r="87" spans="1:26" s="24" customFormat="1" hidden="1" outlineLevel="2" x14ac:dyDescent="0.3">
      <c r="A87" s="28"/>
      <c r="B87" s="11" t="str">
        <f>CONCATENATE("          ", "6235", " - ", "COVID-19 EXPENSES")</f>
        <v xml:space="preserve">          6235 - COVID-19 EXPENSES</v>
      </c>
      <c r="C87" s="11"/>
      <c r="D87" s="6"/>
      <c r="E87" s="2"/>
      <c r="F87" s="7">
        <f t="shared" si="60"/>
        <v>0</v>
      </c>
      <c r="G87" s="2"/>
      <c r="H87" s="6">
        <v>4714.9799999999996</v>
      </c>
      <c r="I87" s="2"/>
      <c r="J87" s="7">
        <f t="shared" si="61"/>
        <v>2.998417858868737E-2</v>
      </c>
      <c r="K87" s="2"/>
      <c r="L87" s="6">
        <f t="shared" si="62"/>
        <v>-4714.9799999999996</v>
      </c>
      <c r="M87" s="2"/>
      <c r="N87" s="7">
        <f t="shared" si="63"/>
        <v>-1</v>
      </c>
      <c r="O87" s="11"/>
      <c r="P87" s="6">
        <v>193.5</v>
      </c>
      <c r="Q87" s="2"/>
      <c r="R87" s="7">
        <f t="shared" si="64"/>
        <v>3.0320324117526964E-5</v>
      </c>
      <c r="S87" s="2"/>
      <c r="T87" s="6">
        <v>54609.01</v>
      </c>
      <c r="U87" s="2"/>
      <c r="V87" s="7">
        <f t="shared" si="65"/>
        <v>6.5737448993568023E-2</v>
      </c>
      <c r="W87" s="2"/>
      <c r="X87" s="6">
        <f t="shared" si="66"/>
        <v>-54415.51</v>
      </c>
      <c r="Y87" s="2"/>
      <c r="Z87" s="7">
        <f t="shared" si="67"/>
        <v>-0.99645662867720908</v>
      </c>
    </row>
    <row r="88" spans="1:26" s="24" customFormat="1" hidden="1" outlineLevel="2" x14ac:dyDescent="0.3">
      <c r="A88" s="28"/>
      <c r="B88" s="11" t="str">
        <f>CONCATENATE("          ", "6237", " - ", "JANITORIAL SUPPLIES")</f>
        <v xml:space="preserve">          6237 - JANITORIAL SUPPLIES</v>
      </c>
      <c r="C88" s="11"/>
      <c r="D88" s="6">
        <v>5551.25</v>
      </c>
      <c r="E88" s="2"/>
      <c r="F88" s="7">
        <f t="shared" si="60"/>
        <v>5.194214110048361E-3</v>
      </c>
      <c r="G88" s="2"/>
      <c r="H88" s="6">
        <v>4801.05</v>
      </c>
      <c r="I88" s="2"/>
      <c r="J88" s="7">
        <f t="shared" si="61"/>
        <v>3.0531527305146047E-2</v>
      </c>
      <c r="K88" s="2"/>
      <c r="L88" s="6">
        <f t="shared" si="62"/>
        <v>750.19999999999982</v>
      </c>
      <c r="M88" s="2"/>
      <c r="N88" s="7">
        <f t="shared" si="63"/>
        <v>0.1562574853417481</v>
      </c>
      <c r="O88" s="11"/>
      <c r="P88" s="6">
        <v>37645.230000000003</v>
      </c>
      <c r="Q88" s="2"/>
      <c r="R88" s="7">
        <f t="shared" si="64"/>
        <v>5.8987885016994817E-3</v>
      </c>
      <c r="S88" s="2"/>
      <c r="T88" s="6">
        <v>13423.36</v>
      </c>
      <c r="U88" s="2"/>
      <c r="V88" s="7">
        <f t="shared" si="65"/>
        <v>1.615882513384332E-2</v>
      </c>
      <c r="W88" s="2"/>
      <c r="X88" s="6">
        <f t="shared" si="66"/>
        <v>24221.870000000003</v>
      </c>
      <c r="Y88" s="2"/>
      <c r="Z88" s="7">
        <f t="shared" si="67"/>
        <v>1.8044565593115287</v>
      </c>
    </row>
    <row r="89" spans="1:26" s="24" customFormat="1" hidden="1" outlineLevel="2" x14ac:dyDescent="0.3">
      <c r="A89" s="28"/>
      <c r="B89" s="11" t="str">
        <f>CONCATENATE("          ", "6239", " - ", "KITCHEN SUPPLIES")</f>
        <v xml:space="preserve">          6239 - KITCHEN SUPPLIES</v>
      </c>
      <c r="C89" s="11"/>
      <c r="D89" s="6">
        <v>738.59</v>
      </c>
      <c r="E89" s="2"/>
      <c r="F89" s="7">
        <f t="shared" si="60"/>
        <v>6.910866200478485E-4</v>
      </c>
      <c r="G89" s="2"/>
      <c r="H89" s="6">
        <v>148.04</v>
      </c>
      <c r="I89" s="2"/>
      <c r="J89" s="7">
        <f t="shared" si="61"/>
        <v>9.4143724857142098E-4</v>
      </c>
      <c r="K89" s="2"/>
      <c r="L89" s="6">
        <f t="shared" si="62"/>
        <v>590.55000000000007</v>
      </c>
      <c r="M89" s="2"/>
      <c r="N89" s="7">
        <f t="shared" si="63"/>
        <v>3.9891245609294792</v>
      </c>
      <c r="O89" s="11"/>
      <c r="P89" s="6">
        <v>27015.71</v>
      </c>
      <c r="Q89" s="2"/>
      <c r="R89" s="7">
        <f t="shared" si="64"/>
        <v>4.2332045657111853E-3</v>
      </c>
      <c r="S89" s="2"/>
      <c r="T89" s="6">
        <v>5834.38</v>
      </c>
      <c r="U89" s="2"/>
      <c r="V89" s="7">
        <f t="shared" si="65"/>
        <v>7.0233329199539301E-3</v>
      </c>
      <c r="W89" s="2"/>
      <c r="X89" s="6">
        <f t="shared" si="66"/>
        <v>21181.329999999998</v>
      </c>
      <c r="Y89" s="2"/>
      <c r="Z89" s="7">
        <f t="shared" si="67"/>
        <v>3.6304337393176307</v>
      </c>
    </row>
    <row r="90" spans="1:26" s="24" customFormat="1" hidden="1" outlineLevel="2" x14ac:dyDescent="0.3">
      <c r="A90" s="28"/>
      <c r="B90" s="11" t="str">
        <f>CONCATENATE("          ", "6241", " - ", "OFFICE EXPENSE")</f>
        <v xml:space="preserve">          6241 - OFFICE EXPENSE</v>
      </c>
      <c r="C90" s="11"/>
      <c r="D90" s="6">
        <v>2665.46</v>
      </c>
      <c r="E90" s="2"/>
      <c r="F90" s="7">
        <f t="shared" si="60"/>
        <v>2.4940274608006309E-3</v>
      </c>
      <c r="G90" s="2"/>
      <c r="H90" s="6">
        <v>731.4</v>
      </c>
      <c r="I90" s="2"/>
      <c r="J90" s="7">
        <f t="shared" si="61"/>
        <v>4.6512240178677201E-3</v>
      </c>
      <c r="K90" s="2"/>
      <c r="L90" s="6">
        <f t="shared" si="62"/>
        <v>1934.06</v>
      </c>
      <c r="M90" s="2"/>
      <c r="N90" s="7">
        <f t="shared" si="63"/>
        <v>2.6443259502324308</v>
      </c>
      <c r="O90" s="11"/>
      <c r="P90" s="6">
        <v>20274.61</v>
      </c>
      <c r="Q90" s="2"/>
      <c r="R90" s="7">
        <f t="shared" si="64"/>
        <v>3.1769134188964002E-3</v>
      </c>
      <c r="S90" s="2"/>
      <c r="T90" s="6">
        <v>-25829.95</v>
      </c>
      <c r="U90" s="2"/>
      <c r="V90" s="7">
        <f t="shared" si="65"/>
        <v>-3.1093678875178513E-2</v>
      </c>
      <c r="W90" s="2"/>
      <c r="X90" s="6">
        <f t="shared" si="66"/>
        <v>46104.56</v>
      </c>
      <c r="Y90" s="2"/>
      <c r="Z90" s="7">
        <f t="shared" si="67"/>
        <v>-1.7849264129431144</v>
      </c>
    </row>
    <row r="91" spans="1:26" s="24" customFormat="1" hidden="1" outlineLevel="2" x14ac:dyDescent="0.3">
      <c r="A91" s="28"/>
      <c r="B91" s="11" t="str">
        <f>CONCATENATE("          ", "6243", " - ", "PAPER SUPPLIES")</f>
        <v xml:space="preserve">          6243 - PAPER SUPPLIES</v>
      </c>
      <c r="C91" s="11"/>
      <c r="D91" s="6">
        <v>21319.1</v>
      </c>
      <c r="E91" s="2"/>
      <c r="F91" s="7">
        <f t="shared" si="60"/>
        <v>1.9947934255083448E-2</v>
      </c>
      <c r="G91" s="2"/>
      <c r="H91" s="6">
        <v>3366.47</v>
      </c>
      <c r="I91" s="2"/>
      <c r="J91" s="7">
        <f t="shared" si="61"/>
        <v>2.1408539950001564E-2</v>
      </c>
      <c r="K91" s="2"/>
      <c r="L91" s="6">
        <f t="shared" si="62"/>
        <v>17952.629999999997</v>
      </c>
      <c r="M91" s="2"/>
      <c r="N91" s="7">
        <f t="shared" si="63"/>
        <v>5.3327758750263623</v>
      </c>
      <c r="O91" s="11"/>
      <c r="P91" s="6">
        <v>133611.15</v>
      </c>
      <c r="Q91" s="2"/>
      <c r="R91" s="7">
        <f t="shared" si="64"/>
        <v>2.0936089786643478E-2</v>
      </c>
      <c r="S91" s="2"/>
      <c r="T91" s="6">
        <v>15346.16</v>
      </c>
      <c r="U91" s="2"/>
      <c r="V91" s="7">
        <f t="shared" si="65"/>
        <v>1.8473460885797668E-2</v>
      </c>
      <c r="W91" s="2"/>
      <c r="X91" s="6">
        <f t="shared" si="66"/>
        <v>118264.98999999999</v>
      </c>
      <c r="Y91" s="2"/>
      <c r="Z91" s="7">
        <f t="shared" si="67"/>
        <v>7.7064874861203059</v>
      </c>
    </row>
    <row r="92" spans="1:26" s="24" customFormat="1" hidden="1" outlineLevel="2" x14ac:dyDescent="0.3">
      <c r="A92" s="28"/>
      <c r="B92" s="11" t="str">
        <f>CONCATENATE("          ", "6245", " - ", "PRINTING")</f>
        <v xml:space="preserve">          6245 - PRINTING</v>
      </c>
      <c r="C92" s="11"/>
      <c r="D92" s="6"/>
      <c r="E92" s="2"/>
      <c r="F92" s="7">
        <f t="shared" si="60"/>
        <v>0</v>
      </c>
      <c r="G92" s="2"/>
      <c r="H92" s="6"/>
      <c r="I92" s="2"/>
      <c r="J92" s="7">
        <f t="shared" si="61"/>
        <v>0</v>
      </c>
      <c r="K92" s="2"/>
      <c r="L92" s="6">
        <f t="shared" si="62"/>
        <v>0</v>
      </c>
      <c r="M92" s="2"/>
      <c r="N92" s="7">
        <f t="shared" si="63"/>
        <v>0</v>
      </c>
      <c r="O92" s="11"/>
      <c r="P92" s="6">
        <v>1071</v>
      </c>
      <c r="Q92" s="2"/>
      <c r="R92" s="7">
        <f t="shared" si="64"/>
        <v>1.6781946837142833E-4</v>
      </c>
      <c r="S92" s="2"/>
      <c r="T92" s="6"/>
      <c r="U92" s="2"/>
      <c r="V92" s="7">
        <f t="shared" si="65"/>
        <v>0</v>
      </c>
      <c r="W92" s="2"/>
      <c r="X92" s="6">
        <f t="shared" si="66"/>
        <v>1071</v>
      </c>
      <c r="Y92" s="2"/>
      <c r="Z92" s="7">
        <f t="shared" si="67"/>
        <v>0</v>
      </c>
    </row>
    <row r="93" spans="1:26" s="24" customFormat="1" hidden="1" outlineLevel="2" x14ac:dyDescent="0.3">
      <c r="A93" s="28"/>
      <c r="B93" s="11" t="str">
        <f>CONCATENATE("          ", "6247", " - ", "STORE SUPPLIES")</f>
        <v xml:space="preserve">          6247 - STORE SUPPLIES</v>
      </c>
      <c r="C93" s="11"/>
      <c r="D93" s="6">
        <v>444.68</v>
      </c>
      <c r="E93" s="2"/>
      <c r="F93" s="7">
        <f t="shared" si="60"/>
        <v>4.1607982534677869E-4</v>
      </c>
      <c r="G93" s="2"/>
      <c r="H93" s="6"/>
      <c r="I93" s="2"/>
      <c r="J93" s="7">
        <f t="shared" si="61"/>
        <v>0</v>
      </c>
      <c r="K93" s="2"/>
      <c r="L93" s="6">
        <f t="shared" si="62"/>
        <v>444.68</v>
      </c>
      <c r="M93" s="2"/>
      <c r="N93" s="7">
        <f t="shared" si="63"/>
        <v>0</v>
      </c>
      <c r="O93" s="11"/>
      <c r="P93" s="6">
        <v>1745.32</v>
      </c>
      <c r="Q93" s="2"/>
      <c r="R93" s="7">
        <f t="shared" si="64"/>
        <v>2.7348148883101891E-4</v>
      </c>
      <c r="S93" s="2"/>
      <c r="T93" s="6"/>
      <c r="U93" s="2"/>
      <c r="V93" s="7">
        <f t="shared" si="65"/>
        <v>0</v>
      </c>
      <c r="W93" s="2"/>
      <c r="X93" s="6">
        <f t="shared" si="66"/>
        <v>1745.32</v>
      </c>
      <c r="Y93" s="2"/>
      <c r="Z93" s="7">
        <f t="shared" si="67"/>
        <v>0</v>
      </c>
    </row>
    <row r="94" spans="1:26" s="24" customFormat="1" hidden="1" outlineLevel="2" x14ac:dyDescent="0.3">
      <c r="A94" s="28"/>
      <c r="B94" s="11" t="str">
        <f>CONCATENATE("          ", "6248", " - ", "UNIFORMS")</f>
        <v xml:space="preserve">          6248 - UNIFORMS</v>
      </c>
      <c r="C94" s="11"/>
      <c r="D94" s="6"/>
      <c r="E94" s="2"/>
      <c r="F94" s="7">
        <f t="shared" si="60"/>
        <v>0</v>
      </c>
      <c r="G94" s="2"/>
      <c r="H94" s="6"/>
      <c r="I94" s="2"/>
      <c r="J94" s="7">
        <f t="shared" si="61"/>
        <v>0</v>
      </c>
      <c r="K94" s="2"/>
      <c r="L94" s="6">
        <f t="shared" si="62"/>
        <v>0</v>
      </c>
      <c r="M94" s="2"/>
      <c r="N94" s="7">
        <f t="shared" si="63"/>
        <v>0</v>
      </c>
      <c r="O94" s="11"/>
      <c r="P94" s="6">
        <v>5864.18</v>
      </c>
      <c r="Q94" s="2"/>
      <c r="R94" s="7">
        <f t="shared" si="64"/>
        <v>9.1888288518614616E-4</v>
      </c>
      <c r="S94" s="2"/>
      <c r="T94" s="6">
        <v>4500.59</v>
      </c>
      <c r="U94" s="2"/>
      <c r="V94" s="7">
        <f t="shared" si="65"/>
        <v>5.4177379440858257E-3</v>
      </c>
      <c r="W94" s="2"/>
      <c r="X94" s="6">
        <f t="shared" si="66"/>
        <v>1363.5900000000001</v>
      </c>
      <c r="Y94" s="2"/>
      <c r="Z94" s="7">
        <f t="shared" si="67"/>
        <v>0.30298027591937948</v>
      </c>
    </row>
    <row r="95" spans="1:26" s="29" customFormat="1" outlineLevel="1" collapsed="1" x14ac:dyDescent="0.3">
      <c r="A95" s="27"/>
      <c r="B95" s="14" t="str">
        <f>CONCATENATE("     ","Telephone/Data Lines                              ")</f>
        <v xml:space="preserve">     Telephone/Data Lines                              </v>
      </c>
      <c r="C95" s="14"/>
      <c r="D95" s="1">
        <f>SUM(OSRRefD22_20x_0)</f>
        <v>461.45</v>
      </c>
      <c r="E95" s="1"/>
      <c r="F95" s="5">
        <f t="shared" ref="F95:F101" si="68">IF(D$12=0,0,D95/D$12)</f>
        <v>4.3177124090642936E-4</v>
      </c>
      <c r="G95" s="1"/>
      <c r="H95" s="1">
        <f>SUM(OSRRefH22_20x_0)</f>
        <v>1091.0999999999999</v>
      </c>
      <c r="I95" s="1"/>
      <c r="J95" s="5">
        <f t="shared" ref="J95:J101" si="69">IF(H$12=0,0,H95/H$12)</f>
        <v>6.9386799643088174E-3</v>
      </c>
      <c r="K95" s="1"/>
      <c r="L95" s="1">
        <f t="shared" ref="L95:L101" si="70">+D95-H95</f>
        <v>-629.64999999999986</v>
      </c>
      <c r="M95" s="1"/>
      <c r="N95" s="5">
        <f t="shared" ref="N95:N101" si="71">IF(H95=0,0,L95/H95)</f>
        <v>-0.57707817798551908</v>
      </c>
      <c r="O95" s="14"/>
      <c r="P95" s="1">
        <f>SUM(OSRRefP22_20x_0)</f>
        <v>7930.79</v>
      </c>
      <c r="Q95" s="1"/>
      <c r="R95" s="5">
        <f t="shared" ref="R95:R101" si="72">IF(P$12=0,0,P95/P$12)</f>
        <v>1.2427086475867786E-3</v>
      </c>
      <c r="S95" s="1"/>
      <c r="T95" s="1">
        <f>SUM(OSRRefT22_20x_0)</f>
        <v>8434.59</v>
      </c>
      <c r="U95" s="1"/>
      <c r="V95" s="5">
        <f t="shared" ref="V95:V101" si="73">IF(T$12=0,0,T95/T$12)</f>
        <v>1.0153423947928352E-2</v>
      </c>
      <c r="W95" s="1"/>
      <c r="X95" s="1">
        <f t="shared" ref="X95:X101" si="74">+P95-T95</f>
        <v>-503.80000000000018</v>
      </c>
      <c r="Y95" s="1"/>
      <c r="Z95" s="5">
        <f t="shared" ref="Z95:Z101" si="75">IF(T95=0,0,X95/T95)</f>
        <v>-5.9730229922260618E-2</v>
      </c>
    </row>
    <row r="96" spans="1:26" s="24" customFormat="1" hidden="1" outlineLevel="2" x14ac:dyDescent="0.3">
      <c r="A96" s="28"/>
      <c r="B96" s="11" t="str">
        <f>CONCATENATE("          ", "6309", " - ", "TELEPHONE")</f>
        <v xml:space="preserve">          6309 - TELEPHONE</v>
      </c>
      <c r="C96" s="11"/>
      <c r="D96" s="6">
        <v>461.45</v>
      </c>
      <c r="E96" s="2"/>
      <c r="F96" s="7">
        <f t="shared" si="68"/>
        <v>4.3177124090642936E-4</v>
      </c>
      <c r="G96" s="2"/>
      <c r="H96" s="6">
        <v>1091.0999999999999</v>
      </c>
      <c r="I96" s="2"/>
      <c r="J96" s="7">
        <f t="shared" si="69"/>
        <v>6.9386799643088174E-3</v>
      </c>
      <c r="K96" s="2"/>
      <c r="L96" s="6">
        <f t="shared" si="70"/>
        <v>-629.64999999999986</v>
      </c>
      <c r="M96" s="2"/>
      <c r="N96" s="7">
        <f t="shared" si="71"/>
        <v>-0.57707817798551908</v>
      </c>
      <c r="O96" s="11"/>
      <c r="P96" s="6">
        <v>7930.79</v>
      </c>
      <c r="Q96" s="2"/>
      <c r="R96" s="7">
        <f t="shared" si="72"/>
        <v>1.2427086475867786E-3</v>
      </c>
      <c r="S96" s="2"/>
      <c r="T96" s="6">
        <v>8434.59</v>
      </c>
      <c r="U96" s="2"/>
      <c r="V96" s="7">
        <f t="shared" si="73"/>
        <v>1.0153423947928352E-2</v>
      </c>
      <c r="W96" s="2"/>
      <c r="X96" s="6">
        <f t="shared" si="74"/>
        <v>-503.80000000000018</v>
      </c>
      <c r="Y96" s="2"/>
      <c r="Z96" s="7">
        <f t="shared" si="75"/>
        <v>-5.9730229922260618E-2</v>
      </c>
    </row>
    <row r="97" spans="1:26" s="29" customFormat="1" outlineLevel="1" collapsed="1" x14ac:dyDescent="0.3">
      <c r="A97" s="27"/>
      <c r="B97" s="14" t="str">
        <f>CONCATENATE("     ","Training                                          ")</f>
        <v xml:space="preserve">     Training                                          </v>
      </c>
      <c r="C97" s="14"/>
      <c r="D97" s="1">
        <f>SUM(OSRRefD22_21x_0)</f>
        <v>825</v>
      </c>
      <c r="E97" s="1"/>
      <c r="F97" s="5">
        <f t="shared" si="68"/>
        <v>7.7193904810446249E-4</v>
      </c>
      <c r="G97" s="1"/>
      <c r="H97" s="1">
        <f>SUM(OSRRefH22_21x_0)</f>
        <v>0</v>
      </c>
      <c r="I97" s="1"/>
      <c r="J97" s="5">
        <f t="shared" si="69"/>
        <v>0</v>
      </c>
      <c r="K97" s="1"/>
      <c r="L97" s="1">
        <f t="shared" si="70"/>
        <v>825</v>
      </c>
      <c r="M97" s="1"/>
      <c r="N97" s="5">
        <f t="shared" si="71"/>
        <v>0</v>
      </c>
      <c r="O97" s="14"/>
      <c r="P97" s="1">
        <f>SUM(OSRRefP22_21x_0)</f>
        <v>1070</v>
      </c>
      <c r="Q97" s="1"/>
      <c r="R97" s="5">
        <f t="shared" si="72"/>
        <v>1.6766277418994239E-4</v>
      </c>
      <c r="S97" s="1"/>
      <c r="T97" s="1">
        <f>SUM(OSRRefT22_21x_0)</f>
        <v>1135</v>
      </c>
      <c r="U97" s="1"/>
      <c r="V97" s="5">
        <f t="shared" si="73"/>
        <v>1.366294767249941E-3</v>
      </c>
      <c r="W97" s="1"/>
      <c r="X97" s="1">
        <f t="shared" si="74"/>
        <v>-65</v>
      </c>
      <c r="Y97" s="1"/>
      <c r="Z97" s="5">
        <f t="shared" si="75"/>
        <v>-5.7268722466960353E-2</v>
      </c>
    </row>
    <row r="98" spans="1:26" s="24" customFormat="1" hidden="1" outlineLevel="2" x14ac:dyDescent="0.3">
      <c r="A98" s="28"/>
      <c r="B98" s="11" t="str">
        <f>CONCATENATE("          ", "6376", " - ", "TRAINING")</f>
        <v xml:space="preserve">          6376 - TRAINING</v>
      </c>
      <c r="C98" s="11"/>
      <c r="D98" s="6">
        <v>825</v>
      </c>
      <c r="E98" s="2"/>
      <c r="F98" s="7">
        <f t="shared" si="68"/>
        <v>7.7193904810446249E-4</v>
      </c>
      <c r="G98" s="2"/>
      <c r="H98" s="6"/>
      <c r="I98" s="2"/>
      <c r="J98" s="7">
        <f t="shared" si="69"/>
        <v>0</v>
      </c>
      <c r="K98" s="2"/>
      <c r="L98" s="6">
        <f t="shared" si="70"/>
        <v>825</v>
      </c>
      <c r="M98" s="2"/>
      <c r="N98" s="7">
        <f t="shared" si="71"/>
        <v>0</v>
      </c>
      <c r="O98" s="11"/>
      <c r="P98" s="6">
        <v>1070</v>
      </c>
      <c r="Q98" s="2"/>
      <c r="R98" s="7">
        <f t="shared" si="72"/>
        <v>1.6766277418994239E-4</v>
      </c>
      <c r="S98" s="2"/>
      <c r="T98" s="6">
        <v>1135</v>
      </c>
      <c r="U98" s="2"/>
      <c r="V98" s="7">
        <f t="shared" si="73"/>
        <v>1.366294767249941E-3</v>
      </c>
      <c r="W98" s="2"/>
      <c r="X98" s="6">
        <f t="shared" si="74"/>
        <v>-65</v>
      </c>
      <c r="Y98" s="2"/>
      <c r="Z98" s="7">
        <f t="shared" si="75"/>
        <v>-5.7268722466960353E-2</v>
      </c>
    </row>
    <row r="99" spans="1:26" s="29" customFormat="1" outlineLevel="1" collapsed="1" x14ac:dyDescent="0.3">
      <c r="A99" s="27"/>
      <c r="B99" s="14" t="str">
        <f>CONCATENATE("     ","Travel                                            ")</f>
        <v xml:space="preserve">     Travel                                            </v>
      </c>
      <c r="C99" s="14"/>
      <c r="D99" s="1">
        <f>SUM(OSRRefD22_22x_0)</f>
        <v>0</v>
      </c>
      <c r="E99" s="1"/>
      <c r="F99" s="5">
        <f t="shared" si="68"/>
        <v>0</v>
      </c>
      <c r="G99" s="1"/>
      <c r="H99" s="1">
        <f>SUM(OSRRefH22_22x_0)</f>
        <v>0</v>
      </c>
      <c r="I99" s="1"/>
      <c r="J99" s="5">
        <f t="shared" si="69"/>
        <v>0</v>
      </c>
      <c r="K99" s="1"/>
      <c r="L99" s="1">
        <f t="shared" si="70"/>
        <v>0</v>
      </c>
      <c r="M99" s="1"/>
      <c r="N99" s="5">
        <f t="shared" si="71"/>
        <v>0</v>
      </c>
      <c r="O99" s="14"/>
      <c r="P99" s="1">
        <f>SUM(OSRRefP22_22x_0)</f>
        <v>717.61</v>
      </c>
      <c r="Q99" s="1"/>
      <c r="R99" s="5">
        <f t="shared" si="72"/>
        <v>1.1244531157611641E-4</v>
      </c>
      <c r="S99" s="1"/>
      <c r="T99" s="1">
        <f>SUM(OSRRefT22_22x_0)</f>
        <v>332.21</v>
      </c>
      <c r="U99" s="1"/>
      <c r="V99" s="5">
        <f t="shared" si="73"/>
        <v>3.9990906134634613E-4</v>
      </c>
      <c r="W99" s="1"/>
      <c r="X99" s="1">
        <f t="shared" si="74"/>
        <v>385.40000000000003</v>
      </c>
      <c r="Y99" s="1"/>
      <c r="Z99" s="5">
        <f t="shared" si="75"/>
        <v>1.1601095692483672</v>
      </c>
    </row>
    <row r="100" spans="1:26" s="24" customFormat="1" hidden="1" outlineLevel="2" x14ac:dyDescent="0.3">
      <c r="A100" s="28"/>
      <c r="B100" s="11" t="str">
        <f>CONCATENATE("          ", "6292", " - ", "TRAVEL/CONFERENCE")</f>
        <v xml:space="preserve">          6292 - TRAVEL/CONFERENCE</v>
      </c>
      <c r="C100" s="11"/>
      <c r="D100" s="6"/>
      <c r="E100" s="2"/>
      <c r="F100" s="7">
        <f t="shared" si="68"/>
        <v>0</v>
      </c>
      <c r="G100" s="2"/>
      <c r="H100" s="6"/>
      <c r="I100" s="2"/>
      <c r="J100" s="7">
        <f t="shared" si="69"/>
        <v>0</v>
      </c>
      <c r="K100" s="2"/>
      <c r="L100" s="6">
        <f t="shared" si="70"/>
        <v>0</v>
      </c>
      <c r="M100" s="2"/>
      <c r="N100" s="7">
        <f t="shared" si="71"/>
        <v>0</v>
      </c>
      <c r="O100" s="11"/>
      <c r="P100" s="6">
        <v>613.59</v>
      </c>
      <c r="Q100" s="2"/>
      <c r="R100" s="7">
        <f t="shared" si="72"/>
        <v>9.6145982817950242E-5</v>
      </c>
      <c r="S100" s="2"/>
      <c r="T100" s="6"/>
      <c r="U100" s="2"/>
      <c r="V100" s="7">
        <f t="shared" si="73"/>
        <v>0</v>
      </c>
      <c r="W100" s="2"/>
      <c r="X100" s="6">
        <f t="shared" si="74"/>
        <v>613.59</v>
      </c>
      <c r="Y100" s="2"/>
      <c r="Z100" s="7">
        <f t="shared" si="75"/>
        <v>0</v>
      </c>
    </row>
    <row r="101" spans="1:26" s="24" customFormat="1" hidden="1" outlineLevel="2" x14ac:dyDescent="0.3">
      <c r="A101" s="28"/>
      <c r="B101" s="11" t="str">
        <f>CONCATENATE("          ", "6298", " - ", "VEHICLE MILEAGE")</f>
        <v xml:space="preserve">          6298 - VEHICLE MILEAGE</v>
      </c>
      <c r="C101" s="11"/>
      <c r="D101" s="6"/>
      <c r="E101" s="2"/>
      <c r="F101" s="7">
        <f t="shared" si="68"/>
        <v>0</v>
      </c>
      <c r="G101" s="2"/>
      <c r="H101" s="6"/>
      <c r="I101" s="2"/>
      <c r="J101" s="7">
        <f t="shared" si="69"/>
        <v>0</v>
      </c>
      <c r="K101" s="2"/>
      <c r="L101" s="6">
        <f t="shared" si="70"/>
        <v>0</v>
      </c>
      <c r="M101" s="2"/>
      <c r="N101" s="7">
        <f t="shared" si="71"/>
        <v>0</v>
      </c>
      <c r="O101" s="11"/>
      <c r="P101" s="6">
        <v>104.02</v>
      </c>
      <c r="Q101" s="2"/>
      <c r="R101" s="7">
        <f t="shared" si="72"/>
        <v>1.6299328758166175E-5</v>
      </c>
      <c r="S101" s="2"/>
      <c r="T101" s="6">
        <v>332.21</v>
      </c>
      <c r="U101" s="2"/>
      <c r="V101" s="7">
        <f t="shared" si="73"/>
        <v>3.9990906134634613E-4</v>
      </c>
      <c r="W101" s="2"/>
      <c r="X101" s="6">
        <f t="shared" si="74"/>
        <v>-228.19</v>
      </c>
      <c r="Y101" s="2"/>
      <c r="Z101" s="7">
        <f t="shared" si="75"/>
        <v>-0.68688480178200539</v>
      </c>
    </row>
    <row r="102" spans="1:26" s="29" customFormat="1" outlineLevel="1" collapsed="1" x14ac:dyDescent="0.3">
      <c r="A102" s="27"/>
      <c r="B102" s="14" t="str">
        <f>CONCATENATE("     ","Utilities                                         ")</f>
        <v xml:space="preserve">     Utilities                                         </v>
      </c>
      <c r="C102" s="14"/>
      <c r="D102" s="1">
        <f>SUM(OSRRefD22_23x_0)</f>
        <v>8150</v>
      </c>
      <c r="E102" s="1"/>
      <c r="F102" s="5">
        <f t="shared" ref="F102:F103" si="76">IF(D$12=0,0,D102/D$12)</f>
        <v>7.6258221115774174E-3</v>
      </c>
      <c r="G102" s="1"/>
      <c r="H102" s="1">
        <f>SUM(OSRRefH22_23x_0)</f>
        <v>3660</v>
      </c>
      <c r="I102" s="1"/>
      <c r="J102" s="5">
        <f t="shared" ref="J102:J103" si="77">IF(H$12=0,0,H102/H$12)</f>
        <v>2.3275198120584983E-2</v>
      </c>
      <c r="K102" s="1"/>
      <c r="L102" s="1">
        <f t="shared" ref="L102:L103" si="78">+D102-H102</f>
        <v>4490</v>
      </c>
      <c r="M102" s="1"/>
      <c r="N102" s="5">
        <f t="shared" ref="N102:N103" si="79">IF(H102=0,0,L102/H102)</f>
        <v>1.2267759562841529</v>
      </c>
      <c r="O102" s="14"/>
      <c r="P102" s="1">
        <f>SUM(OSRRefP22_23x_0)</f>
        <v>46500</v>
      </c>
      <c r="Q102" s="1"/>
      <c r="R102" s="5">
        <f t="shared" ref="R102:R103" si="80">IF(P$12=0,0,P102/P$12)</f>
        <v>7.2862794390956276E-3</v>
      </c>
      <c r="S102" s="1"/>
      <c r="T102" s="1">
        <f>SUM(OSRRefT22_23x_0)</f>
        <v>992</v>
      </c>
      <c r="U102" s="1"/>
      <c r="V102" s="5">
        <f t="shared" ref="V102:V103" si="81">IF(T$12=0,0,T102/T$12)</f>
        <v>1.1941536644158074E-3</v>
      </c>
      <c r="W102" s="1"/>
      <c r="X102" s="1">
        <f t="shared" ref="X102:X103" si="82">+P102-T102</f>
        <v>45508</v>
      </c>
      <c r="Y102" s="1"/>
      <c r="Z102" s="5">
        <f t="shared" ref="Z102:Z103" si="83">IF(T102=0,0,X102/T102)</f>
        <v>45.875</v>
      </c>
    </row>
    <row r="103" spans="1:26" s="24" customFormat="1" hidden="1" outlineLevel="2" x14ac:dyDescent="0.3">
      <c r="A103" s="28"/>
      <c r="B103" s="11" t="str">
        <f>CONCATENATE("          ", "6274", " - ", "UTILITIES")</f>
        <v xml:space="preserve">          6274 - UTILITIES</v>
      </c>
      <c r="C103" s="11"/>
      <c r="D103" s="6">
        <v>8150</v>
      </c>
      <c r="E103" s="2"/>
      <c r="F103" s="7">
        <f t="shared" si="76"/>
        <v>7.6258221115774174E-3</v>
      </c>
      <c r="G103" s="2"/>
      <c r="H103" s="6">
        <v>3660</v>
      </c>
      <c r="I103" s="2"/>
      <c r="J103" s="7">
        <f t="shared" si="77"/>
        <v>2.3275198120584983E-2</v>
      </c>
      <c r="K103" s="2"/>
      <c r="L103" s="6">
        <f t="shared" si="78"/>
        <v>4490</v>
      </c>
      <c r="M103" s="2"/>
      <c r="N103" s="7">
        <f t="shared" si="79"/>
        <v>1.2267759562841529</v>
      </c>
      <c r="O103" s="11"/>
      <c r="P103" s="6">
        <v>46500</v>
      </c>
      <c r="Q103" s="2"/>
      <c r="R103" s="7">
        <f t="shared" si="80"/>
        <v>7.2862794390956276E-3</v>
      </c>
      <c r="S103" s="2"/>
      <c r="T103" s="6">
        <v>992</v>
      </c>
      <c r="U103" s="2"/>
      <c r="V103" s="7">
        <f t="shared" si="81"/>
        <v>1.1941536644158074E-3</v>
      </c>
      <c r="W103" s="2"/>
      <c r="X103" s="6">
        <f t="shared" si="82"/>
        <v>45508</v>
      </c>
      <c r="Y103" s="2"/>
      <c r="Z103" s="7">
        <f t="shared" si="83"/>
        <v>45.875</v>
      </c>
    </row>
    <row r="104" spans="1:26" s="53" customFormat="1" x14ac:dyDescent="0.3">
      <c r="A104" s="37"/>
      <c r="B104" s="37"/>
      <c r="C104" s="37"/>
      <c r="D104" s="1"/>
      <c r="E104" s="1"/>
      <c r="F104" s="5"/>
      <c r="G104" s="1"/>
      <c r="H104" s="1"/>
      <c r="I104" s="1"/>
      <c r="J104" s="5"/>
      <c r="K104" s="1"/>
      <c r="L104" s="1"/>
      <c r="M104" s="1"/>
      <c r="N104" s="5"/>
      <c r="O104" s="37"/>
      <c r="P104" s="1"/>
      <c r="Q104" s="1"/>
      <c r="R104" s="5"/>
      <c r="S104" s="1"/>
      <c r="T104" s="1"/>
      <c r="U104" s="1"/>
      <c r="V104" s="5"/>
      <c r="W104" s="1"/>
      <c r="X104" s="1"/>
      <c r="Y104" s="1"/>
      <c r="Z104" s="5"/>
    </row>
    <row r="105" spans="1:26" s="23" customFormat="1" collapsed="1" x14ac:dyDescent="0.3">
      <c r="A105" s="10"/>
      <c r="B105" s="25" t="s">
        <v>292</v>
      </c>
      <c r="C105" s="10"/>
      <c r="D105" s="4">
        <f>SUM(OSRRefD25x_0)</f>
        <v>104600.16</v>
      </c>
      <c r="E105" s="4"/>
      <c r="F105" s="12">
        <f t="shared" ref="F105:F108" si="84">IF(D$12=0,0,D105/D$12)</f>
        <v>9.7872664172090271E-2</v>
      </c>
      <c r="G105" s="4"/>
      <c r="H105" s="4">
        <f>SUM(OSRRefH25x_0)</f>
        <v>11120.800000000001</v>
      </c>
      <c r="I105" s="4"/>
      <c r="J105" s="12">
        <f t="shared" ref="J105:J108" si="85">IF(H$12=0,0,H105/H$12)</f>
        <v>7.0720989961585115E-2</v>
      </c>
      <c r="K105" s="4"/>
      <c r="L105" s="4">
        <f t="shared" ref="L105:L108" si="86">+D105-H105</f>
        <v>93479.360000000001</v>
      </c>
      <c r="M105" s="4"/>
      <c r="N105" s="12">
        <f t="shared" ref="N105:N108" si="87">IF(H105=0,0,L105/H105)</f>
        <v>8.4058125314725558</v>
      </c>
      <c r="O105" s="10"/>
      <c r="P105" s="4">
        <f>SUM(OSRRefP25x_0)</f>
        <v>134618.51</v>
      </c>
      <c r="Q105" s="4"/>
      <c r="R105" s="12">
        <f t="shared" ref="R105:R108" si="88">IF(P$12=0,0,P105/P$12)</f>
        <v>2.1093937237305144E-2</v>
      </c>
      <c r="S105" s="4"/>
      <c r="T105" s="4">
        <f>SUM(OSRRefT25x_0)</f>
        <v>15371.47</v>
      </c>
      <c r="U105" s="4"/>
      <c r="V105" s="12">
        <f t="shared" ref="V105:V108" si="89">IF(T$12=0,0,T105/T$12)</f>
        <v>1.8503928657215372E-2</v>
      </c>
      <c r="W105" s="4"/>
      <c r="X105" s="4">
        <f t="shared" ref="X105:X108" si="90">+P105-T105</f>
        <v>119247.04000000001</v>
      </c>
      <c r="Y105" s="4"/>
      <c r="Z105" s="12">
        <f t="shared" ref="Z105:Z108" si="91">IF(T105=0,0,X105/T105)</f>
        <v>7.7576861549350848</v>
      </c>
    </row>
    <row r="106" spans="1:26" s="24" customFormat="1" hidden="1" outlineLevel="1" x14ac:dyDescent="0.3">
      <c r="A106" s="44"/>
      <c r="B106" s="11" t="str">
        <f>CONCATENATE("          ", "9150", " - ", "MISC. INCOME")</f>
        <v xml:space="preserve">          9150 - MISC. INCOME</v>
      </c>
      <c r="C106" s="11"/>
      <c r="D106" s="2">
        <f>--104600.16</f>
        <v>104600.16</v>
      </c>
      <c r="E106" s="2"/>
      <c r="F106" s="19">
        <f t="shared" si="84"/>
        <v>9.7872664172090271E-2</v>
      </c>
      <c r="G106" s="2"/>
      <c r="H106" s="2">
        <f>--804.28</f>
        <v>804.28</v>
      </c>
      <c r="I106" s="2"/>
      <c r="J106" s="19">
        <f t="shared" si="85"/>
        <v>5.1146929902798057E-3</v>
      </c>
      <c r="K106" s="2"/>
      <c r="L106" s="2">
        <f t="shared" si="86"/>
        <v>103795.88</v>
      </c>
      <c r="M106" s="2"/>
      <c r="N106" s="19">
        <f t="shared" si="87"/>
        <v>129.0544089123191</v>
      </c>
      <c r="O106" s="11"/>
      <c r="P106" s="2">
        <f>--134618.51</f>
        <v>134618.51</v>
      </c>
      <c r="Q106" s="2"/>
      <c r="R106" s="19">
        <f t="shared" si="88"/>
        <v>2.1093937237305144E-2</v>
      </c>
      <c r="S106" s="2"/>
      <c r="T106" s="2">
        <f>--1728.05</f>
        <v>1728.05</v>
      </c>
      <c r="U106" s="2"/>
      <c r="V106" s="19">
        <f t="shared" si="89"/>
        <v>2.0801988304372339E-3</v>
      </c>
      <c r="W106" s="2"/>
      <c r="X106" s="2">
        <f t="shared" si="90"/>
        <v>132890.46000000002</v>
      </c>
      <c r="Y106" s="2"/>
      <c r="Z106" s="19">
        <f t="shared" si="91"/>
        <v>76.901976215965988</v>
      </c>
    </row>
    <row r="107" spans="1:26" s="24" customFormat="1" hidden="1" outlineLevel="1" x14ac:dyDescent="0.3">
      <c r="A107" s="44"/>
      <c r="B107" s="11" t="str">
        <f>CONCATENATE("          ", "9160", " - ", "MISC. INCOME")</f>
        <v xml:space="preserve">          9160 - MISC. INCOME</v>
      </c>
      <c r="C107" s="11"/>
      <c r="D107" s="2">
        <f t="shared" ref="D107:D108" si="92">0</f>
        <v>0</v>
      </c>
      <c r="E107" s="2"/>
      <c r="F107" s="19">
        <f t="shared" si="84"/>
        <v>0</v>
      </c>
      <c r="G107" s="2"/>
      <c r="H107" s="2">
        <f>--10000</f>
        <v>10000</v>
      </c>
      <c r="I107" s="2"/>
      <c r="J107" s="19">
        <f t="shared" si="85"/>
        <v>6.359343748793711E-2</v>
      </c>
      <c r="K107" s="2"/>
      <c r="L107" s="2">
        <f t="shared" si="86"/>
        <v>-10000</v>
      </c>
      <c r="M107" s="2"/>
      <c r="N107" s="19">
        <f t="shared" si="87"/>
        <v>-1</v>
      </c>
      <c r="O107" s="11"/>
      <c r="P107" s="2">
        <f t="shared" ref="P107:P108" si="93">0</f>
        <v>0</v>
      </c>
      <c r="Q107" s="2"/>
      <c r="R107" s="19">
        <f t="shared" si="88"/>
        <v>0</v>
      </c>
      <c r="S107" s="2"/>
      <c r="T107" s="2">
        <f>--12328.25</f>
        <v>12328.25</v>
      </c>
      <c r="U107" s="2"/>
      <c r="V107" s="19">
        <f t="shared" si="89"/>
        <v>1.484054930779655E-2</v>
      </c>
      <c r="W107" s="2"/>
      <c r="X107" s="2">
        <f t="shared" si="90"/>
        <v>-12328.25</v>
      </c>
      <c r="Y107" s="2"/>
      <c r="Z107" s="19">
        <f t="shared" si="91"/>
        <v>-1</v>
      </c>
    </row>
    <row r="108" spans="1:26" s="24" customFormat="1" hidden="1" outlineLevel="1" x14ac:dyDescent="0.3">
      <c r="A108" s="44"/>
      <c r="B108" s="11" t="str">
        <f>CONCATENATE("          ", "9165", " - ", "OTHER INCOME")</f>
        <v xml:space="preserve">          9165 - OTHER INCOME</v>
      </c>
      <c r="C108" s="11"/>
      <c r="D108" s="2">
        <f t="shared" si="92"/>
        <v>0</v>
      </c>
      <c r="E108" s="2"/>
      <c r="F108" s="19">
        <f t="shared" si="84"/>
        <v>0</v>
      </c>
      <c r="G108" s="2"/>
      <c r="H108" s="2">
        <f>--316.52</f>
        <v>316.52</v>
      </c>
      <c r="I108" s="2"/>
      <c r="J108" s="19">
        <f t="shared" si="85"/>
        <v>2.0128594833681854E-3</v>
      </c>
      <c r="K108" s="2"/>
      <c r="L108" s="2">
        <f t="shared" si="86"/>
        <v>-316.52</v>
      </c>
      <c r="M108" s="2"/>
      <c r="N108" s="19">
        <f t="shared" si="87"/>
        <v>-1</v>
      </c>
      <c r="O108" s="11"/>
      <c r="P108" s="2">
        <f t="shared" si="93"/>
        <v>0</v>
      </c>
      <c r="Q108" s="2"/>
      <c r="R108" s="19">
        <f t="shared" si="88"/>
        <v>0</v>
      </c>
      <c r="S108" s="2"/>
      <c r="T108" s="2">
        <f>--1315.17</f>
        <v>1315.17</v>
      </c>
      <c r="U108" s="2"/>
      <c r="V108" s="19">
        <f t="shared" si="89"/>
        <v>1.5831805189815903E-3</v>
      </c>
      <c r="W108" s="2"/>
      <c r="X108" s="2">
        <f t="shared" si="90"/>
        <v>-1315.17</v>
      </c>
      <c r="Y108" s="2"/>
      <c r="Z108" s="19">
        <f t="shared" si="91"/>
        <v>-1</v>
      </c>
    </row>
    <row r="109" spans="1:26" x14ac:dyDescent="0.3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3">
      <c r="A110" s="10"/>
      <c r="B110" s="26" t="s">
        <v>276</v>
      </c>
      <c r="C110" s="26"/>
      <c r="D110" s="20">
        <f>+D24-D26+D105</f>
        <v>269260.17000000016</v>
      </c>
      <c r="E110" s="13"/>
      <c r="F110" s="21">
        <f>IF(D$12=0,0,D110/D$12)</f>
        <v>0.25194235069363136</v>
      </c>
      <c r="G110" s="13"/>
      <c r="H110" s="20">
        <f>+H24-H26+H105</f>
        <v>-234522.9899999999</v>
      </c>
      <c r="I110" s="13"/>
      <c r="J110" s="21">
        <f>IF(H$12=0,0,H110/H$12)</f>
        <v>-1.4914123104049095</v>
      </c>
      <c r="K110" s="15"/>
      <c r="L110" s="20">
        <f>+D110-H110</f>
        <v>503783.16000000003</v>
      </c>
      <c r="M110" s="15"/>
      <c r="N110" s="21">
        <f>IF(H110=0,0,L110/H110)</f>
        <v>-2.1481184424605888</v>
      </c>
      <c r="O110" s="25"/>
      <c r="P110" s="20">
        <f>+P24-P26+P105</f>
        <v>1005303.6000000022</v>
      </c>
      <c r="Q110" s="13"/>
      <c r="R110" s="21">
        <f>IF(P$12=0,0,P110/P$12)</f>
        <v>0.15752522474685657</v>
      </c>
      <c r="S110" s="13"/>
      <c r="T110" s="20">
        <f>+T24-T26+T105</f>
        <v>-1501942.9299999997</v>
      </c>
      <c r="U110" s="13"/>
      <c r="V110" s="21">
        <f>IF(T$12=0,0,T110/T$12)</f>
        <v>-1.8080147717771311</v>
      </c>
      <c r="W110" s="15"/>
      <c r="X110" s="20">
        <f>+P110-T110</f>
        <v>2507246.5300000021</v>
      </c>
      <c r="Y110" s="15"/>
      <c r="Z110" s="21">
        <f>IF(T110=0,0,X110/T110)</f>
        <v>-1.6693354187565586</v>
      </c>
    </row>
    <row r="111" spans="1:26" x14ac:dyDescent="0.3">
      <c r="A111" s="9"/>
      <c r="B111" s="10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3">
      <c r="A112" s="51"/>
      <c r="B112" s="10" t="s">
        <v>127</v>
      </c>
      <c r="C112" s="10"/>
      <c r="D112" s="4">
        <v>135334.26999999999</v>
      </c>
      <c r="E112" s="4"/>
      <c r="F112" s="12">
        <f>IF(D$12=0,0,D112/D$12)</f>
        <v>0.12663006976934826</v>
      </c>
      <c r="G112" s="4"/>
      <c r="H112" s="4">
        <v>46686.05</v>
      </c>
      <c r="I112" s="4"/>
      <c r="J112" s="12">
        <f>IF(H$12=0,0,H112/H$12)</f>
        <v>0.29689264022337064</v>
      </c>
      <c r="K112" s="4"/>
      <c r="L112" s="4">
        <f>+D112-H112</f>
        <v>88648.219999999987</v>
      </c>
      <c r="M112" s="4"/>
      <c r="N112" s="12">
        <f>IF(H112=0,0,L112/H112)</f>
        <v>1.898816027485726</v>
      </c>
      <c r="O112" s="10"/>
      <c r="P112" s="4">
        <v>768189.33</v>
      </c>
      <c r="Q112" s="4"/>
      <c r="R112" s="12">
        <f>IF(P$12=0,0,P112/P$12)</f>
        <v>0.12037079829057303</v>
      </c>
      <c r="S112" s="4"/>
      <c r="T112" s="4">
        <v>153699.64000000001</v>
      </c>
      <c r="U112" s="4"/>
      <c r="V112" s="12">
        <f>IF(T$12=0,0,T112/T$12)</f>
        <v>0.18502115758607907</v>
      </c>
      <c r="W112" s="4"/>
      <c r="X112" s="4">
        <f>+P112-T112</f>
        <v>614489.68999999994</v>
      </c>
      <c r="Y112" s="4"/>
      <c r="Z112" s="12">
        <f>IF(T112=0,0,X112/T112)</f>
        <v>3.9979904312072554</v>
      </c>
    </row>
    <row r="113" spans="1:26" x14ac:dyDescent="0.3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" thickBot="1" x14ac:dyDescent="0.35">
      <c r="A114" s="10"/>
      <c r="B114" s="26" t="s">
        <v>125</v>
      </c>
      <c r="C114" s="26"/>
      <c r="D114" s="32">
        <f>+D110-D112</f>
        <v>133925.90000000017</v>
      </c>
      <c r="E114" s="13"/>
      <c r="F114" s="35">
        <f>IF(D$12=0,0,D114/D$12)</f>
        <v>0.12531228092428312</v>
      </c>
      <c r="G114" s="13"/>
      <c r="H114" s="32">
        <f>+H110-H112</f>
        <v>-281209.03999999992</v>
      </c>
      <c r="I114" s="13"/>
      <c r="J114" s="35">
        <f>IF(H$12=0,0,H114/H$12)</f>
        <v>-1.7883049506282802</v>
      </c>
      <c r="K114" s="15"/>
      <c r="L114" s="32">
        <f>D114-H114</f>
        <v>415134.94000000006</v>
      </c>
      <c r="M114" s="15"/>
      <c r="N114" s="35">
        <f>IF(H114=0,0,L114/H114)</f>
        <v>-1.476250336760156</v>
      </c>
      <c r="O114" s="25"/>
      <c r="P114" s="32">
        <f>+P110-P112</f>
        <v>237114.27000000223</v>
      </c>
      <c r="Q114" s="13"/>
      <c r="R114" s="35">
        <f>IF(P$12=0,0,P114/P$12)</f>
        <v>3.7154426456283557E-2</v>
      </c>
      <c r="S114" s="13"/>
      <c r="T114" s="32">
        <f>+T110-T112</f>
        <v>-1655642.5699999998</v>
      </c>
      <c r="U114" s="13"/>
      <c r="V114" s="35">
        <f>IF(T$12=0,0,T114/T$12)</f>
        <v>-1.9930359293632105</v>
      </c>
      <c r="W114" s="15"/>
      <c r="X114" s="32">
        <f>P114-T114</f>
        <v>1892756.8400000022</v>
      </c>
      <c r="Y114" s="15"/>
      <c r="Z114" s="35">
        <f>IF(T114=0,0,X114/T114)</f>
        <v>-1.1432158572728668</v>
      </c>
    </row>
    <row r="115" spans="1:26" ht="15" thickTop="1" x14ac:dyDescent="0.3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x14ac:dyDescent="0.3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" thickBot="1" x14ac:dyDescent="0.35">
      <c r="A117" s="10"/>
      <c r="B117" s="26" t="s">
        <v>293</v>
      </c>
      <c r="C117" s="26"/>
      <c r="D117" s="31">
        <f>SUM(D114:D116)</f>
        <v>133925.90000000017</v>
      </c>
      <c r="E117" s="13"/>
      <c r="F117" s="33">
        <f>IF(D$12=0,0,D117/D$12)</f>
        <v>0.12531228092428312</v>
      </c>
      <c r="G117" s="13"/>
      <c r="H117" s="31">
        <f>SUM(H114:H116)</f>
        <v>-281209.03999999992</v>
      </c>
      <c r="I117" s="13"/>
      <c r="J117" s="33">
        <f>IF(H$12=0,0,H117/H$12)</f>
        <v>-1.7883049506282802</v>
      </c>
      <c r="K117" s="15"/>
      <c r="L117" s="31">
        <f>+D117-H117</f>
        <v>415134.94000000006</v>
      </c>
      <c r="M117" s="15"/>
      <c r="N117" s="33">
        <f>IF(H117=0,0,L117/H117)</f>
        <v>-1.476250336760156</v>
      </c>
      <c r="O117" s="25"/>
      <c r="P117" s="31">
        <f>SUM(P114:P116)</f>
        <v>237114.27000000223</v>
      </c>
      <c r="Q117" s="13"/>
      <c r="R117" s="33">
        <f>IF(P$12=0,0,P117/P$12)</f>
        <v>3.7154426456283557E-2</v>
      </c>
      <c r="S117" s="13"/>
      <c r="T117" s="31">
        <f>SUM(T114:T116)</f>
        <v>-1655642.5699999998</v>
      </c>
      <c r="U117" s="13"/>
      <c r="V117" s="33">
        <f>IF(T$12=0,0,T117/T$12)</f>
        <v>-1.9930359293632105</v>
      </c>
      <c r="W117" s="15"/>
      <c r="X117" s="31">
        <f>+P117-T117</f>
        <v>1892756.8400000022</v>
      </c>
      <c r="Y117" s="15"/>
      <c r="Z117" s="33">
        <f>IF(T117=0,0,X117/T117)</f>
        <v>-1.1432158572728668</v>
      </c>
    </row>
    <row r="118" spans="1:26" ht="15" thickTop="1" x14ac:dyDescent="0.3">
      <c r="A118" s="9"/>
      <c r="C118" s="9"/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  <row r="119" spans="1:26" x14ac:dyDescent="0.3">
      <c r="A119" s="9"/>
      <c r="B119" s="60">
        <v>44575.854569016206</v>
      </c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  <row r="120" spans="1:26" x14ac:dyDescent="0.3">
      <c r="A120" s="9"/>
      <c r="B120" s="57" t="s">
        <v>56</v>
      </c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  <row r="121" spans="1:26" x14ac:dyDescent="0.3">
      <c r="A121" s="9"/>
      <c r="B121" s="59"/>
      <c r="D121" s="17"/>
      <c r="E121" s="17"/>
      <c r="G121" s="17"/>
      <c r="H121" s="17"/>
      <c r="I121" s="17"/>
      <c r="J121" s="43"/>
      <c r="K121" s="17"/>
      <c r="L121" s="17"/>
      <c r="M121" s="17"/>
      <c r="P121" s="17"/>
      <c r="Q121" s="17"/>
      <c r="R121" s="43"/>
      <c r="S121" s="17"/>
      <c r="T121" s="17"/>
      <c r="U121" s="17"/>
      <c r="V121" s="43"/>
      <c r="W121" s="17"/>
      <c r="X121" s="17"/>
    </row>
    <row r="122" spans="1:26" x14ac:dyDescent="0.3">
      <c r="D122" s="17"/>
      <c r="E122" s="17"/>
      <c r="G122" s="17"/>
      <c r="H122" s="17"/>
      <c r="I122" s="17"/>
      <c r="J122" s="43"/>
      <c r="K122" s="17"/>
      <c r="L122" s="17"/>
      <c r="M122" s="17"/>
      <c r="P122" s="17"/>
      <c r="Q122" s="17"/>
      <c r="R122" s="43"/>
      <c r="S122" s="17"/>
      <c r="T122" s="17"/>
      <c r="U122" s="17"/>
      <c r="V122" s="43"/>
      <c r="W122" s="17"/>
      <c r="X122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outlinePr summaryBelow="0" summaryRight="0"/>
  </sheetPr>
  <dimension ref="A2:Z12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55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116384.09</v>
      </c>
      <c r="E12" s="4"/>
      <c r="F12" s="12"/>
      <c r="G12" s="4"/>
      <c r="H12" s="4">
        <f>SUM(OSRRefH13x_0)</f>
        <v>72170.009999999995</v>
      </c>
      <c r="I12" s="4"/>
      <c r="J12" s="12"/>
      <c r="K12" s="4"/>
      <c r="L12" s="4">
        <f t="shared" ref="L12:L25" si="0">+D12-H12</f>
        <v>44214.080000000002</v>
      </c>
      <c r="M12" s="4"/>
      <c r="N12" s="12">
        <f t="shared" ref="N12:N25" si="1">IF(H12=0,0,L12/H12)</f>
        <v>0.61263785331330844</v>
      </c>
      <c r="O12" s="10"/>
      <c r="P12" s="4">
        <f>SUM(OSRRefP13x_0)</f>
        <v>665315.77</v>
      </c>
      <c r="Q12" s="4"/>
      <c r="R12" s="12"/>
      <c r="S12" s="4"/>
      <c r="T12" s="4">
        <f>SUM(OSRRefT13x_0)</f>
        <v>196800.47000000003</v>
      </c>
      <c r="U12" s="4"/>
      <c r="V12" s="12"/>
      <c r="W12" s="4"/>
      <c r="X12" s="4">
        <f t="shared" ref="X12:X25" si="2">+P12-T12</f>
        <v>468515.3</v>
      </c>
      <c r="Y12" s="4"/>
      <c r="Z12" s="12">
        <f t="shared" ref="Z12:Z25" si="3">IF(T12=0,0,X12/T12)</f>
        <v>2.3806614892738818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--2128.3</f>
        <v>2128.3000000000002</v>
      </c>
      <c r="E13" s="2"/>
      <c r="F13" s="19"/>
      <c r="G13" s="2"/>
      <c r="H13" s="2">
        <f t="shared" ref="H13:H15" si="4">0</f>
        <v>0</v>
      </c>
      <c r="I13" s="2"/>
      <c r="J13" s="19"/>
      <c r="K13" s="2"/>
      <c r="L13" s="2">
        <f t="shared" si="0"/>
        <v>2128.3000000000002</v>
      </c>
      <c r="M13" s="2"/>
      <c r="N13" s="19">
        <f t="shared" si="1"/>
        <v>0</v>
      </c>
      <c r="O13" s="11"/>
      <c r="P13" s="2">
        <f>--12750.65</f>
        <v>12750.65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12750.65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ref="D14:D15" si="5"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15" si="6">0</f>
        <v>0</v>
      </c>
      <c r="Q14" s="2"/>
      <c r="R14" s="19"/>
      <c r="S14" s="2"/>
      <c r="T14" s="2">
        <f>--444.59</f>
        <v>444.59</v>
      </c>
      <c r="U14" s="2"/>
      <c r="V14" s="19"/>
      <c r="W14" s="2"/>
      <c r="X14" s="2">
        <f t="shared" si="2"/>
        <v>-444.59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5"/>
        <v>0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>0</f>
        <v>0</v>
      </c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--19631.62</f>
        <v>19631.62</v>
      </c>
      <c r="E16" s="2"/>
      <c r="F16" s="19"/>
      <c r="G16" s="2"/>
      <c r="H16" s="2">
        <f>--5713.27</f>
        <v>5713.27</v>
      </c>
      <c r="I16" s="2"/>
      <c r="J16" s="19"/>
      <c r="K16" s="2"/>
      <c r="L16" s="2">
        <f t="shared" si="0"/>
        <v>13918.349999999999</v>
      </c>
      <c r="M16" s="2"/>
      <c r="N16" s="19">
        <f t="shared" si="1"/>
        <v>2.4361442746448176</v>
      </c>
      <c r="O16" s="11"/>
      <c r="P16" s="2">
        <f>--146982.79</f>
        <v>146982.79</v>
      </c>
      <c r="Q16" s="2"/>
      <c r="R16" s="19"/>
      <c r="S16" s="2"/>
      <c r="T16" s="2">
        <f>--22964.48</f>
        <v>22964.48</v>
      </c>
      <c r="U16" s="2"/>
      <c r="V16" s="19"/>
      <c r="W16" s="2"/>
      <c r="X16" s="2">
        <f t="shared" si="2"/>
        <v>124018.31000000001</v>
      </c>
      <c r="Y16" s="2"/>
      <c r="Z16" s="19">
        <f t="shared" si="3"/>
        <v>5.4004405934730508</v>
      </c>
    </row>
    <row r="17" spans="1:26" s="24" customFormat="1" hidden="1" outlineLevel="1" x14ac:dyDescent="0.3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>0</f>
        <v>0</v>
      </c>
      <c r="E17" s="2"/>
      <c r="F17" s="19"/>
      <c r="G17" s="2"/>
      <c r="H17" s="2">
        <f>--62378.23</f>
        <v>62378.23</v>
      </c>
      <c r="I17" s="2"/>
      <c r="J17" s="19"/>
      <c r="K17" s="2"/>
      <c r="L17" s="2">
        <f t="shared" si="0"/>
        <v>-62378.23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f>--148103.39</f>
        <v>148103.39000000001</v>
      </c>
      <c r="U17" s="2"/>
      <c r="V17" s="19"/>
      <c r="W17" s="2"/>
      <c r="X17" s="2">
        <f t="shared" si="2"/>
        <v>-148103.39000000001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"4053", " - ", "TAXABLE SALES-FOOD")</f>
        <v xml:space="preserve">          4053 - TAXABLE SALES-FOOD</v>
      </c>
      <c r="C18" s="11"/>
      <c r="D18" s="2">
        <f>--1720.65</f>
        <v>1720.65</v>
      </c>
      <c r="E18" s="2"/>
      <c r="F18" s="19"/>
      <c r="G18" s="2"/>
      <c r="H18" s="2">
        <f t="shared" ref="H18:H23" si="7">0</f>
        <v>0</v>
      </c>
      <c r="I18" s="2"/>
      <c r="J18" s="19"/>
      <c r="K18" s="2"/>
      <c r="L18" s="2">
        <f t="shared" si="0"/>
        <v>1720.65</v>
      </c>
      <c r="M18" s="2"/>
      <c r="N18" s="19">
        <f t="shared" si="1"/>
        <v>0</v>
      </c>
      <c r="O18" s="11"/>
      <c r="P18" s="2">
        <f>--8078.3</f>
        <v>8078.3</v>
      </c>
      <c r="Q18" s="2"/>
      <c r="R18" s="19"/>
      <c r="S18" s="2"/>
      <c r="T18" s="2">
        <f>0</f>
        <v>0</v>
      </c>
      <c r="U18" s="2"/>
      <c r="V18" s="19"/>
      <c r="W18" s="2"/>
      <c r="X18" s="2">
        <f t="shared" si="2"/>
        <v>8078.3</v>
      </c>
      <c r="Y18" s="2"/>
      <c r="Z18" s="19">
        <f t="shared" si="3"/>
        <v>0</v>
      </c>
    </row>
    <row r="19" spans="1:26" s="24" customFormat="1" hidden="1" outlineLevel="1" x14ac:dyDescent="0.3">
      <c r="A19" s="44"/>
      <c r="B19" s="11" t="str">
        <f>CONCATENATE("          ", "4058", " - ", "TAXABLE SALES-FOOD")</f>
        <v xml:space="preserve">          4058 - TAXABLE SALES-FOOD</v>
      </c>
      <c r="C19" s="11"/>
      <c r="D19" s="2">
        <f>0</f>
        <v>0</v>
      </c>
      <c r="E19" s="2"/>
      <c r="F19" s="19"/>
      <c r="G19" s="2"/>
      <c r="H19" s="2">
        <f t="shared" si="7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0</f>
        <v>0</v>
      </c>
      <c r="Q19" s="2"/>
      <c r="R19" s="19"/>
      <c r="S19" s="2"/>
      <c r="T19" s="2">
        <f>--974.91</f>
        <v>974.91</v>
      </c>
      <c r="U19" s="2"/>
      <c r="V19" s="19"/>
      <c r="W19" s="2"/>
      <c r="X19" s="2">
        <f t="shared" si="2"/>
        <v>-974.91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>--10279.17</f>
        <v>10279.17</v>
      </c>
      <c r="E20" s="2"/>
      <c r="F20" s="19"/>
      <c r="G20" s="2"/>
      <c r="H20" s="2">
        <f t="shared" si="7"/>
        <v>0</v>
      </c>
      <c r="I20" s="2"/>
      <c r="J20" s="19"/>
      <c r="K20" s="2"/>
      <c r="L20" s="2">
        <f t="shared" si="0"/>
        <v>10279.17</v>
      </c>
      <c r="M20" s="2"/>
      <c r="N20" s="19">
        <f t="shared" si="1"/>
        <v>0</v>
      </c>
      <c r="O20" s="11"/>
      <c r="P20" s="2">
        <f>--62958.13</f>
        <v>62958.13</v>
      </c>
      <c r="Q20" s="2"/>
      <c r="R20" s="19"/>
      <c r="S20" s="2"/>
      <c r="T20" s="2">
        <f>0</f>
        <v>0</v>
      </c>
      <c r="U20" s="2"/>
      <c r="V20" s="19"/>
      <c r="W20" s="2"/>
      <c r="X20" s="2">
        <f t="shared" si="2"/>
        <v>62958.13</v>
      </c>
      <c r="Y20" s="2"/>
      <c r="Z20" s="19">
        <f t="shared" si="3"/>
        <v>0</v>
      </c>
    </row>
    <row r="21" spans="1:26" s="24" customFormat="1" hidden="1" outlineLevel="1" x14ac:dyDescent="0.3">
      <c r="A21" s="44"/>
      <c r="B21" s="11" t="str">
        <f>CONCATENATE("          ", "4132", " - ", "NON-TAXABLE SALES-JUICE")</f>
        <v xml:space="preserve">          4132 - NON-TAXABLE SALES-JUICE</v>
      </c>
      <c r="C21" s="11"/>
      <c r="D21" s="2">
        <f t="shared" ref="D21:D23" si="8">0</f>
        <v>0</v>
      </c>
      <c r="E21" s="2"/>
      <c r="F21" s="19"/>
      <c r="G21" s="2"/>
      <c r="H21" s="2">
        <f t="shared" si="7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ref="P21:P23" si="9">0</f>
        <v>0</v>
      </c>
      <c r="Q21" s="2"/>
      <c r="R21" s="19"/>
      <c r="S21" s="2"/>
      <c r="T21" s="2">
        <f>--2031.88</f>
        <v>2031.88</v>
      </c>
      <c r="U21" s="2"/>
      <c r="V21" s="19"/>
      <c r="W21" s="2"/>
      <c r="X21" s="2">
        <f t="shared" si="2"/>
        <v>-2031.88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"4134", " - ", "NON-TAXABLE SALES-SODA")</f>
        <v xml:space="preserve">          4134 - NON-TAXABLE SALES-SODA</v>
      </c>
      <c r="C22" s="11"/>
      <c r="D22" s="2">
        <f t="shared" si="8"/>
        <v>0</v>
      </c>
      <c r="E22" s="2"/>
      <c r="F22" s="19"/>
      <c r="G22" s="2"/>
      <c r="H22" s="2">
        <f t="shared" si="7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 t="shared" si="9"/>
        <v>0</v>
      </c>
      <c r="Q22" s="2"/>
      <c r="R22" s="19"/>
      <c r="S22" s="2"/>
      <c r="T22" s="2">
        <f t="shared" ref="T22:T23" si="10">0</f>
        <v>0</v>
      </c>
      <c r="U22" s="2"/>
      <c r="V22" s="19"/>
      <c r="W22" s="2"/>
      <c r="X22" s="2">
        <f t="shared" si="2"/>
        <v>0</v>
      </c>
      <c r="Y22" s="2"/>
      <c r="Z22" s="19">
        <f t="shared" si="3"/>
        <v>0</v>
      </c>
    </row>
    <row r="23" spans="1:26" s="24" customFormat="1" hidden="1" outlineLevel="1" x14ac:dyDescent="0.3">
      <c r="A23" s="44"/>
      <c r="B23" s="11" t="str">
        <f>CONCATENATE("          ", "4137", " - ", "NON-TAXABLE SALES-WATER")</f>
        <v xml:space="preserve">          4137 - NON-TAXABLE SALES-WATER</v>
      </c>
      <c r="C23" s="11"/>
      <c r="D23" s="2">
        <f t="shared" si="8"/>
        <v>0</v>
      </c>
      <c r="E23" s="2"/>
      <c r="F23" s="19"/>
      <c r="G23" s="2"/>
      <c r="H23" s="2">
        <f t="shared" si="7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si="9"/>
        <v>0</v>
      </c>
      <c r="Q23" s="2"/>
      <c r="R23" s="19"/>
      <c r="S23" s="2"/>
      <c r="T23" s="2">
        <f t="shared" si="10"/>
        <v>0</v>
      </c>
      <c r="U23" s="2"/>
      <c r="V23" s="19"/>
      <c r="W23" s="2"/>
      <c r="X23" s="2">
        <f t="shared" si="2"/>
        <v>0</v>
      </c>
      <c r="Y23" s="2"/>
      <c r="Z23" s="19">
        <f t="shared" si="3"/>
        <v>0</v>
      </c>
    </row>
    <row r="24" spans="1:26" s="24" customFormat="1" hidden="1" outlineLevel="1" x14ac:dyDescent="0.3">
      <c r="A24" s="44"/>
      <c r="B24" s="11" t="str">
        <f>CONCATENATE("          ", "4151", " - ", "NON-TAXABLE SALES-FOOD")</f>
        <v xml:space="preserve">          4151 - NON-TAXABLE SALES-FOOD</v>
      </c>
      <c r="C24" s="11"/>
      <c r="D24" s="2">
        <f>--82624.35</f>
        <v>82624.350000000006</v>
      </c>
      <c r="E24" s="2"/>
      <c r="F24" s="19"/>
      <c r="G24" s="2"/>
      <c r="H24" s="2">
        <f>--4078.51</f>
        <v>4078.51</v>
      </c>
      <c r="I24" s="2"/>
      <c r="J24" s="19"/>
      <c r="K24" s="2"/>
      <c r="L24" s="2">
        <f t="shared" si="0"/>
        <v>78545.840000000011</v>
      </c>
      <c r="M24" s="2"/>
      <c r="N24" s="19">
        <f t="shared" si="1"/>
        <v>19.258464488256742</v>
      </c>
      <c r="O24" s="11"/>
      <c r="P24" s="2">
        <f>--434545.9</f>
        <v>434545.9</v>
      </c>
      <c r="Q24" s="2"/>
      <c r="R24" s="19"/>
      <c r="S24" s="2"/>
      <c r="T24" s="2">
        <f>--22171.22</f>
        <v>22171.22</v>
      </c>
      <c r="U24" s="2"/>
      <c r="V24" s="19"/>
      <c r="W24" s="2"/>
      <c r="X24" s="2">
        <f t="shared" si="2"/>
        <v>412374.68000000005</v>
      </c>
      <c r="Y24" s="2"/>
      <c r="Z24" s="19">
        <f t="shared" si="3"/>
        <v>18.599548423586977</v>
      </c>
    </row>
    <row r="25" spans="1:26" s="24" customFormat="1" hidden="1" outlineLevel="1" x14ac:dyDescent="0.3">
      <c r="A25" s="44"/>
      <c r="B25" s="11" t="str">
        <f>CONCATENATE("          ", "4153", " - ", "NON-TAXABLE SALES-FOOD")</f>
        <v xml:space="preserve">          4153 - NON-TAXABLE SALES-FOOD</v>
      </c>
      <c r="C25" s="11"/>
      <c r="D25" s="2">
        <f>0</f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0</f>
        <v>0</v>
      </c>
      <c r="Q25" s="2"/>
      <c r="R25" s="19"/>
      <c r="S25" s="2"/>
      <c r="T25" s="2">
        <f>--110</f>
        <v>110</v>
      </c>
      <c r="U25" s="2"/>
      <c r="V25" s="19"/>
      <c r="W25" s="2"/>
      <c r="X25" s="2">
        <f t="shared" si="2"/>
        <v>-110</v>
      </c>
      <c r="Y25" s="2"/>
      <c r="Z25" s="19">
        <f t="shared" si="3"/>
        <v>-1</v>
      </c>
    </row>
    <row r="26" spans="1:26" x14ac:dyDescent="0.3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collapsed="1" x14ac:dyDescent="0.3">
      <c r="A27" s="10"/>
      <c r="B27" s="25" t="s">
        <v>256</v>
      </c>
      <c r="C27" s="10"/>
      <c r="D27" s="4">
        <f>SUM(OSRRefD16x_0)</f>
        <v>50419.22</v>
      </c>
      <c r="E27" s="4"/>
      <c r="F27" s="12">
        <f t="shared" ref="F27:F29" si="11">IF(D$12=0,0,D27/D$12)</f>
        <v>0.43321402435676565</v>
      </c>
      <c r="G27" s="4"/>
      <c r="H27" s="4">
        <f>SUM(OSRRefH16x_0)</f>
        <v>4487.45</v>
      </c>
      <c r="I27" s="4"/>
      <c r="J27" s="12">
        <f t="shared" ref="J27:J29" si="12">IF(H$12=0,0,H27/H$12)</f>
        <v>6.2178874576849862E-2</v>
      </c>
      <c r="K27" s="4"/>
      <c r="L27" s="4">
        <f t="shared" ref="L27:L29" si="13">+D27-H27</f>
        <v>45931.770000000004</v>
      </c>
      <c r="M27" s="4"/>
      <c r="N27" s="12">
        <f t="shared" ref="N27:N29" si="14">IF(H27=0,0,L27/H27)</f>
        <v>10.235605967754516</v>
      </c>
      <c r="O27" s="10"/>
      <c r="P27" s="4">
        <f>SUM(OSRRefP16x_0)</f>
        <v>280096.39999999997</v>
      </c>
      <c r="Q27" s="4"/>
      <c r="R27" s="12">
        <f t="shared" ref="R27:R29" si="15">IF(P$12=0,0,P27/P$12)</f>
        <v>0.42099768655716663</v>
      </c>
      <c r="S27" s="4"/>
      <c r="T27" s="4">
        <f>SUM(OSRRefT16x_0)</f>
        <v>27986.190000000002</v>
      </c>
      <c r="U27" s="4"/>
      <c r="V27" s="12">
        <f t="shared" ref="V27:V29" si="16">IF(T$12=0,0,T27/T$12)</f>
        <v>0.14220591038222621</v>
      </c>
      <c r="W27" s="4"/>
      <c r="X27" s="4">
        <f t="shared" ref="X27:X29" si="17">+P27-T27</f>
        <v>252110.20999999996</v>
      </c>
      <c r="Y27" s="4"/>
      <c r="Z27" s="12">
        <f t="shared" ref="Z27:Z29" si="18">IF(T27=0,0,X27/T27)</f>
        <v>9.008379132707951</v>
      </c>
    </row>
    <row r="28" spans="1:26" s="24" customFormat="1" hidden="1" outlineLevel="1" x14ac:dyDescent="0.3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25650.33</v>
      </c>
      <c r="E28" s="2"/>
      <c r="F28" s="19">
        <f t="shared" si="11"/>
        <v>0.22039378406447138</v>
      </c>
      <c r="G28" s="2"/>
      <c r="H28" s="2">
        <v>2122.4499999999998</v>
      </c>
      <c r="I28" s="2"/>
      <c r="J28" s="19">
        <f t="shared" si="12"/>
        <v>2.9409030149781051E-2</v>
      </c>
      <c r="K28" s="2"/>
      <c r="L28" s="2">
        <f t="shared" si="13"/>
        <v>23527.88</v>
      </c>
      <c r="M28" s="2"/>
      <c r="N28" s="19">
        <f t="shared" si="14"/>
        <v>11.085245824401047</v>
      </c>
      <c r="O28" s="11"/>
      <c r="P28" s="2">
        <v>258716.55</v>
      </c>
      <c r="Q28" s="2"/>
      <c r="R28" s="19">
        <f t="shared" si="15"/>
        <v>0.38886279518070038</v>
      </c>
      <c r="S28" s="2"/>
      <c r="T28" s="2">
        <v>10744.22</v>
      </c>
      <c r="U28" s="2"/>
      <c r="V28" s="19">
        <f t="shared" si="16"/>
        <v>5.459448343797145E-2</v>
      </c>
      <c r="W28" s="2"/>
      <c r="X28" s="2">
        <f t="shared" si="17"/>
        <v>247972.33</v>
      </c>
      <c r="Y28" s="2"/>
      <c r="Z28" s="19">
        <f t="shared" si="18"/>
        <v>23.07960280038942</v>
      </c>
    </row>
    <row r="29" spans="1:26" s="24" customFormat="1" hidden="1" outlineLevel="1" x14ac:dyDescent="0.3">
      <c r="A29" s="44"/>
      <c r="B29" s="11" t="str">
        <f>CONCATENATE("          ", "5059", " - ", "PURCHASES @ COST-FOOD")</f>
        <v xml:space="preserve">          5059 - PURCHASES @ COST-FOOD</v>
      </c>
      <c r="C29" s="11"/>
      <c r="D29" s="2">
        <v>24768.89</v>
      </c>
      <c r="E29" s="2"/>
      <c r="F29" s="19">
        <f t="shared" si="11"/>
        <v>0.21282024029229424</v>
      </c>
      <c r="G29" s="2"/>
      <c r="H29" s="2">
        <v>2365</v>
      </c>
      <c r="I29" s="2"/>
      <c r="J29" s="19">
        <f t="shared" si="12"/>
        <v>3.276984442706881E-2</v>
      </c>
      <c r="K29" s="2"/>
      <c r="L29" s="2">
        <f t="shared" si="13"/>
        <v>22403.89</v>
      </c>
      <c r="M29" s="2"/>
      <c r="N29" s="19">
        <f t="shared" si="14"/>
        <v>9.4731035940803388</v>
      </c>
      <c r="O29" s="11"/>
      <c r="P29" s="2">
        <v>21379.85</v>
      </c>
      <c r="Q29" s="2"/>
      <c r="R29" s="19">
        <f t="shared" si="15"/>
        <v>3.2134891376466246E-2</v>
      </c>
      <c r="S29" s="2"/>
      <c r="T29" s="2">
        <v>17241.97</v>
      </c>
      <c r="U29" s="2"/>
      <c r="V29" s="19">
        <f t="shared" si="16"/>
        <v>8.761142694425475E-2</v>
      </c>
      <c r="W29" s="2"/>
      <c r="X29" s="2">
        <f t="shared" si="17"/>
        <v>4137.8799999999974</v>
      </c>
      <c r="Y29" s="2"/>
      <c r="Z29" s="19">
        <f t="shared" si="18"/>
        <v>0.23998881798309574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10"/>
      <c r="B31" s="26" t="s">
        <v>107</v>
      </c>
      <c r="C31" s="26"/>
      <c r="D31" s="20">
        <f>D12-D27</f>
        <v>65964.87</v>
      </c>
      <c r="E31" s="13"/>
      <c r="F31" s="21">
        <f>IF(D$12=0,0,D31/D$12)</f>
        <v>0.56678597564323441</v>
      </c>
      <c r="G31" s="13"/>
      <c r="H31" s="20">
        <f>H12-H27</f>
        <v>67682.559999999998</v>
      </c>
      <c r="I31" s="13"/>
      <c r="J31" s="21">
        <f>IF(H$12=0,0,H31/H$12)</f>
        <v>0.93782112542315021</v>
      </c>
      <c r="K31" s="15"/>
      <c r="L31" s="20">
        <f>+D31-H31</f>
        <v>-1717.6900000000023</v>
      </c>
      <c r="M31" s="15"/>
      <c r="N31" s="21">
        <f>IF(H31=0,0,L31/H31)</f>
        <v>-2.5378620430432926E-2</v>
      </c>
      <c r="O31" s="25"/>
      <c r="P31" s="20">
        <f>P12-P27</f>
        <v>385219.37000000005</v>
      </c>
      <c r="Q31" s="13"/>
      <c r="R31" s="21">
        <f>IF(P$12=0,0,P31/P$12)</f>
        <v>0.57900231344283337</v>
      </c>
      <c r="S31" s="13"/>
      <c r="T31" s="20">
        <f>T12-T27</f>
        <v>168814.28000000003</v>
      </c>
      <c r="U31" s="13"/>
      <c r="V31" s="21">
        <f>IF(T$12=0,0,T31/T$12)</f>
        <v>0.85779408961777381</v>
      </c>
      <c r="W31" s="15"/>
      <c r="X31" s="20">
        <f>+P31-T31</f>
        <v>216405.09000000003</v>
      </c>
      <c r="Y31" s="15"/>
      <c r="Z31" s="21">
        <f>IF(T31=0,0,X31/T31)</f>
        <v>1.2819122292261056</v>
      </c>
    </row>
    <row r="32" spans="1:26" x14ac:dyDescent="0.3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3">
      <c r="A33" s="10"/>
      <c r="B33" s="25" t="s">
        <v>294</v>
      </c>
      <c r="C33" s="10"/>
      <c r="D33" s="22">
        <f>SUM(OSRRefD22x_0)</f>
        <v>200790.74</v>
      </c>
      <c r="E33" s="22"/>
      <c r="F33" s="34">
        <f t="shared" ref="F33:F42" si="19">IF(D$12=0,0,D33/D$12)</f>
        <v>1.7252421701282366</v>
      </c>
      <c r="G33" s="22"/>
      <c r="H33" s="22">
        <f>SUM(OSRRefH22x_0)</f>
        <v>136040.57</v>
      </c>
      <c r="I33" s="22"/>
      <c r="J33" s="34">
        <f t="shared" ref="J33:J42" si="20">IF(H$12=0,0,H33/H$12)</f>
        <v>1.8850014015516974</v>
      </c>
      <c r="K33" s="4"/>
      <c r="L33" s="22">
        <f t="shared" ref="L33:L42" si="21">+D33-H33</f>
        <v>64750.169999999984</v>
      </c>
      <c r="M33" s="4"/>
      <c r="N33" s="34">
        <f t="shared" ref="N33:N42" si="22">IF(H33=0,0,L33/H33)</f>
        <v>0.47596220745032147</v>
      </c>
      <c r="O33" s="10"/>
      <c r="P33" s="22">
        <f>SUM(OSRRefP22x_0)</f>
        <v>1191976.57</v>
      </c>
      <c r="Q33" s="22"/>
      <c r="R33" s="34">
        <f t="shared" ref="R33:R42" si="23">IF(P$12=0,0,P33/P$12)</f>
        <v>1.7915952450668651</v>
      </c>
      <c r="S33" s="22"/>
      <c r="T33" s="22">
        <f>SUM(OSRRefT22x_0)</f>
        <v>846853.37</v>
      </c>
      <c r="U33" s="22"/>
      <c r="V33" s="34">
        <f t="shared" ref="V33:V42" si="24">IF(T$12=0,0,T33/T$12)</f>
        <v>4.3031064407518942</v>
      </c>
      <c r="W33" s="4"/>
      <c r="X33" s="22">
        <f t="shared" ref="X33:X42" si="25">+P33-T33</f>
        <v>345123.20000000007</v>
      </c>
      <c r="Y33" s="4"/>
      <c r="Z33" s="34">
        <f t="shared" ref="Z33:Z42" si="26">IF(T33=0,0,X33/T33)</f>
        <v>0.40753595867487669</v>
      </c>
    </row>
    <row r="34" spans="1:26" s="29" customFormat="1" outlineLevel="1" collapsed="1" x14ac:dyDescent="0.3">
      <c r="A34" s="27"/>
      <c r="B34" s="14" t="str">
        <f>CONCATENATE("     ","*Benefits                                         ")</f>
        <v xml:space="preserve">     *Benefits                                         </v>
      </c>
      <c r="C34" s="14"/>
      <c r="D34" s="1">
        <f>SUM(OSRRefD22_0x_0)</f>
        <v>32222.719999999998</v>
      </c>
      <c r="E34" s="1"/>
      <c r="F34" s="5">
        <f t="shared" si="19"/>
        <v>0.27686533442844291</v>
      </c>
      <c r="G34" s="1"/>
      <c r="H34" s="1">
        <f>SUM(OSRRefH22_0x_0)</f>
        <v>20954.75</v>
      </c>
      <c r="I34" s="1"/>
      <c r="J34" s="5">
        <f t="shared" si="20"/>
        <v>0.29035259936918401</v>
      </c>
      <c r="K34" s="1"/>
      <c r="L34" s="1">
        <f t="shared" si="21"/>
        <v>11267.969999999998</v>
      </c>
      <c r="M34" s="1"/>
      <c r="N34" s="5">
        <f t="shared" si="22"/>
        <v>0.53772867726887685</v>
      </c>
      <c r="O34" s="14"/>
      <c r="P34" s="1">
        <f>SUM(OSRRefP22_0x_0)</f>
        <v>180450.49</v>
      </c>
      <c r="Q34" s="1"/>
      <c r="R34" s="5">
        <f t="shared" si="23"/>
        <v>0.27122533109353469</v>
      </c>
      <c r="S34" s="1"/>
      <c r="T34" s="1">
        <f>SUM(OSRRefT22_0x_0)</f>
        <v>166194.33000000002</v>
      </c>
      <c r="U34" s="1"/>
      <c r="V34" s="5">
        <f t="shared" si="24"/>
        <v>0.84448136734632795</v>
      </c>
      <c r="W34" s="1"/>
      <c r="X34" s="1">
        <f t="shared" si="25"/>
        <v>14256.159999999974</v>
      </c>
      <c r="Y34" s="1"/>
      <c r="Z34" s="5">
        <f t="shared" si="26"/>
        <v>8.5780062412478056E-2</v>
      </c>
    </row>
    <row r="35" spans="1:26" s="24" customFormat="1" hidden="1" outlineLevel="2" x14ac:dyDescent="0.3">
      <c r="A35" s="28"/>
      <c r="B35" s="11" t="str">
        <f>CONCATENATE("          ", "6111", " - ", "F.I.C.A.")</f>
        <v xml:space="preserve">          6111 - F.I.C.A.</v>
      </c>
      <c r="C35" s="11"/>
      <c r="D35" s="6">
        <v>5068.42</v>
      </c>
      <c r="E35" s="2"/>
      <c r="F35" s="7">
        <f t="shared" si="19"/>
        <v>4.3549079603578122E-2</v>
      </c>
      <c r="G35" s="2"/>
      <c r="H35" s="6">
        <v>1575.88</v>
      </c>
      <c r="I35" s="2"/>
      <c r="J35" s="7">
        <f t="shared" si="20"/>
        <v>2.1835662763521859E-2</v>
      </c>
      <c r="K35" s="2"/>
      <c r="L35" s="6">
        <f t="shared" si="21"/>
        <v>3492.54</v>
      </c>
      <c r="M35" s="2"/>
      <c r="N35" s="7">
        <f t="shared" si="22"/>
        <v>2.2162474300073609</v>
      </c>
      <c r="O35" s="11"/>
      <c r="P35" s="6">
        <v>27738.880000000001</v>
      </c>
      <c r="Q35" s="2"/>
      <c r="R35" s="7">
        <f t="shared" si="23"/>
        <v>4.1692804004931375E-2</v>
      </c>
      <c r="S35" s="2"/>
      <c r="T35" s="6">
        <v>19554.46</v>
      </c>
      <c r="U35" s="2"/>
      <c r="V35" s="7">
        <f t="shared" si="24"/>
        <v>9.9361856198819015E-2</v>
      </c>
      <c r="W35" s="2"/>
      <c r="X35" s="6">
        <f t="shared" si="25"/>
        <v>8184.4200000000019</v>
      </c>
      <c r="Y35" s="2"/>
      <c r="Z35" s="7">
        <f t="shared" si="26"/>
        <v>0.41854492530092891</v>
      </c>
    </row>
    <row r="36" spans="1:26" s="24" customFormat="1" hidden="1" outlineLevel="2" x14ac:dyDescent="0.3">
      <c r="A36" s="28"/>
      <c r="B36" s="11" t="str">
        <f>CONCATENATE("          ", "6112", " - ", "COMPENSATION INSURANCE")</f>
        <v xml:space="preserve">          6112 - COMPENSATION INSURANCE</v>
      </c>
      <c r="C36" s="11"/>
      <c r="D36" s="6">
        <v>2388.9299999999998</v>
      </c>
      <c r="E36" s="2"/>
      <c r="F36" s="7">
        <f t="shared" si="19"/>
        <v>2.0526259216358523E-2</v>
      </c>
      <c r="G36" s="2"/>
      <c r="H36" s="6">
        <v>1146.3</v>
      </c>
      <c r="I36" s="2"/>
      <c r="J36" s="7">
        <f t="shared" si="20"/>
        <v>1.5883328823149672E-2</v>
      </c>
      <c r="K36" s="2"/>
      <c r="L36" s="6">
        <f t="shared" si="21"/>
        <v>1242.6299999999999</v>
      </c>
      <c r="M36" s="2"/>
      <c r="N36" s="7">
        <f t="shared" si="22"/>
        <v>1.08403559277676</v>
      </c>
      <c r="O36" s="11"/>
      <c r="P36" s="6">
        <v>12611.41</v>
      </c>
      <c r="Q36" s="2"/>
      <c r="R36" s="7">
        <f t="shared" si="23"/>
        <v>1.8955525434185935E-2</v>
      </c>
      <c r="S36" s="2"/>
      <c r="T36" s="6">
        <v>5787.37</v>
      </c>
      <c r="U36" s="2"/>
      <c r="V36" s="7">
        <f t="shared" si="24"/>
        <v>2.9407297655335878E-2</v>
      </c>
      <c r="W36" s="2"/>
      <c r="X36" s="6">
        <f t="shared" si="25"/>
        <v>6824.04</v>
      </c>
      <c r="Y36" s="2"/>
      <c r="Z36" s="7">
        <f t="shared" si="26"/>
        <v>1.1791262697909413</v>
      </c>
    </row>
    <row r="37" spans="1:26" s="24" customFormat="1" hidden="1" outlineLevel="2" x14ac:dyDescent="0.3">
      <c r="A37" s="28"/>
      <c r="B37" s="11" t="str">
        <f>CONCATENATE("          ", "6113", " - ", "GROUP INSURANCE")</f>
        <v xml:space="preserve">          6113 - GROUP INSURANCE</v>
      </c>
      <c r="C37" s="11"/>
      <c r="D37" s="6">
        <v>12673.39</v>
      </c>
      <c r="E37" s="2"/>
      <c r="F37" s="7">
        <f t="shared" si="19"/>
        <v>0.10889280484987252</v>
      </c>
      <c r="G37" s="2"/>
      <c r="H37" s="6">
        <v>11290.38</v>
      </c>
      <c r="I37" s="2"/>
      <c r="J37" s="7">
        <f t="shared" si="20"/>
        <v>0.15644143599259583</v>
      </c>
      <c r="K37" s="2"/>
      <c r="L37" s="6">
        <f t="shared" si="21"/>
        <v>1383.0100000000002</v>
      </c>
      <c r="M37" s="2"/>
      <c r="N37" s="7">
        <f t="shared" si="22"/>
        <v>0.12249454845629645</v>
      </c>
      <c r="O37" s="11"/>
      <c r="P37" s="6">
        <v>74965.37</v>
      </c>
      <c r="Q37" s="2"/>
      <c r="R37" s="7">
        <f t="shared" si="23"/>
        <v>0.11267637621155439</v>
      </c>
      <c r="S37" s="2"/>
      <c r="T37" s="6">
        <v>78999.570000000007</v>
      </c>
      <c r="U37" s="2"/>
      <c r="V37" s="7">
        <f t="shared" si="24"/>
        <v>0.40141962059338576</v>
      </c>
      <c r="W37" s="2"/>
      <c r="X37" s="6">
        <f t="shared" si="25"/>
        <v>-4034.2000000000116</v>
      </c>
      <c r="Y37" s="2"/>
      <c r="Z37" s="7">
        <f t="shared" si="26"/>
        <v>-5.1066100739535811E-2</v>
      </c>
    </row>
    <row r="38" spans="1:26" s="24" customFormat="1" hidden="1" outlineLevel="2" x14ac:dyDescent="0.3">
      <c r="A38" s="28"/>
      <c r="B38" s="11" t="str">
        <f>CONCATENATE("          ", "6114", " - ", "STATE UNEMPLOYMENT INSURANCE")</f>
        <v xml:space="preserve">          6114 - STATE UNEMPLOYMENT INSURANCE</v>
      </c>
      <c r="C38" s="11"/>
      <c r="D38" s="6">
        <v>213.56</v>
      </c>
      <c r="E38" s="2"/>
      <c r="F38" s="7">
        <f t="shared" si="19"/>
        <v>1.8349587129993456E-3</v>
      </c>
      <c r="G38" s="2"/>
      <c r="H38" s="6"/>
      <c r="I38" s="2"/>
      <c r="J38" s="7">
        <f t="shared" si="20"/>
        <v>0</v>
      </c>
      <c r="K38" s="2"/>
      <c r="L38" s="6">
        <f t="shared" si="21"/>
        <v>213.56</v>
      </c>
      <c r="M38" s="2"/>
      <c r="N38" s="7">
        <f t="shared" si="22"/>
        <v>0</v>
      </c>
      <c r="O38" s="11"/>
      <c r="P38" s="6">
        <v>1142.25</v>
      </c>
      <c r="Q38" s="2"/>
      <c r="R38" s="7">
        <f t="shared" si="23"/>
        <v>1.7168539383937945E-3</v>
      </c>
      <c r="S38" s="2"/>
      <c r="T38" s="6">
        <v>640.41999999999996</v>
      </c>
      <c r="U38" s="2"/>
      <c r="V38" s="7">
        <f t="shared" si="24"/>
        <v>3.2541588950473536E-3</v>
      </c>
      <c r="W38" s="2"/>
      <c r="X38" s="6">
        <f t="shared" si="25"/>
        <v>501.83000000000004</v>
      </c>
      <c r="Y38" s="2"/>
      <c r="Z38" s="7">
        <f t="shared" si="26"/>
        <v>0.783595140688923</v>
      </c>
    </row>
    <row r="39" spans="1:26" s="24" customFormat="1" hidden="1" outlineLevel="2" x14ac:dyDescent="0.3">
      <c r="A39" s="28"/>
      <c r="B39" s="11" t="str">
        <f>CONCATENATE("          ", "6115", " - ", "P.E.R.S.")</f>
        <v xml:space="preserve">          6115 - P.E.R.S.</v>
      </c>
      <c r="C39" s="11"/>
      <c r="D39" s="6">
        <v>3682.62</v>
      </c>
      <c r="E39" s="2"/>
      <c r="F39" s="7">
        <f t="shared" si="19"/>
        <v>3.1641953810009601E-2</v>
      </c>
      <c r="G39" s="2"/>
      <c r="H39" s="6">
        <v>2748.35</v>
      </c>
      <c r="I39" s="2"/>
      <c r="J39" s="7">
        <f t="shared" si="20"/>
        <v>3.8081607581875079E-2</v>
      </c>
      <c r="K39" s="2"/>
      <c r="L39" s="6">
        <f t="shared" si="21"/>
        <v>934.27</v>
      </c>
      <c r="M39" s="2"/>
      <c r="N39" s="7">
        <f t="shared" si="22"/>
        <v>0.33993850855968127</v>
      </c>
      <c r="O39" s="11"/>
      <c r="P39" s="6">
        <v>21030.74</v>
      </c>
      <c r="Q39" s="2"/>
      <c r="R39" s="7">
        <f t="shared" si="23"/>
        <v>3.1610163095938643E-2</v>
      </c>
      <c r="S39" s="2"/>
      <c r="T39" s="6">
        <v>25789.77</v>
      </c>
      <c r="U39" s="2"/>
      <c r="V39" s="7">
        <f t="shared" si="24"/>
        <v>0.13104526630449612</v>
      </c>
      <c r="W39" s="2"/>
      <c r="X39" s="6">
        <f t="shared" si="25"/>
        <v>-4759.0299999999988</v>
      </c>
      <c r="Y39" s="2"/>
      <c r="Z39" s="7">
        <f t="shared" si="26"/>
        <v>-0.18453169609500197</v>
      </c>
    </row>
    <row r="40" spans="1:26" s="24" customFormat="1" hidden="1" outlineLevel="2" x14ac:dyDescent="0.3">
      <c r="A40" s="28"/>
      <c r="B40" s="11" t="str">
        <f>CONCATENATE("          ", "6118", " - ", "VACATION")</f>
        <v xml:space="preserve">          6118 - VACATION</v>
      </c>
      <c r="C40" s="11"/>
      <c r="D40" s="6">
        <v>3610.56</v>
      </c>
      <c r="E40" s="2"/>
      <c r="F40" s="7">
        <f t="shared" si="19"/>
        <v>3.1022797016327576E-2</v>
      </c>
      <c r="G40" s="2"/>
      <c r="H40" s="6">
        <v>2400.38</v>
      </c>
      <c r="I40" s="2"/>
      <c r="J40" s="7">
        <f t="shared" si="20"/>
        <v>3.3260075757229356E-2</v>
      </c>
      <c r="K40" s="2"/>
      <c r="L40" s="6">
        <f t="shared" si="21"/>
        <v>1210.1799999999998</v>
      </c>
      <c r="M40" s="2"/>
      <c r="N40" s="7">
        <f t="shared" si="22"/>
        <v>0.50416184104183492</v>
      </c>
      <c r="O40" s="11"/>
      <c r="P40" s="6">
        <v>20359.830000000002</v>
      </c>
      <c r="Q40" s="2"/>
      <c r="R40" s="7">
        <f t="shared" si="23"/>
        <v>3.0601754712653213E-2</v>
      </c>
      <c r="S40" s="2"/>
      <c r="T40" s="6">
        <v>19471.3</v>
      </c>
      <c r="U40" s="2"/>
      <c r="V40" s="7">
        <f t="shared" si="24"/>
        <v>9.8939296232371785E-2</v>
      </c>
      <c r="W40" s="2"/>
      <c r="X40" s="6">
        <f t="shared" si="25"/>
        <v>888.53000000000247</v>
      </c>
      <c r="Y40" s="2"/>
      <c r="Z40" s="7">
        <f t="shared" si="26"/>
        <v>4.5632803151304871E-2</v>
      </c>
    </row>
    <row r="41" spans="1:26" s="24" customFormat="1" hidden="1" outlineLevel="2" x14ac:dyDescent="0.3">
      <c r="A41" s="28"/>
      <c r="B41" s="11" t="str">
        <f>CONCATENATE("          ", "6119", " - ", "SICK LEAVE")</f>
        <v xml:space="preserve">          6119 - SICK LEAVE</v>
      </c>
      <c r="C41" s="11"/>
      <c r="D41" s="6">
        <v>2592.46</v>
      </c>
      <c r="E41" s="2"/>
      <c r="F41" s="7">
        <f t="shared" si="19"/>
        <v>2.2275037765041597E-2</v>
      </c>
      <c r="G41" s="2"/>
      <c r="H41" s="6">
        <v>1368.1</v>
      </c>
      <c r="I41" s="2"/>
      <c r="J41" s="7">
        <f t="shared" si="20"/>
        <v>1.8956627552081537E-2</v>
      </c>
      <c r="K41" s="2"/>
      <c r="L41" s="6">
        <f t="shared" si="21"/>
        <v>1224.3600000000001</v>
      </c>
      <c r="M41" s="2"/>
      <c r="N41" s="7">
        <f t="shared" si="22"/>
        <v>0.89493458080549682</v>
      </c>
      <c r="O41" s="11"/>
      <c r="P41" s="6">
        <v>13446.51</v>
      </c>
      <c r="Q41" s="2"/>
      <c r="R41" s="7">
        <f t="shared" si="23"/>
        <v>2.0210718889167471E-2</v>
      </c>
      <c r="S41" s="2"/>
      <c r="T41" s="6">
        <v>11806.74</v>
      </c>
      <c r="U41" s="2"/>
      <c r="V41" s="7">
        <f t="shared" si="24"/>
        <v>5.9993454283925225E-2</v>
      </c>
      <c r="W41" s="2"/>
      <c r="X41" s="6">
        <f t="shared" si="25"/>
        <v>1639.7700000000004</v>
      </c>
      <c r="Y41" s="2"/>
      <c r="Z41" s="7">
        <f t="shared" si="26"/>
        <v>0.13888423053272966</v>
      </c>
    </row>
    <row r="42" spans="1:26" s="24" customFormat="1" hidden="1" outlineLevel="2" x14ac:dyDescent="0.3">
      <c r="A42" s="28"/>
      <c r="B42" s="11" t="str">
        <f>CONCATENATE("          ", "6156", " - ", "EMPLOYEE MEALS")</f>
        <v xml:space="preserve">          6156 - EMPLOYEE MEALS</v>
      </c>
      <c r="C42" s="11"/>
      <c r="D42" s="6">
        <v>1992.78</v>
      </c>
      <c r="E42" s="2"/>
      <c r="F42" s="7">
        <f t="shared" si="19"/>
        <v>1.7122443454255648E-2</v>
      </c>
      <c r="G42" s="2"/>
      <c r="H42" s="6">
        <v>425.36</v>
      </c>
      <c r="I42" s="2"/>
      <c r="J42" s="7">
        <f t="shared" si="20"/>
        <v>5.8938608987306506E-3</v>
      </c>
      <c r="K42" s="2"/>
      <c r="L42" s="6">
        <f t="shared" si="21"/>
        <v>1567.42</v>
      </c>
      <c r="M42" s="2"/>
      <c r="N42" s="7">
        <f t="shared" si="22"/>
        <v>3.6849257099868349</v>
      </c>
      <c r="O42" s="11"/>
      <c r="P42" s="6">
        <v>9155.5</v>
      </c>
      <c r="Q42" s="2"/>
      <c r="R42" s="7">
        <f t="shared" si="23"/>
        <v>1.3761134806709902E-2</v>
      </c>
      <c r="S42" s="2"/>
      <c r="T42" s="6">
        <v>4144.7</v>
      </c>
      <c r="U42" s="2"/>
      <c r="V42" s="7">
        <f t="shared" si="24"/>
        <v>2.1060417182946763E-2</v>
      </c>
      <c r="W42" s="2"/>
      <c r="X42" s="6">
        <f t="shared" si="25"/>
        <v>5010.8</v>
      </c>
      <c r="Y42" s="2"/>
      <c r="Z42" s="7">
        <f t="shared" si="26"/>
        <v>1.2089656669964051</v>
      </c>
    </row>
    <row r="43" spans="1:26" s="29" customFormat="1" outlineLevel="1" collapsed="1" x14ac:dyDescent="0.3">
      <c r="A43" s="27"/>
      <c r="B43" s="14" t="str">
        <f>CONCATENATE("     ","*Payroll                                          ")</f>
        <v xml:space="preserve">     *Payroll                                          </v>
      </c>
      <c r="C43" s="14"/>
      <c r="D43" s="1">
        <f>SUM(OSRRefD22_1x_0)</f>
        <v>76083.17</v>
      </c>
      <c r="E43" s="1"/>
      <c r="F43" s="5">
        <f t="shared" ref="F43:F48" si="27">IF(D$12=0,0,D43/D$12)</f>
        <v>0.65372483472612108</v>
      </c>
      <c r="G43" s="1"/>
      <c r="H43" s="1">
        <f>SUM(OSRRefH22_1x_0)</f>
        <v>24458.49</v>
      </c>
      <c r="I43" s="1"/>
      <c r="J43" s="5">
        <f t="shared" ref="J43:J48" si="28">IF(H$12=0,0,H43/H$12)</f>
        <v>0.33890101996660388</v>
      </c>
      <c r="K43" s="1"/>
      <c r="L43" s="1">
        <f t="shared" ref="L43:L48" si="29">+D43-H43</f>
        <v>51624.679999999993</v>
      </c>
      <c r="M43" s="1"/>
      <c r="N43" s="5">
        <f t="shared" ref="N43:N48" si="30">IF(H43=0,0,L43/H43)</f>
        <v>2.110705934830809</v>
      </c>
      <c r="O43" s="14"/>
      <c r="P43" s="1">
        <f>SUM(OSRRefP22_1x_0)</f>
        <v>416451.29</v>
      </c>
      <c r="Q43" s="1"/>
      <c r="R43" s="5">
        <f t="shared" ref="R43:R48" si="31">IF(P$12=0,0,P43/P$12)</f>
        <v>0.62594531616167759</v>
      </c>
      <c r="S43" s="1"/>
      <c r="T43" s="1">
        <f>SUM(OSRRefT22_1x_0)</f>
        <v>220892.04000000004</v>
      </c>
      <c r="U43" s="1"/>
      <c r="V43" s="5">
        <f t="shared" ref="V43:V48" si="32">IF(T$12=0,0,T43/T$12)</f>
        <v>1.1224162218718279</v>
      </c>
      <c r="W43" s="1"/>
      <c r="X43" s="1">
        <f t="shared" ref="X43:X48" si="33">+P43-T43</f>
        <v>195559.24999999994</v>
      </c>
      <c r="Y43" s="1"/>
      <c r="Z43" s="5">
        <f t="shared" ref="Z43:Z48" si="34">IF(T43=0,0,X43/T43)</f>
        <v>0.88531596702171755</v>
      </c>
    </row>
    <row r="44" spans="1:26" s="24" customFormat="1" hidden="1" outlineLevel="2" x14ac:dyDescent="0.3">
      <c r="A44" s="28"/>
      <c r="B44" s="11" t="str">
        <f>CONCATENATE("          ", "6001", " - ", "ADMINISTRATIVE SALARIES")</f>
        <v xml:space="preserve">          6001 - ADMINISTRATIVE SALARIES</v>
      </c>
      <c r="C44" s="11"/>
      <c r="D44" s="6">
        <v>10936.46</v>
      </c>
      <c r="E44" s="2"/>
      <c r="F44" s="7">
        <f t="shared" si="27"/>
        <v>9.3968685926057408E-2</v>
      </c>
      <c r="G44" s="2"/>
      <c r="H44" s="6">
        <v>8855.42</v>
      </c>
      <c r="I44" s="2"/>
      <c r="J44" s="7">
        <f t="shared" si="28"/>
        <v>0.12270221384201001</v>
      </c>
      <c r="K44" s="2"/>
      <c r="L44" s="6">
        <f t="shared" si="29"/>
        <v>2081.0399999999991</v>
      </c>
      <c r="M44" s="2"/>
      <c r="N44" s="7">
        <f t="shared" si="30"/>
        <v>0.2350018406806226</v>
      </c>
      <c r="O44" s="11"/>
      <c r="P44" s="6">
        <v>63869.77</v>
      </c>
      <c r="Q44" s="2"/>
      <c r="R44" s="7">
        <f t="shared" si="31"/>
        <v>9.5999182463388774E-2</v>
      </c>
      <c r="S44" s="2"/>
      <c r="T44" s="6">
        <v>62679.8</v>
      </c>
      <c r="U44" s="2"/>
      <c r="V44" s="7">
        <f t="shared" si="32"/>
        <v>0.3184941580678135</v>
      </c>
      <c r="W44" s="2"/>
      <c r="X44" s="6">
        <f t="shared" si="33"/>
        <v>1189.9699999999939</v>
      </c>
      <c r="Y44" s="2"/>
      <c r="Z44" s="7">
        <f t="shared" si="34"/>
        <v>1.8984904227518178E-2</v>
      </c>
    </row>
    <row r="45" spans="1:26" s="24" customFormat="1" hidden="1" outlineLevel="2" x14ac:dyDescent="0.3">
      <c r="A45" s="28"/>
      <c r="B45" s="11" t="str">
        <f>CONCATENATE("          ", "6002", " - ", "STAFF SALARIES")</f>
        <v xml:space="preserve">          6002 - STAFF SALARIES</v>
      </c>
      <c r="C45" s="11"/>
      <c r="D45" s="6">
        <v>24011.85</v>
      </c>
      <c r="E45" s="2"/>
      <c r="F45" s="7">
        <f t="shared" si="27"/>
        <v>0.20631557114035087</v>
      </c>
      <c r="G45" s="2"/>
      <c r="H45" s="6">
        <v>12942.91</v>
      </c>
      <c r="I45" s="2"/>
      <c r="J45" s="7">
        <f t="shared" si="28"/>
        <v>0.17933917426365883</v>
      </c>
      <c r="K45" s="2"/>
      <c r="L45" s="6">
        <f t="shared" si="29"/>
        <v>11068.939999999999</v>
      </c>
      <c r="M45" s="2"/>
      <c r="N45" s="7">
        <f t="shared" si="30"/>
        <v>0.85521262220010796</v>
      </c>
      <c r="O45" s="11"/>
      <c r="P45" s="6">
        <v>134948.25</v>
      </c>
      <c r="Q45" s="2"/>
      <c r="R45" s="7">
        <f t="shared" si="31"/>
        <v>0.20283338541637153</v>
      </c>
      <c r="S45" s="2"/>
      <c r="T45" s="6">
        <v>132749.23000000001</v>
      </c>
      <c r="U45" s="2"/>
      <c r="V45" s="7">
        <f t="shared" si="32"/>
        <v>0.6745371593878815</v>
      </c>
      <c r="W45" s="2"/>
      <c r="X45" s="6">
        <f t="shared" si="33"/>
        <v>2199.0199999999895</v>
      </c>
      <c r="Y45" s="2"/>
      <c r="Z45" s="7">
        <f t="shared" si="34"/>
        <v>1.6565218495052585E-2</v>
      </c>
    </row>
    <row r="46" spans="1:26" s="24" customFormat="1" hidden="1" outlineLevel="2" x14ac:dyDescent="0.3">
      <c r="A46" s="28"/>
      <c r="B46" s="11" t="str">
        <f>CONCATENATE("          ", "6004", " - ", "STAFF HOURLY")</f>
        <v xml:space="preserve">          6004 - STAFF HOURLY</v>
      </c>
      <c r="C46" s="11"/>
      <c r="D46" s="6">
        <v>13267.98</v>
      </c>
      <c r="E46" s="2"/>
      <c r="F46" s="7">
        <f t="shared" si="27"/>
        <v>0.1140016646605219</v>
      </c>
      <c r="G46" s="2"/>
      <c r="H46" s="6">
        <v>2426.3000000000002</v>
      </c>
      <c r="I46" s="2"/>
      <c r="J46" s="7">
        <f t="shared" si="28"/>
        <v>3.3619227709681627E-2</v>
      </c>
      <c r="K46" s="2"/>
      <c r="L46" s="6">
        <f t="shared" si="29"/>
        <v>10841.68</v>
      </c>
      <c r="M46" s="2"/>
      <c r="N46" s="7">
        <f t="shared" si="30"/>
        <v>4.4684004451222021</v>
      </c>
      <c r="O46" s="11"/>
      <c r="P46" s="6">
        <v>59125.120000000003</v>
      </c>
      <c r="Q46" s="2"/>
      <c r="R46" s="7">
        <f t="shared" si="31"/>
        <v>8.8867756734520215E-2</v>
      </c>
      <c r="S46" s="2"/>
      <c r="T46" s="6">
        <v>20524.63</v>
      </c>
      <c r="U46" s="2"/>
      <c r="V46" s="7">
        <f t="shared" si="32"/>
        <v>0.10429157003537642</v>
      </c>
      <c r="W46" s="2"/>
      <c r="X46" s="6">
        <f t="shared" si="33"/>
        <v>38600.490000000005</v>
      </c>
      <c r="Y46" s="2"/>
      <c r="Z46" s="7">
        <f t="shared" si="34"/>
        <v>1.8806911500962504</v>
      </c>
    </row>
    <row r="47" spans="1:26" s="24" customFormat="1" hidden="1" outlineLevel="2" x14ac:dyDescent="0.3">
      <c r="A47" s="28"/>
      <c r="B47" s="11" t="str">
        <f>CONCATENATE("          ", "6005", " - ", "TEMPORARY WAGES-HOURLY")</f>
        <v xml:space="preserve">          6005 - TEMPORARY WAGES-HOURLY</v>
      </c>
      <c r="C47" s="11"/>
      <c r="D47" s="6">
        <v>13727.83</v>
      </c>
      <c r="E47" s="2"/>
      <c r="F47" s="7">
        <f t="shared" si="27"/>
        <v>0.11795280609231039</v>
      </c>
      <c r="G47" s="2"/>
      <c r="H47" s="6">
        <v>233.86</v>
      </c>
      <c r="I47" s="2"/>
      <c r="J47" s="7">
        <f t="shared" si="28"/>
        <v>3.2404041512534088E-3</v>
      </c>
      <c r="K47" s="2"/>
      <c r="L47" s="6">
        <f t="shared" si="29"/>
        <v>13493.97</v>
      </c>
      <c r="M47" s="2"/>
      <c r="N47" s="7">
        <f t="shared" si="30"/>
        <v>57.701060463525181</v>
      </c>
      <c r="O47" s="11"/>
      <c r="P47" s="6">
        <v>75682.47</v>
      </c>
      <c r="Q47" s="2"/>
      <c r="R47" s="7">
        <f t="shared" si="31"/>
        <v>0.11375421027522013</v>
      </c>
      <c r="S47" s="2"/>
      <c r="T47" s="6">
        <v>4868.67</v>
      </c>
      <c r="U47" s="2"/>
      <c r="V47" s="7">
        <f t="shared" si="32"/>
        <v>2.4739117747025703E-2</v>
      </c>
      <c r="W47" s="2"/>
      <c r="X47" s="6">
        <f t="shared" si="33"/>
        <v>70813.8</v>
      </c>
      <c r="Y47" s="2"/>
      <c r="Z47" s="7">
        <f t="shared" si="34"/>
        <v>14.544793547313743</v>
      </c>
    </row>
    <row r="48" spans="1:26" s="24" customFormat="1" hidden="1" outlineLevel="2" x14ac:dyDescent="0.3">
      <c r="A48" s="28"/>
      <c r="B48" s="11" t="str">
        <f>CONCATENATE("          ", "6007", " - ", "STUDENT HOURLY")</f>
        <v xml:space="preserve">          6007 - STUDENT HOURLY</v>
      </c>
      <c r="C48" s="11"/>
      <c r="D48" s="6">
        <v>14139.05</v>
      </c>
      <c r="E48" s="2"/>
      <c r="F48" s="7">
        <f t="shared" si="27"/>
        <v>0.12148610690688048</v>
      </c>
      <c r="G48" s="2"/>
      <c r="H48" s="6"/>
      <c r="I48" s="2"/>
      <c r="J48" s="7">
        <f t="shared" si="28"/>
        <v>0</v>
      </c>
      <c r="K48" s="2"/>
      <c r="L48" s="6">
        <f t="shared" si="29"/>
        <v>14139.05</v>
      </c>
      <c r="M48" s="2"/>
      <c r="N48" s="7">
        <f t="shared" si="30"/>
        <v>0</v>
      </c>
      <c r="O48" s="11"/>
      <c r="P48" s="6">
        <v>82825.679999999993</v>
      </c>
      <c r="Q48" s="2"/>
      <c r="R48" s="7">
        <f t="shared" si="31"/>
        <v>0.12449078127217696</v>
      </c>
      <c r="S48" s="2"/>
      <c r="T48" s="6">
        <v>69.709999999999994</v>
      </c>
      <c r="U48" s="2"/>
      <c r="V48" s="7">
        <f t="shared" si="32"/>
        <v>3.5421663373060025E-4</v>
      </c>
      <c r="W48" s="2"/>
      <c r="X48" s="6">
        <f t="shared" si="33"/>
        <v>82755.969999999987</v>
      </c>
      <c r="Y48" s="2"/>
      <c r="Z48" s="7">
        <f t="shared" si="34"/>
        <v>1187.1463204705205</v>
      </c>
    </row>
    <row r="49" spans="1:26" s="29" customFormat="1" outlineLevel="1" collapsed="1" x14ac:dyDescent="0.3">
      <c r="A49" s="27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SUM(OSRRefD22_2x_0)</f>
        <v>43.53</v>
      </c>
      <c r="E49" s="1"/>
      <c r="F49" s="5">
        <f t="shared" ref="F49:F57" si="35">IF(D$12=0,0,D49/D$12)</f>
        <v>3.7402019468468588E-4</v>
      </c>
      <c r="G49" s="1"/>
      <c r="H49" s="1">
        <f>SUM(OSRRefH22_2x_0)</f>
        <v>7.42</v>
      </c>
      <c r="I49" s="1"/>
      <c r="J49" s="5">
        <f t="shared" ref="J49:J57" si="36">IF(H$12=0,0,H49/H$12)</f>
        <v>1.0281278885786493E-4</v>
      </c>
      <c r="K49" s="1"/>
      <c r="L49" s="1">
        <f t="shared" ref="L49:L57" si="37">+D49-H49</f>
        <v>36.11</v>
      </c>
      <c r="M49" s="1"/>
      <c r="N49" s="5">
        <f t="shared" ref="N49:N57" si="38">IF(H49=0,0,L49/H49)</f>
        <v>4.8665768194070083</v>
      </c>
      <c r="O49" s="14"/>
      <c r="P49" s="1">
        <f>SUM(OSRRefP22_2x_0)</f>
        <v>1004.58</v>
      </c>
      <c r="Q49" s="1"/>
      <c r="R49" s="5">
        <f t="shared" ref="R49:R57" si="39">IF(P$12=0,0,P49/P$12)</f>
        <v>1.5099296383730692E-3</v>
      </c>
      <c r="S49" s="1"/>
      <c r="T49" s="1">
        <f>SUM(OSRRefT22_2x_0)</f>
        <v>133.94999999999999</v>
      </c>
      <c r="U49" s="1"/>
      <c r="V49" s="5">
        <f t="shared" ref="V49:V57" si="40">IF(T$12=0,0,T49/T$12)</f>
        <v>6.8063861839354331E-4</v>
      </c>
      <c r="W49" s="1"/>
      <c r="X49" s="1">
        <f t="shared" ref="X49:X57" si="41">+P49-T49</f>
        <v>870.63000000000011</v>
      </c>
      <c r="Y49" s="1"/>
      <c r="Z49" s="5">
        <f t="shared" ref="Z49:Z57" si="42">IF(T49=0,0,X49/T49)</f>
        <v>6.4996640537514008</v>
      </c>
    </row>
    <row r="50" spans="1:26" s="24" customFormat="1" hidden="1" outlineLevel="2" x14ac:dyDescent="0.3">
      <c r="A50" s="28"/>
      <c r="B50" s="11" t="str">
        <f>CONCATENATE("          ", "6362", " - ", "ADVERTISING EXPENSE")</f>
        <v xml:space="preserve">          6362 - ADVERTISING EXPENSE</v>
      </c>
      <c r="C50" s="11"/>
      <c r="D50" s="6">
        <v>43.53</v>
      </c>
      <c r="E50" s="2"/>
      <c r="F50" s="7">
        <f t="shared" si="35"/>
        <v>3.7402019468468588E-4</v>
      </c>
      <c r="G50" s="2"/>
      <c r="H50" s="6">
        <v>7.42</v>
      </c>
      <c r="I50" s="2"/>
      <c r="J50" s="7">
        <f t="shared" si="36"/>
        <v>1.0281278885786493E-4</v>
      </c>
      <c r="K50" s="2"/>
      <c r="L50" s="6">
        <f t="shared" si="37"/>
        <v>36.11</v>
      </c>
      <c r="M50" s="2"/>
      <c r="N50" s="7">
        <f t="shared" si="38"/>
        <v>4.8665768194070083</v>
      </c>
      <c r="O50" s="11"/>
      <c r="P50" s="6">
        <v>1004.58</v>
      </c>
      <c r="Q50" s="2"/>
      <c r="R50" s="7">
        <f t="shared" si="39"/>
        <v>1.5099296383730692E-3</v>
      </c>
      <c r="S50" s="2"/>
      <c r="T50" s="6">
        <v>133.94999999999999</v>
      </c>
      <c r="U50" s="2"/>
      <c r="V50" s="7">
        <f t="shared" si="40"/>
        <v>6.8063861839354331E-4</v>
      </c>
      <c r="W50" s="2"/>
      <c r="X50" s="6">
        <f t="shared" si="41"/>
        <v>870.63000000000011</v>
      </c>
      <c r="Y50" s="2"/>
      <c r="Z50" s="7">
        <f t="shared" si="42"/>
        <v>6.4996640537514008</v>
      </c>
    </row>
    <row r="51" spans="1:26" s="29" customFormat="1" outlineLevel="1" collapsed="1" x14ac:dyDescent="0.3">
      <c r="A51" s="27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SUM(OSRRefD22_3x_0)</f>
        <v>45.6</v>
      </c>
      <c r="E51" s="1"/>
      <c r="F51" s="5">
        <f t="shared" si="35"/>
        <v>3.9180613088954001E-4</v>
      </c>
      <c r="G51" s="1"/>
      <c r="H51" s="1">
        <f>SUM(OSRRefH22_3x_0)</f>
        <v>1.74</v>
      </c>
      <c r="I51" s="1"/>
      <c r="J51" s="5">
        <f t="shared" si="36"/>
        <v>2.4109737548879378E-5</v>
      </c>
      <c r="K51" s="1"/>
      <c r="L51" s="1">
        <f t="shared" si="37"/>
        <v>43.86</v>
      </c>
      <c r="M51" s="1"/>
      <c r="N51" s="5">
        <f t="shared" si="38"/>
        <v>25.206896551724139</v>
      </c>
      <c r="O51" s="14"/>
      <c r="P51" s="1">
        <f>SUM(OSRRefP22_3x_0)</f>
        <v>-52.07</v>
      </c>
      <c r="Q51" s="1"/>
      <c r="R51" s="5">
        <f t="shared" si="39"/>
        <v>-7.8263589032317692E-5</v>
      </c>
      <c r="S51" s="1"/>
      <c r="T51" s="1">
        <f>SUM(OSRRefT22_3x_0)</f>
        <v>12.1</v>
      </c>
      <c r="U51" s="1"/>
      <c r="V51" s="5">
        <f t="shared" si="40"/>
        <v>6.1483593001581739E-5</v>
      </c>
      <c r="W51" s="1"/>
      <c r="X51" s="1">
        <f t="shared" si="41"/>
        <v>-64.17</v>
      </c>
      <c r="Y51" s="1"/>
      <c r="Z51" s="5">
        <f t="shared" si="42"/>
        <v>-5.3033057851239676</v>
      </c>
    </row>
    <row r="52" spans="1:26" s="24" customFormat="1" hidden="1" outlineLevel="2" x14ac:dyDescent="0.3">
      <c r="A52" s="28"/>
      <c r="B52" s="11" t="str">
        <f>CONCATENATE("          ", "6272", " - ", "CASH (OVER/SHORT)")</f>
        <v xml:space="preserve">          6272 - CASH (OVER/SHORT)</v>
      </c>
      <c r="C52" s="11"/>
      <c r="D52" s="6">
        <v>45.6</v>
      </c>
      <c r="E52" s="2"/>
      <c r="F52" s="7">
        <f t="shared" si="35"/>
        <v>3.9180613088954001E-4</v>
      </c>
      <c r="G52" s="2"/>
      <c r="H52" s="6">
        <v>1.74</v>
      </c>
      <c r="I52" s="2"/>
      <c r="J52" s="7">
        <f t="shared" si="36"/>
        <v>2.4109737548879378E-5</v>
      </c>
      <c r="K52" s="2"/>
      <c r="L52" s="6">
        <f t="shared" si="37"/>
        <v>43.86</v>
      </c>
      <c r="M52" s="2"/>
      <c r="N52" s="7">
        <f t="shared" si="38"/>
        <v>25.206896551724139</v>
      </c>
      <c r="O52" s="11"/>
      <c r="P52" s="6">
        <v>-52.07</v>
      </c>
      <c r="Q52" s="2"/>
      <c r="R52" s="7">
        <f t="shared" si="39"/>
        <v>-7.8263589032317692E-5</v>
      </c>
      <c r="S52" s="2"/>
      <c r="T52" s="6">
        <v>12.1</v>
      </c>
      <c r="U52" s="2"/>
      <c r="V52" s="7">
        <f t="shared" si="40"/>
        <v>6.1483593001581739E-5</v>
      </c>
      <c r="W52" s="2"/>
      <c r="X52" s="6">
        <f t="shared" si="41"/>
        <v>-64.17</v>
      </c>
      <c r="Y52" s="2"/>
      <c r="Z52" s="7">
        <f t="shared" si="42"/>
        <v>-5.3033057851239676</v>
      </c>
    </row>
    <row r="53" spans="1:26" s="29" customFormat="1" outlineLevel="1" collapsed="1" x14ac:dyDescent="0.3">
      <c r="A53" s="27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SUM(OSRRefD22_4x_0)</f>
        <v>4469.4399999999996</v>
      </c>
      <c r="E53" s="1"/>
      <c r="F53" s="5">
        <f t="shared" si="35"/>
        <v>3.8402499860590911E-2</v>
      </c>
      <c r="G53" s="1"/>
      <c r="H53" s="1">
        <f>SUM(OSRRefH22_4x_0)</f>
        <v>913.56</v>
      </c>
      <c r="I53" s="1"/>
      <c r="J53" s="5">
        <f t="shared" si="36"/>
        <v>1.2658443583421978E-2</v>
      </c>
      <c r="K53" s="1"/>
      <c r="L53" s="1">
        <f t="shared" si="37"/>
        <v>3555.8799999999997</v>
      </c>
      <c r="M53" s="1"/>
      <c r="N53" s="5">
        <f t="shared" si="38"/>
        <v>3.8923332895485792</v>
      </c>
      <c r="O53" s="14"/>
      <c r="P53" s="1">
        <f>SUM(OSRRefP22_4x_0)</f>
        <v>26519.85</v>
      </c>
      <c r="Q53" s="1"/>
      <c r="R53" s="5">
        <f t="shared" si="39"/>
        <v>3.9860546218527179E-2</v>
      </c>
      <c r="S53" s="1"/>
      <c r="T53" s="1">
        <f>SUM(OSRRefT22_4x_0)</f>
        <v>4168.09</v>
      </c>
      <c r="U53" s="1"/>
      <c r="V53" s="5">
        <f t="shared" si="40"/>
        <v>2.1179268525120899E-2</v>
      </c>
      <c r="W53" s="1"/>
      <c r="X53" s="1">
        <f t="shared" si="41"/>
        <v>22351.759999999998</v>
      </c>
      <c r="Y53" s="1"/>
      <c r="Z53" s="5">
        <f t="shared" si="42"/>
        <v>5.3625905390718529</v>
      </c>
    </row>
    <row r="54" spans="1:26" s="24" customFormat="1" hidden="1" outlineLevel="2" x14ac:dyDescent="0.3">
      <c r="A54" s="28"/>
      <c r="B54" s="11" t="str">
        <f>CONCATENATE("          ", "6381", " - ", "BANK/CREDIT CARD FEES")</f>
        <v xml:space="preserve">          6381 - BANK/CREDIT CARD FEES</v>
      </c>
      <c r="C54" s="11"/>
      <c r="D54" s="6">
        <v>4469.4399999999996</v>
      </c>
      <c r="E54" s="2"/>
      <c r="F54" s="7">
        <f t="shared" si="35"/>
        <v>3.8402499860590911E-2</v>
      </c>
      <c r="G54" s="2"/>
      <c r="H54" s="6">
        <v>913.56</v>
      </c>
      <c r="I54" s="2"/>
      <c r="J54" s="7">
        <f t="shared" si="36"/>
        <v>1.2658443583421978E-2</v>
      </c>
      <c r="K54" s="2"/>
      <c r="L54" s="6">
        <f t="shared" si="37"/>
        <v>3555.8799999999997</v>
      </c>
      <c r="M54" s="2"/>
      <c r="N54" s="7">
        <f t="shared" si="38"/>
        <v>3.8923332895485792</v>
      </c>
      <c r="O54" s="11"/>
      <c r="P54" s="6">
        <v>26519.85</v>
      </c>
      <c r="Q54" s="2"/>
      <c r="R54" s="7">
        <f t="shared" si="39"/>
        <v>3.9860546218527179E-2</v>
      </c>
      <c r="S54" s="2"/>
      <c r="T54" s="6">
        <v>4168.09</v>
      </c>
      <c r="U54" s="2"/>
      <c r="V54" s="7">
        <f t="shared" si="40"/>
        <v>2.1179268525120899E-2</v>
      </c>
      <c r="W54" s="2"/>
      <c r="X54" s="6">
        <f t="shared" si="41"/>
        <v>22351.759999999998</v>
      </c>
      <c r="Y54" s="2"/>
      <c r="Z54" s="7">
        <f t="shared" si="42"/>
        <v>5.3625905390718529</v>
      </c>
    </row>
    <row r="55" spans="1:26" s="29" customFormat="1" outlineLevel="1" collapsed="1" x14ac:dyDescent="0.3">
      <c r="A55" s="27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SUM(OSRRefD22_5x_0)</f>
        <v>39106.79</v>
      </c>
      <c r="E55" s="1"/>
      <c r="F55" s="5">
        <f t="shared" si="35"/>
        <v>0.33601491406600337</v>
      </c>
      <c r="G55" s="1"/>
      <c r="H55" s="1">
        <f>SUM(OSRRefH22_5x_0)</f>
        <v>45872.85</v>
      </c>
      <c r="I55" s="1"/>
      <c r="J55" s="5">
        <f t="shared" si="36"/>
        <v>0.63562205409144323</v>
      </c>
      <c r="K55" s="1"/>
      <c r="L55" s="1">
        <f t="shared" si="37"/>
        <v>-6766.0599999999977</v>
      </c>
      <c r="M55" s="1"/>
      <c r="N55" s="5">
        <f t="shared" si="38"/>
        <v>-0.14749595893867501</v>
      </c>
      <c r="O55" s="14"/>
      <c r="P55" s="1">
        <f>SUM(OSRRefP22_5x_0)</f>
        <v>237161.24</v>
      </c>
      <c r="Q55" s="1"/>
      <c r="R55" s="5">
        <f t="shared" si="39"/>
        <v>0.35646417940762171</v>
      </c>
      <c r="S55" s="1"/>
      <c r="T55" s="1">
        <f>SUM(OSRRefT22_5x_0)</f>
        <v>278241.90000000002</v>
      </c>
      <c r="U55" s="1"/>
      <c r="V55" s="5">
        <f t="shared" si="40"/>
        <v>1.413827416164199</v>
      </c>
      <c r="W55" s="1"/>
      <c r="X55" s="1">
        <f t="shared" si="41"/>
        <v>-41080.660000000033</v>
      </c>
      <c r="Y55" s="1"/>
      <c r="Z55" s="5">
        <f t="shared" si="42"/>
        <v>-0.14764368702197631</v>
      </c>
    </row>
    <row r="56" spans="1:26" s="24" customFormat="1" hidden="1" outlineLevel="2" x14ac:dyDescent="0.3">
      <c r="A56" s="28"/>
      <c r="B56" s="11" t="str">
        <f>CONCATENATE("          ", "6321", " - ", "BUILDING DEPRECIATION")</f>
        <v xml:space="preserve">          6321 - BUILDING DEPRECIATION</v>
      </c>
      <c r="C56" s="11"/>
      <c r="D56" s="6">
        <v>28619.91</v>
      </c>
      <c r="E56" s="2"/>
      <c r="F56" s="7">
        <f t="shared" si="35"/>
        <v>0.24590912726988715</v>
      </c>
      <c r="G56" s="2"/>
      <c r="H56" s="6">
        <v>28664</v>
      </c>
      <c r="I56" s="2"/>
      <c r="J56" s="7">
        <f t="shared" si="36"/>
        <v>0.39717328569027499</v>
      </c>
      <c r="K56" s="2"/>
      <c r="L56" s="6">
        <f t="shared" si="37"/>
        <v>-44.090000000000146</v>
      </c>
      <c r="M56" s="2"/>
      <c r="N56" s="7">
        <f t="shared" si="38"/>
        <v>-1.5381663410549869E-3</v>
      </c>
      <c r="O56" s="11"/>
      <c r="P56" s="6">
        <v>171807.6</v>
      </c>
      <c r="Q56" s="2"/>
      <c r="R56" s="7">
        <f t="shared" si="39"/>
        <v>0.25823467253752302</v>
      </c>
      <c r="S56" s="2"/>
      <c r="T56" s="6">
        <v>172768.19</v>
      </c>
      <c r="U56" s="2"/>
      <c r="V56" s="7">
        <f t="shared" si="40"/>
        <v>0.87788504773387976</v>
      </c>
      <c r="W56" s="2"/>
      <c r="X56" s="6">
        <f t="shared" si="41"/>
        <v>-960.58999999999651</v>
      </c>
      <c r="Y56" s="2"/>
      <c r="Z56" s="7">
        <f t="shared" si="42"/>
        <v>-5.5599934224002494E-3</v>
      </c>
    </row>
    <row r="57" spans="1:26" s="24" customFormat="1" hidden="1" outlineLevel="2" x14ac:dyDescent="0.3">
      <c r="A57" s="28"/>
      <c r="B57" s="11" t="str">
        <f>CONCATENATE("          ", "6322", " - ", "EQUIPMENT DEPRECIATION EXPENSE")</f>
        <v xml:space="preserve">          6322 - EQUIPMENT DEPRECIATION EXPENSE</v>
      </c>
      <c r="C57" s="11"/>
      <c r="D57" s="6">
        <v>10486.88</v>
      </c>
      <c r="E57" s="2"/>
      <c r="F57" s="7">
        <f t="shared" si="35"/>
        <v>9.0105786796116194E-2</v>
      </c>
      <c r="G57" s="2"/>
      <c r="H57" s="6">
        <v>17208.849999999999</v>
      </c>
      <c r="I57" s="2"/>
      <c r="J57" s="7">
        <f t="shared" si="36"/>
        <v>0.2384487684011683</v>
      </c>
      <c r="K57" s="2"/>
      <c r="L57" s="6">
        <f t="shared" si="37"/>
        <v>-6721.9699999999993</v>
      </c>
      <c r="M57" s="2"/>
      <c r="N57" s="7">
        <f t="shared" si="38"/>
        <v>-0.39061122620047245</v>
      </c>
      <c r="O57" s="11"/>
      <c r="P57" s="6">
        <v>65353.64</v>
      </c>
      <c r="Q57" s="2"/>
      <c r="R57" s="7">
        <f t="shared" si="39"/>
        <v>9.8229506870098682E-2</v>
      </c>
      <c r="S57" s="2"/>
      <c r="T57" s="6">
        <v>105473.71</v>
      </c>
      <c r="U57" s="2"/>
      <c r="V57" s="7">
        <f t="shared" si="40"/>
        <v>0.53594236843031928</v>
      </c>
      <c r="W57" s="2"/>
      <c r="X57" s="6">
        <f t="shared" si="41"/>
        <v>-40120.070000000007</v>
      </c>
      <c r="Y57" s="2"/>
      <c r="Z57" s="7">
        <f t="shared" si="42"/>
        <v>-0.38037981218258088</v>
      </c>
    </row>
    <row r="58" spans="1:26" s="29" customFormat="1" outlineLevel="1" collapsed="1" x14ac:dyDescent="0.3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SUM(OSRRefD22_6x_0)</f>
        <v>173.7</v>
      </c>
      <c r="E58" s="1"/>
      <c r="F58" s="5">
        <f t="shared" ref="F58:F64" si="43">IF(D$12=0,0,D58/D$12)</f>
        <v>1.4924720380594975E-3</v>
      </c>
      <c r="G58" s="1"/>
      <c r="H58" s="1">
        <f>SUM(OSRRefH22_6x_0)</f>
        <v>10</v>
      </c>
      <c r="I58" s="1"/>
      <c r="J58" s="5">
        <f t="shared" ref="J58:J64" si="44">IF(H$12=0,0,H58/H$12)</f>
        <v>1.385617100510309E-4</v>
      </c>
      <c r="K58" s="1"/>
      <c r="L58" s="1">
        <f t="shared" ref="L58:L64" si="45">+D58-H58</f>
        <v>163.69999999999999</v>
      </c>
      <c r="M58" s="1"/>
      <c r="N58" s="5">
        <f t="shared" ref="N58:N64" si="46">IF(H58=0,0,L58/H58)</f>
        <v>16.369999999999997</v>
      </c>
      <c r="O58" s="14"/>
      <c r="P58" s="1">
        <f>SUM(OSRRefP22_6x_0)</f>
        <v>314.87</v>
      </c>
      <c r="Q58" s="1"/>
      <c r="R58" s="5">
        <f t="shared" ref="R58:R64" si="47">IF(P$12=0,0,P58/P$12)</f>
        <v>4.7326399613224258E-4</v>
      </c>
      <c r="S58" s="1"/>
      <c r="T58" s="1">
        <f>SUM(OSRRefT22_6x_0)</f>
        <v>10</v>
      </c>
      <c r="U58" s="1"/>
      <c r="V58" s="5">
        <f t="shared" ref="V58:V64" si="48">IF(T$12=0,0,T58/T$12)</f>
        <v>5.0812886778166734E-5</v>
      </c>
      <c r="W58" s="1"/>
      <c r="X58" s="1">
        <f t="shared" ref="X58:X64" si="49">+P58-T58</f>
        <v>304.87</v>
      </c>
      <c r="Y58" s="1"/>
      <c r="Z58" s="5">
        <f t="shared" ref="Z58:Z64" si="50">IF(T58=0,0,X58/T58)</f>
        <v>30.487000000000002</v>
      </c>
    </row>
    <row r="59" spans="1:26" s="24" customFormat="1" hidden="1" outlineLevel="2" x14ac:dyDescent="0.3">
      <c r="A59" s="28"/>
      <c r="B59" s="11" t="str">
        <f>CONCATENATE("          ", "6277", " - ", "EMPLOYEE APPRECIATION")</f>
        <v xml:space="preserve">          6277 - EMPLOYEE APPRECIATION</v>
      </c>
      <c r="C59" s="11"/>
      <c r="D59" s="6">
        <v>173.7</v>
      </c>
      <c r="E59" s="2"/>
      <c r="F59" s="7">
        <f t="shared" si="43"/>
        <v>1.4924720380594975E-3</v>
      </c>
      <c r="G59" s="2"/>
      <c r="H59" s="6">
        <v>10</v>
      </c>
      <c r="I59" s="2"/>
      <c r="J59" s="7">
        <f t="shared" si="44"/>
        <v>1.385617100510309E-4</v>
      </c>
      <c r="K59" s="2"/>
      <c r="L59" s="6">
        <f t="shared" si="45"/>
        <v>163.69999999999999</v>
      </c>
      <c r="M59" s="2"/>
      <c r="N59" s="7">
        <f t="shared" si="46"/>
        <v>16.369999999999997</v>
      </c>
      <c r="O59" s="11"/>
      <c r="P59" s="6">
        <v>314.87</v>
      </c>
      <c r="Q59" s="2"/>
      <c r="R59" s="7">
        <f t="shared" si="47"/>
        <v>4.7326399613224258E-4</v>
      </c>
      <c r="S59" s="2"/>
      <c r="T59" s="6">
        <v>10</v>
      </c>
      <c r="U59" s="2"/>
      <c r="V59" s="7">
        <f t="shared" si="48"/>
        <v>5.0812886778166734E-5</v>
      </c>
      <c r="W59" s="2"/>
      <c r="X59" s="6">
        <f t="shared" si="49"/>
        <v>304.87</v>
      </c>
      <c r="Y59" s="2"/>
      <c r="Z59" s="7">
        <f t="shared" si="50"/>
        <v>30.487000000000002</v>
      </c>
    </row>
    <row r="60" spans="1:26" s="29" customFormat="1" outlineLevel="1" collapsed="1" x14ac:dyDescent="0.3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SUM(OSRRefD22_7x_0)</f>
        <v>1746.76</v>
      </c>
      <c r="E60" s="1"/>
      <c r="F60" s="5">
        <f t="shared" si="43"/>
        <v>1.5008580640188878E-2</v>
      </c>
      <c r="G60" s="1"/>
      <c r="H60" s="1">
        <f>SUM(OSRRefH22_7x_0)</f>
        <v>386.08</v>
      </c>
      <c r="I60" s="1"/>
      <c r="J60" s="5">
        <f t="shared" si="44"/>
        <v>5.349590501650201E-3</v>
      </c>
      <c r="K60" s="1"/>
      <c r="L60" s="1">
        <f t="shared" si="45"/>
        <v>1360.68</v>
      </c>
      <c r="M60" s="1"/>
      <c r="N60" s="5">
        <f t="shared" si="46"/>
        <v>3.5243472855366766</v>
      </c>
      <c r="O60" s="14"/>
      <c r="P60" s="1">
        <f>SUM(OSRRefP22_7x_0)</f>
        <v>5398.15</v>
      </c>
      <c r="Q60" s="1"/>
      <c r="R60" s="5">
        <f t="shared" si="47"/>
        <v>8.1136660867064669E-3</v>
      </c>
      <c r="S60" s="1"/>
      <c r="T60" s="1">
        <f>SUM(OSRRefT22_7x_0)</f>
        <v>4461.7700000000004</v>
      </c>
      <c r="U60" s="1"/>
      <c r="V60" s="5">
        <f t="shared" si="48"/>
        <v>2.2671541384022099E-2</v>
      </c>
      <c r="W60" s="1"/>
      <c r="X60" s="1">
        <f t="shared" si="49"/>
        <v>936.3799999999992</v>
      </c>
      <c r="Y60" s="1"/>
      <c r="Z60" s="5">
        <f t="shared" si="50"/>
        <v>0.20986738446849548</v>
      </c>
    </row>
    <row r="61" spans="1:26" s="24" customFormat="1" hidden="1" outlineLevel="2" x14ac:dyDescent="0.3">
      <c r="A61" s="28"/>
      <c r="B61" s="11" t="str">
        <f>CONCATENATE("          ", "6351", " - ", "EQUIPMENT RENTAL")</f>
        <v xml:space="preserve">          6351 - EQUIPMENT RENTAL</v>
      </c>
      <c r="C61" s="11"/>
      <c r="D61" s="6">
        <v>1746.76</v>
      </c>
      <c r="E61" s="2"/>
      <c r="F61" s="7">
        <f t="shared" si="43"/>
        <v>1.5008580640188878E-2</v>
      </c>
      <c r="G61" s="2"/>
      <c r="H61" s="6">
        <v>386.08</v>
      </c>
      <c r="I61" s="2"/>
      <c r="J61" s="7">
        <f t="shared" si="44"/>
        <v>5.349590501650201E-3</v>
      </c>
      <c r="K61" s="2"/>
      <c r="L61" s="6">
        <f t="shared" si="45"/>
        <v>1360.68</v>
      </c>
      <c r="M61" s="2"/>
      <c r="N61" s="7">
        <f t="shared" si="46"/>
        <v>3.5243472855366766</v>
      </c>
      <c r="O61" s="11"/>
      <c r="P61" s="6">
        <v>5398.15</v>
      </c>
      <c r="Q61" s="2"/>
      <c r="R61" s="7">
        <f t="shared" si="47"/>
        <v>8.1136660867064669E-3</v>
      </c>
      <c r="S61" s="2"/>
      <c r="T61" s="6">
        <v>4461.7700000000004</v>
      </c>
      <c r="U61" s="2"/>
      <c r="V61" s="7">
        <f t="shared" si="48"/>
        <v>2.2671541384022099E-2</v>
      </c>
      <c r="W61" s="2"/>
      <c r="X61" s="6">
        <f t="shared" si="49"/>
        <v>936.3799999999992</v>
      </c>
      <c r="Y61" s="2"/>
      <c r="Z61" s="7">
        <f t="shared" si="50"/>
        <v>0.20986738446849548</v>
      </c>
    </row>
    <row r="62" spans="1:26" s="29" customFormat="1" outlineLevel="1" collapsed="1" x14ac:dyDescent="0.3">
      <c r="A62" s="27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SUM(OSRRefD22_8x_0)</f>
        <v>0</v>
      </c>
      <c r="E62" s="1"/>
      <c r="F62" s="5">
        <f t="shared" si="43"/>
        <v>0</v>
      </c>
      <c r="G62" s="1"/>
      <c r="H62" s="1">
        <f>SUM(OSRRefH22_8x_0)</f>
        <v>3.93</v>
      </c>
      <c r="I62" s="1"/>
      <c r="J62" s="5">
        <f t="shared" si="44"/>
        <v>5.4454752050055149E-5</v>
      </c>
      <c r="K62" s="1"/>
      <c r="L62" s="1">
        <f t="shared" si="45"/>
        <v>-3.93</v>
      </c>
      <c r="M62" s="1"/>
      <c r="N62" s="5">
        <f t="shared" si="46"/>
        <v>-1</v>
      </c>
      <c r="O62" s="14"/>
      <c r="P62" s="1">
        <f>SUM(OSRRefP22_8x_0)</f>
        <v>0</v>
      </c>
      <c r="Q62" s="1"/>
      <c r="R62" s="5">
        <f t="shared" si="47"/>
        <v>0</v>
      </c>
      <c r="S62" s="1"/>
      <c r="T62" s="1">
        <f>SUM(OSRRefT22_8x_0)</f>
        <v>103.85000000000001</v>
      </c>
      <c r="U62" s="1"/>
      <c r="V62" s="5">
        <f t="shared" si="48"/>
        <v>5.276918291912615E-4</v>
      </c>
      <c r="W62" s="1"/>
      <c r="X62" s="1">
        <f t="shared" si="49"/>
        <v>-103.85000000000001</v>
      </c>
      <c r="Y62" s="1"/>
      <c r="Z62" s="5">
        <f t="shared" si="50"/>
        <v>-1</v>
      </c>
    </row>
    <row r="63" spans="1:26" s="24" customFormat="1" hidden="1" outlineLevel="2" x14ac:dyDescent="0.3">
      <c r="A63" s="28"/>
      <c r="B63" s="11" t="str">
        <f>CONCATENATE("          ", "6305", " - ", "FREIGHT OUT")</f>
        <v xml:space="preserve">          6305 - FREIGHT OUT</v>
      </c>
      <c r="C63" s="11"/>
      <c r="D63" s="6"/>
      <c r="E63" s="2"/>
      <c r="F63" s="7">
        <f t="shared" si="43"/>
        <v>0</v>
      </c>
      <c r="G63" s="2"/>
      <c r="H63" s="6">
        <v>3.93</v>
      </c>
      <c r="I63" s="2"/>
      <c r="J63" s="7">
        <f t="shared" si="44"/>
        <v>5.4454752050055149E-5</v>
      </c>
      <c r="K63" s="2"/>
      <c r="L63" s="6">
        <f t="shared" si="45"/>
        <v>-3.93</v>
      </c>
      <c r="M63" s="2"/>
      <c r="N63" s="7">
        <f t="shared" si="46"/>
        <v>-1</v>
      </c>
      <c r="O63" s="11"/>
      <c r="P63" s="6"/>
      <c r="Q63" s="2"/>
      <c r="R63" s="7">
        <f t="shared" si="47"/>
        <v>0</v>
      </c>
      <c r="S63" s="2"/>
      <c r="T63" s="6">
        <v>109.26</v>
      </c>
      <c r="U63" s="2"/>
      <c r="V63" s="7">
        <f t="shared" si="48"/>
        <v>5.5518160093824976E-4</v>
      </c>
      <c r="W63" s="2"/>
      <c r="X63" s="6">
        <f t="shared" si="49"/>
        <v>-109.26</v>
      </c>
      <c r="Y63" s="2"/>
      <c r="Z63" s="7">
        <f t="shared" si="50"/>
        <v>-1</v>
      </c>
    </row>
    <row r="64" spans="1:26" s="24" customFormat="1" hidden="1" outlineLevel="2" x14ac:dyDescent="0.3">
      <c r="A64" s="28"/>
      <c r="B64" s="11" t="str">
        <f>CONCATENATE("          ", "6307", " - ", "POSTAGE")</f>
        <v xml:space="preserve">          6307 - POSTAGE</v>
      </c>
      <c r="C64" s="11"/>
      <c r="D64" s="6"/>
      <c r="E64" s="2"/>
      <c r="F64" s="7">
        <f t="shared" si="43"/>
        <v>0</v>
      </c>
      <c r="G64" s="2"/>
      <c r="H64" s="6"/>
      <c r="I64" s="2"/>
      <c r="J64" s="7">
        <f t="shared" si="44"/>
        <v>0</v>
      </c>
      <c r="K64" s="2"/>
      <c r="L64" s="6">
        <f t="shared" si="45"/>
        <v>0</v>
      </c>
      <c r="M64" s="2"/>
      <c r="N64" s="7">
        <f t="shared" si="46"/>
        <v>0</v>
      </c>
      <c r="O64" s="11"/>
      <c r="P64" s="6"/>
      <c r="Q64" s="2"/>
      <c r="R64" s="7">
        <f t="shared" si="47"/>
        <v>0</v>
      </c>
      <c r="S64" s="2"/>
      <c r="T64" s="6">
        <v>-5.41</v>
      </c>
      <c r="U64" s="2"/>
      <c r="V64" s="7">
        <f t="shared" si="48"/>
        <v>-2.7489771746988202E-5</v>
      </c>
      <c r="W64" s="2"/>
      <c r="X64" s="6">
        <f t="shared" si="49"/>
        <v>5.41</v>
      </c>
      <c r="Y64" s="2"/>
      <c r="Z64" s="7">
        <f t="shared" si="50"/>
        <v>-1</v>
      </c>
    </row>
    <row r="65" spans="1:26" s="29" customFormat="1" outlineLevel="1" collapsed="1" x14ac:dyDescent="0.3">
      <c r="A65" s="27"/>
      <c r="B65" s="14" t="str">
        <f>CONCATENATE("     ","General                                           ")</f>
        <v xml:space="preserve">     General                                           </v>
      </c>
      <c r="C65" s="14"/>
      <c r="D65" s="1">
        <f>SUM(OSRRefD22_9x_0)</f>
        <v>1142.19</v>
      </c>
      <c r="E65" s="1"/>
      <c r="F65" s="5">
        <f t="shared" ref="F65:F76" si="51">IF(D$12=0,0,D65/D$12)</f>
        <v>9.8139702772088531E-3</v>
      </c>
      <c r="G65" s="1"/>
      <c r="H65" s="1">
        <f>SUM(OSRRefH22_9x_0)</f>
        <v>1745.38</v>
      </c>
      <c r="I65" s="1"/>
      <c r="J65" s="5">
        <f t="shared" ref="J65:J76" si="52">IF(H$12=0,0,H65/H$12)</f>
        <v>2.4184283748886832E-2</v>
      </c>
      <c r="K65" s="1"/>
      <c r="L65" s="1">
        <f t="shared" ref="L65:L76" si="53">+D65-H65</f>
        <v>-603.19000000000005</v>
      </c>
      <c r="M65" s="1"/>
      <c r="N65" s="5">
        <f t="shared" ref="N65:N76" si="54">IF(H65=0,0,L65/H65)</f>
        <v>-0.34559236384053904</v>
      </c>
      <c r="O65" s="14"/>
      <c r="P65" s="1">
        <f>SUM(OSRRefP22_9x_0)</f>
        <v>17391.64</v>
      </c>
      <c r="Q65" s="1"/>
      <c r="R65" s="5">
        <f t="shared" ref="R65:R76" si="55">IF(P$12=0,0,P65/P$12)</f>
        <v>2.6140429528673279E-2</v>
      </c>
      <c r="S65" s="1"/>
      <c r="T65" s="1">
        <f>SUM(OSRRefT22_9x_0)</f>
        <v>7890.93</v>
      </c>
      <c r="U65" s="1"/>
      <c r="V65" s="5">
        <f t="shared" ref="V65:V76" si="56">IF(T$12=0,0,T65/T$12)</f>
        <v>4.0096093266443922E-2</v>
      </c>
      <c r="W65" s="1"/>
      <c r="X65" s="1">
        <f t="shared" ref="X65:X76" si="57">+P65-T65</f>
        <v>9500.7099999999991</v>
      </c>
      <c r="Y65" s="1"/>
      <c r="Z65" s="5">
        <f t="shared" ref="Z65:Z76" si="58">IF(T65=0,0,X65/T65)</f>
        <v>1.2040038373170208</v>
      </c>
    </row>
    <row r="66" spans="1:26" s="24" customFormat="1" hidden="1" outlineLevel="2" x14ac:dyDescent="0.3">
      <c r="A66" s="28"/>
      <c r="B66" s="11" t="str">
        <f>CONCATENATE("          ", "6279", " - ", "GENERAL EXPENSE")</f>
        <v xml:space="preserve">          6279 - GENERAL EXPENSE</v>
      </c>
      <c r="C66" s="11"/>
      <c r="D66" s="6">
        <v>1142.19</v>
      </c>
      <c r="E66" s="2"/>
      <c r="F66" s="7">
        <f t="shared" si="51"/>
        <v>9.8139702772088531E-3</v>
      </c>
      <c r="G66" s="2"/>
      <c r="H66" s="6">
        <v>1745.38</v>
      </c>
      <c r="I66" s="2"/>
      <c r="J66" s="7">
        <f t="shared" si="52"/>
        <v>2.4184283748886832E-2</v>
      </c>
      <c r="K66" s="2"/>
      <c r="L66" s="6">
        <f t="shared" si="53"/>
        <v>-603.19000000000005</v>
      </c>
      <c r="M66" s="2"/>
      <c r="N66" s="7">
        <f t="shared" si="54"/>
        <v>-0.34559236384053904</v>
      </c>
      <c r="O66" s="11"/>
      <c r="P66" s="6">
        <v>17391.64</v>
      </c>
      <c r="Q66" s="2"/>
      <c r="R66" s="7">
        <f t="shared" si="55"/>
        <v>2.6140429528673279E-2</v>
      </c>
      <c r="S66" s="2"/>
      <c r="T66" s="6">
        <v>7890.93</v>
      </c>
      <c r="U66" s="2"/>
      <c r="V66" s="7">
        <f t="shared" si="56"/>
        <v>4.0096093266443922E-2</v>
      </c>
      <c r="W66" s="2"/>
      <c r="X66" s="6">
        <f t="shared" si="57"/>
        <v>9500.7099999999991</v>
      </c>
      <c r="Y66" s="2"/>
      <c r="Z66" s="7">
        <f t="shared" si="58"/>
        <v>1.2040038373170208</v>
      </c>
    </row>
    <row r="67" spans="1:26" s="29" customFormat="1" outlineLevel="1" collapsed="1" x14ac:dyDescent="0.3">
      <c r="A67" s="27"/>
      <c r="B67" s="14" t="str">
        <f>CONCATENATE("     ","Insurance                                         ")</f>
        <v xml:space="preserve">     Insurance                                         </v>
      </c>
      <c r="C67" s="14"/>
      <c r="D67" s="1">
        <f>SUM(OSRRefD22_10x_0)</f>
        <v>6087.22</v>
      </c>
      <c r="E67" s="1"/>
      <c r="F67" s="5">
        <f t="shared" si="51"/>
        <v>5.2302853422662846E-2</v>
      </c>
      <c r="G67" s="1"/>
      <c r="H67" s="1">
        <f>SUM(OSRRefH22_10x_0)</f>
        <v>4483.67</v>
      </c>
      <c r="I67" s="1"/>
      <c r="J67" s="5">
        <f t="shared" si="52"/>
        <v>6.2126498250450572E-2</v>
      </c>
      <c r="K67" s="1"/>
      <c r="L67" s="1">
        <f t="shared" si="53"/>
        <v>1603.5500000000002</v>
      </c>
      <c r="M67" s="1"/>
      <c r="N67" s="5">
        <f t="shared" si="54"/>
        <v>0.35764228857163888</v>
      </c>
      <c r="O67" s="14"/>
      <c r="P67" s="1">
        <f>SUM(OSRRefP22_10x_0)</f>
        <v>43406.32</v>
      </c>
      <c r="Q67" s="1"/>
      <c r="R67" s="5">
        <f t="shared" si="55"/>
        <v>6.5241682156429268E-2</v>
      </c>
      <c r="S67" s="1"/>
      <c r="T67" s="1">
        <f>SUM(OSRRefT22_10x_0)</f>
        <v>33014.019999999997</v>
      </c>
      <c r="U67" s="1"/>
      <c r="V67" s="5">
        <f t="shared" si="56"/>
        <v>0.16775376603521319</v>
      </c>
      <c r="W67" s="1"/>
      <c r="X67" s="1">
        <f t="shared" si="57"/>
        <v>10392.300000000003</v>
      </c>
      <c r="Y67" s="1"/>
      <c r="Z67" s="5">
        <f t="shared" si="58"/>
        <v>0.31478444612319262</v>
      </c>
    </row>
    <row r="68" spans="1:26" s="24" customFormat="1" hidden="1" outlineLevel="2" x14ac:dyDescent="0.3">
      <c r="A68" s="28"/>
      <c r="B68" s="11" t="str">
        <f>CONCATENATE("          ", "6314", " - ", "LIABILITY INSURANCE")</f>
        <v xml:space="preserve">          6314 - LIABILITY INSURANCE</v>
      </c>
      <c r="C68" s="11"/>
      <c r="D68" s="6">
        <v>6087.22</v>
      </c>
      <c r="E68" s="2"/>
      <c r="F68" s="7">
        <f t="shared" si="51"/>
        <v>5.2302853422662846E-2</v>
      </c>
      <c r="G68" s="2"/>
      <c r="H68" s="6">
        <v>4483.67</v>
      </c>
      <c r="I68" s="2"/>
      <c r="J68" s="7">
        <f t="shared" si="52"/>
        <v>6.2126498250450572E-2</v>
      </c>
      <c r="K68" s="2"/>
      <c r="L68" s="6">
        <f t="shared" si="53"/>
        <v>1603.5500000000002</v>
      </c>
      <c r="M68" s="2"/>
      <c r="N68" s="7">
        <f t="shared" si="54"/>
        <v>0.35764228857163888</v>
      </c>
      <c r="O68" s="11"/>
      <c r="P68" s="6">
        <v>43406.32</v>
      </c>
      <c r="Q68" s="2"/>
      <c r="R68" s="7">
        <f t="shared" si="55"/>
        <v>6.5241682156429268E-2</v>
      </c>
      <c r="S68" s="2"/>
      <c r="T68" s="6">
        <v>33014.019999999997</v>
      </c>
      <c r="U68" s="2"/>
      <c r="V68" s="7">
        <f t="shared" si="56"/>
        <v>0.16775376603521319</v>
      </c>
      <c r="W68" s="2"/>
      <c r="X68" s="6">
        <f t="shared" si="57"/>
        <v>10392.300000000003</v>
      </c>
      <c r="Y68" s="2"/>
      <c r="Z68" s="7">
        <f t="shared" si="58"/>
        <v>0.31478444612319262</v>
      </c>
    </row>
    <row r="69" spans="1:26" s="29" customFormat="1" outlineLevel="1" collapsed="1" x14ac:dyDescent="0.3">
      <c r="A69" s="27"/>
      <c r="B69" s="14" t="str">
        <f>CONCATENATE("     ","Interest                                          ")</f>
        <v xml:space="preserve">     Interest                                          </v>
      </c>
      <c r="C69" s="14"/>
      <c r="D69" s="1">
        <f>SUM(OSRRefD22_11x_0)</f>
        <v>11158</v>
      </c>
      <c r="E69" s="1"/>
      <c r="F69" s="5">
        <f t="shared" si="51"/>
        <v>9.5872210711962433E-2</v>
      </c>
      <c r="G69" s="1"/>
      <c r="H69" s="1">
        <f>SUM(OSRRefH22_11x_0)</f>
        <v>11554</v>
      </c>
      <c r="I69" s="1"/>
      <c r="J69" s="5">
        <f t="shared" si="52"/>
        <v>0.16009419979296111</v>
      </c>
      <c r="K69" s="1"/>
      <c r="L69" s="1">
        <f t="shared" si="53"/>
        <v>-396</v>
      </c>
      <c r="M69" s="1"/>
      <c r="N69" s="5">
        <f t="shared" si="54"/>
        <v>-3.4273844555997926E-2</v>
      </c>
      <c r="O69" s="14"/>
      <c r="P69" s="1">
        <f>SUM(OSRRefP22_11x_0)</f>
        <v>66158</v>
      </c>
      <c r="Q69" s="1"/>
      <c r="R69" s="5">
        <f t="shared" si="55"/>
        <v>9.9438496700596762E-2</v>
      </c>
      <c r="S69" s="1"/>
      <c r="T69" s="1">
        <f>SUM(OSRRefT22_11x_0)</f>
        <v>68575</v>
      </c>
      <c r="U69" s="1"/>
      <c r="V69" s="5">
        <f t="shared" si="56"/>
        <v>0.34844937108127838</v>
      </c>
      <c r="W69" s="1"/>
      <c r="X69" s="1">
        <f t="shared" si="57"/>
        <v>-2417</v>
      </c>
      <c r="Y69" s="1"/>
      <c r="Z69" s="5">
        <f t="shared" si="58"/>
        <v>-3.5246080933284726E-2</v>
      </c>
    </row>
    <row r="70" spans="1:26" s="24" customFormat="1" hidden="1" outlineLevel="2" x14ac:dyDescent="0.3">
      <c r="A70" s="28"/>
      <c r="B70" s="11" t="str">
        <f>CONCATENATE("          ", "6401", " - ", "INTEREST EXPENSE")</f>
        <v xml:space="preserve">          6401 - INTEREST EXPENSE</v>
      </c>
      <c r="C70" s="11"/>
      <c r="D70" s="6">
        <v>11158</v>
      </c>
      <c r="E70" s="2"/>
      <c r="F70" s="7">
        <f t="shared" si="51"/>
        <v>9.5872210711962433E-2</v>
      </c>
      <c r="G70" s="2"/>
      <c r="H70" s="6">
        <v>11554</v>
      </c>
      <c r="I70" s="2"/>
      <c r="J70" s="7">
        <f t="shared" si="52"/>
        <v>0.16009419979296111</v>
      </c>
      <c r="K70" s="2"/>
      <c r="L70" s="6">
        <f t="shared" si="53"/>
        <v>-396</v>
      </c>
      <c r="M70" s="2"/>
      <c r="N70" s="7">
        <f t="shared" si="54"/>
        <v>-3.4273844555997926E-2</v>
      </c>
      <c r="O70" s="11"/>
      <c r="P70" s="6">
        <v>66158</v>
      </c>
      <c r="Q70" s="2"/>
      <c r="R70" s="7">
        <f t="shared" si="55"/>
        <v>9.9438496700596762E-2</v>
      </c>
      <c r="S70" s="2"/>
      <c r="T70" s="6">
        <v>68575</v>
      </c>
      <c r="U70" s="2"/>
      <c r="V70" s="7">
        <f t="shared" si="56"/>
        <v>0.34844937108127838</v>
      </c>
      <c r="W70" s="2"/>
      <c r="X70" s="6">
        <f t="shared" si="57"/>
        <v>-2417</v>
      </c>
      <c r="Y70" s="2"/>
      <c r="Z70" s="7">
        <f t="shared" si="58"/>
        <v>-3.5246080933284726E-2</v>
      </c>
    </row>
    <row r="71" spans="1:26" s="29" customFormat="1" outlineLevel="1" collapsed="1" x14ac:dyDescent="0.3">
      <c r="A71" s="27"/>
      <c r="B71" s="14" t="str">
        <f>CONCATENATE("     ","Rent                                              ")</f>
        <v xml:space="preserve">     Rent                                              </v>
      </c>
      <c r="C71" s="14"/>
      <c r="D71" s="1">
        <f>SUM(OSRRefD22_12x_0)</f>
        <v>1850</v>
      </c>
      <c r="E71" s="1"/>
      <c r="F71" s="5">
        <f t="shared" si="51"/>
        <v>1.5895643468106336E-2</v>
      </c>
      <c r="G71" s="1"/>
      <c r="H71" s="1">
        <f>SUM(OSRRefH22_12x_0)</f>
        <v>5550</v>
      </c>
      <c r="I71" s="1"/>
      <c r="J71" s="5">
        <f t="shared" si="52"/>
        <v>7.6901749078322146E-2</v>
      </c>
      <c r="K71" s="1"/>
      <c r="L71" s="1">
        <f t="shared" si="53"/>
        <v>-3700</v>
      </c>
      <c r="M71" s="1"/>
      <c r="N71" s="5">
        <f t="shared" si="54"/>
        <v>-0.66666666666666663</v>
      </c>
      <c r="O71" s="14"/>
      <c r="P71" s="1">
        <f>SUM(OSRRefP22_12x_0)</f>
        <v>11100</v>
      </c>
      <c r="Q71" s="1"/>
      <c r="R71" s="5">
        <f t="shared" si="55"/>
        <v>1.6683807149197739E-2</v>
      </c>
      <c r="S71" s="1"/>
      <c r="T71" s="1">
        <f>SUM(OSRRefT22_12x_0)</f>
        <v>11100</v>
      </c>
      <c r="U71" s="1"/>
      <c r="V71" s="5">
        <f t="shared" si="56"/>
        <v>5.6402304323765071E-2</v>
      </c>
      <c r="W71" s="1"/>
      <c r="X71" s="1">
        <f t="shared" si="57"/>
        <v>0</v>
      </c>
      <c r="Y71" s="1"/>
      <c r="Z71" s="5">
        <f t="shared" si="58"/>
        <v>0</v>
      </c>
    </row>
    <row r="72" spans="1:26" s="24" customFormat="1" hidden="1" outlineLevel="2" x14ac:dyDescent="0.3">
      <c r="A72" s="28"/>
      <c r="B72" s="11" t="str">
        <f>CONCATENATE("          ", "6273", " - ", "RENT")</f>
        <v xml:space="preserve">          6273 - RENT</v>
      </c>
      <c r="C72" s="11"/>
      <c r="D72" s="6">
        <v>1850</v>
      </c>
      <c r="E72" s="2"/>
      <c r="F72" s="7">
        <f t="shared" si="51"/>
        <v>1.5895643468106336E-2</v>
      </c>
      <c r="G72" s="2"/>
      <c r="H72" s="6">
        <v>5550</v>
      </c>
      <c r="I72" s="2"/>
      <c r="J72" s="7">
        <f t="shared" si="52"/>
        <v>7.6901749078322146E-2</v>
      </c>
      <c r="K72" s="2"/>
      <c r="L72" s="6">
        <f t="shared" si="53"/>
        <v>-3700</v>
      </c>
      <c r="M72" s="2"/>
      <c r="N72" s="7">
        <f t="shared" si="54"/>
        <v>-0.66666666666666663</v>
      </c>
      <c r="O72" s="11"/>
      <c r="P72" s="6">
        <v>11100</v>
      </c>
      <c r="Q72" s="2"/>
      <c r="R72" s="7">
        <f t="shared" si="55"/>
        <v>1.6683807149197739E-2</v>
      </c>
      <c r="S72" s="2"/>
      <c r="T72" s="6">
        <v>11100</v>
      </c>
      <c r="U72" s="2"/>
      <c r="V72" s="7">
        <f t="shared" si="56"/>
        <v>5.6402304323765071E-2</v>
      </c>
      <c r="W72" s="2"/>
      <c r="X72" s="6">
        <f t="shared" si="57"/>
        <v>0</v>
      </c>
      <c r="Y72" s="2"/>
      <c r="Z72" s="7">
        <f t="shared" si="58"/>
        <v>0</v>
      </c>
    </row>
    <row r="73" spans="1:26" s="29" customFormat="1" outlineLevel="1" collapsed="1" x14ac:dyDescent="0.3">
      <c r="A73" s="27"/>
      <c r="B73" s="14" t="str">
        <f>CONCATENATE("     ","Repair and Maintenance                            ")</f>
        <v xml:space="preserve">     Repair and Maintenance                            </v>
      </c>
      <c r="C73" s="14"/>
      <c r="D73" s="1">
        <f>SUM(OSRRefD22_13x_0)</f>
        <v>11316.02</v>
      </c>
      <c r="E73" s="1"/>
      <c r="F73" s="5">
        <f t="shared" si="51"/>
        <v>9.7229956431330103E-2</v>
      </c>
      <c r="G73" s="1"/>
      <c r="H73" s="1">
        <f>SUM(OSRRefH22_13x_0)</f>
        <v>1988.17</v>
      </c>
      <c r="I73" s="1"/>
      <c r="J73" s="5">
        <f t="shared" si="52"/>
        <v>2.7548423507215813E-2</v>
      </c>
      <c r="K73" s="1"/>
      <c r="L73" s="1">
        <f t="shared" si="53"/>
        <v>9327.85</v>
      </c>
      <c r="M73" s="1"/>
      <c r="N73" s="5">
        <f t="shared" si="54"/>
        <v>4.6916762651081143</v>
      </c>
      <c r="O73" s="14"/>
      <c r="P73" s="1">
        <f>SUM(OSRRefP22_13x_0)</f>
        <v>55866.26</v>
      </c>
      <c r="Q73" s="1"/>
      <c r="R73" s="5">
        <f t="shared" si="55"/>
        <v>8.3969541260084671E-2</v>
      </c>
      <c r="S73" s="1"/>
      <c r="T73" s="1">
        <f>SUM(OSRRefT22_13x_0)</f>
        <v>22150.83</v>
      </c>
      <c r="U73" s="1"/>
      <c r="V73" s="5">
        <f t="shared" si="56"/>
        <v>0.11255476168324191</v>
      </c>
      <c r="W73" s="1"/>
      <c r="X73" s="1">
        <f t="shared" si="57"/>
        <v>33715.43</v>
      </c>
      <c r="Y73" s="1"/>
      <c r="Z73" s="5">
        <f t="shared" si="58"/>
        <v>1.5220842740430041</v>
      </c>
    </row>
    <row r="74" spans="1:26" s="24" customFormat="1" hidden="1" outlineLevel="2" x14ac:dyDescent="0.3">
      <c r="A74" s="28"/>
      <c r="B74" s="11" t="str">
        <f>CONCATENATE("          ", "6371", " - ", "COMPUTER SOFTWARE MAINTENANCE")</f>
        <v xml:space="preserve">          6371 - COMPUTER SOFTWARE MAINTENANCE</v>
      </c>
      <c r="C74" s="11"/>
      <c r="D74" s="6">
        <v>618.36</v>
      </c>
      <c r="E74" s="2"/>
      <c r="F74" s="7">
        <f t="shared" si="51"/>
        <v>5.3130973486152618E-3</v>
      </c>
      <c r="G74" s="2"/>
      <c r="H74" s="6"/>
      <c r="I74" s="2"/>
      <c r="J74" s="7">
        <f t="shared" si="52"/>
        <v>0</v>
      </c>
      <c r="K74" s="2"/>
      <c r="L74" s="6">
        <f t="shared" si="53"/>
        <v>618.36</v>
      </c>
      <c r="M74" s="2"/>
      <c r="N74" s="7">
        <f t="shared" si="54"/>
        <v>0</v>
      </c>
      <c r="O74" s="11"/>
      <c r="P74" s="6">
        <v>6336.08</v>
      </c>
      <c r="Q74" s="2"/>
      <c r="R74" s="7">
        <f t="shared" si="55"/>
        <v>9.5234177298998933E-3</v>
      </c>
      <c r="S74" s="2"/>
      <c r="T74" s="6"/>
      <c r="U74" s="2"/>
      <c r="V74" s="7">
        <f t="shared" si="56"/>
        <v>0</v>
      </c>
      <c r="W74" s="2"/>
      <c r="X74" s="6">
        <f t="shared" si="57"/>
        <v>6336.08</v>
      </c>
      <c r="Y74" s="2"/>
      <c r="Z74" s="7">
        <f t="shared" si="58"/>
        <v>0</v>
      </c>
    </row>
    <row r="75" spans="1:26" s="24" customFormat="1" hidden="1" outlineLevel="2" x14ac:dyDescent="0.3">
      <c r="A75" s="28"/>
      <c r="B75" s="11" t="str">
        <f>CONCATENATE("          ", "6373", " - ", "MAINTENANCE CONTRACTS")</f>
        <v xml:space="preserve">          6373 - MAINTENANCE CONTRACTS</v>
      </c>
      <c r="C75" s="11"/>
      <c r="D75" s="6">
        <v>5060.55</v>
      </c>
      <c r="E75" s="2"/>
      <c r="F75" s="7">
        <f t="shared" si="51"/>
        <v>4.3481458677040827E-2</v>
      </c>
      <c r="G75" s="2"/>
      <c r="H75" s="6">
        <v>1545.7</v>
      </c>
      <c r="I75" s="2"/>
      <c r="J75" s="7">
        <f t="shared" si="52"/>
        <v>2.1417483522587846E-2</v>
      </c>
      <c r="K75" s="2"/>
      <c r="L75" s="6">
        <f t="shared" si="53"/>
        <v>3514.8500000000004</v>
      </c>
      <c r="M75" s="2"/>
      <c r="N75" s="7">
        <f t="shared" si="54"/>
        <v>2.2739535485540534</v>
      </c>
      <c r="O75" s="11"/>
      <c r="P75" s="6">
        <v>11923.63</v>
      </c>
      <c r="Q75" s="2"/>
      <c r="R75" s="7">
        <f t="shared" si="55"/>
        <v>1.7921760670125103E-2</v>
      </c>
      <c r="S75" s="2"/>
      <c r="T75" s="6">
        <v>11978.04</v>
      </c>
      <c r="U75" s="2"/>
      <c r="V75" s="7">
        <f t="shared" si="56"/>
        <v>6.0863879034435228E-2</v>
      </c>
      <c r="W75" s="2"/>
      <c r="X75" s="6">
        <f t="shared" si="57"/>
        <v>-54.410000000001673</v>
      </c>
      <c r="Y75" s="2"/>
      <c r="Z75" s="7">
        <f t="shared" si="58"/>
        <v>-4.5424794039760821E-3</v>
      </c>
    </row>
    <row r="76" spans="1:26" s="24" customFormat="1" hidden="1" outlineLevel="2" x14ac:dyDescent="0.3">
      <c r="A76" s="28"/>
      <c r="B76" s="11" t="str">
        <f>CONCATENATE("          ", "6375", " - ", "OUTSIDE REPAIRS &amp; MAINTENANCE")</f>
        <v xml:space="preserve">          6375 - OUTSIDE REPAIRS &amp; MAINTENANCE</v>
      </c>
      <c r="C76" s="11"/>
      <c r="D76" s="6">
        <v>5637.11</v>
      </c>
      <c r="E76" s="2"/>
      <c r="F76" s="7">
        <f t="shared" si="51"/>
        <v>4.8435400405674005E-2</v>
      </c>
      <c r="G76" s="2"/>
      <c r="H76" s="6">
        <v>442.47</v>
      </c>
      <c r="I76" s="2"/>
      <c r="J76" s="7">
        <f t="shared" si="52"/>
        <v>6.1309399846279644E-3</v>
      </c>
      <c r="K76" s="2"/>
      <c r="L76" s="6">
        <f t="shared" si="53"/>
        <v>5194.6399999999994</v>
      </c>
      <c r="M76" s="2"/>
      <c r="N76" s="7">
        <f t="shared" si="54"/>
        <v>11.740095373697649</v>
      </c>
      <c r="O76" s="11"/>
      <c r="P76" s="6">
        <v>37606.550000000003</v>
      </c>
      <c r="Q76" s="2"/>
      <c r="R76" s="7">
        <f t="shared" si="55"/>
        <v>5.6524362860059671E-2</v>
      </c>
      <c r="S76" s="2"/>
      <c r="T76" s="6">
        <v>10172.790000000001</v>
      </c>
      <c r="U76" s="2"/>
      <c r="V76" s="7">
        <f t="shared" si="56"/>
        <v>5.1690882648806676E-2</v>
      </c>
      <c r="W76" s="2"/>
      <c r="X76" s="6">
        <f t="shared" si="57"/>
        <v>27433.760000000002</v>
      </c>
      <c r="Y76" s="2"/>
      <c r="Z76" s="7">
        <f t="shared" si="58"/>
        <v>2.6967783666034588</v>
      </c>
    </row>
    <row r="77" spans="1:26" s="29" customFormat="1" outlineLevel="1" collapsed="1" x14ac:dyDescent="0.3">
      <c r="A77" s="27"/>
      <c r="B77" s="14" t="str">
        <f>CONCATENATE("     ","Royalty &amp; Commissions                             ")</f>
        <v xml:space="preserve">     Royalty &amp; Commissions                             </v>
      </c>
      <c r="C77" s="14"/>
      <c r="D77" s="1">
        <f>SUM(OSRRefD22_14x_0)</f>
        <v>412.47</v>
      </c>
      <c r="E77" s="1"/>
      <c r="F77" s="5">
        <f t="shared" ref="F77:F83" si="59">IF(D$12=0,0,D77/D$12)</f>
        <v>3.5440411142107142E-3</v>
      </c>
      <c r="G77" s="1"/>
      <c r="H77" s="1">
        <f>SUM(OSRRefH22_14x_0)</f>
        <v>0</v>
      </c>
      <c r="I77" s="1"/>
      <c r="J77" s="5">
        <f t="shared" ref="J77:J83" si="60">IF(H$12=0,0,H77/H$12)</f>
        <v>0</v>
      </c>
      <c r="K77" s="1"/>
      <c r="L77" s="1">
        <f t="shared" ref="L77:L83" si="61">+D77-H77</f>
        <v>412.47</v>
      </c>
      <c r="M77" s="1"/>
      <c r="N77" s="5">
        <f t="shared" ref="N77:N83" si="62">IF(H77=0,0,L77/H77)</f>
        <v>0</v>
      </c>
      <c r="O77" s="14"/>
      <c r="P77" s="1">
        <f>SUM(OSRRefP22_14x_0)</f>
        <v>1844.91</v>
      </c>
      <c r="Q77" s="1"/>
      <c r="R77" s="5">
        <f t="shared" ref="R77:R83" si="63">IF(P$12=0,0,P77/P$12)</f>
        <v>2.7729840223086853E-3</v>
      </c>
      <c r="S77" s="1"/>
      <c r="T77" s="1">
        <f>SUM(OSRRefT22_14x_0)</f>
        <v>185.7</v>
      </c>
      <c r="U77" s="1"/>
      <c r="V77" s="5">
        <f t="shared" ref="V77:V83" si="64">IF(T$12=0,0,T77/T$12)</f>
        <v>9.4359530747055616E-4</v>
      </c>
      <c r="W77" s="1"/>
      <c r="X77" s="1">
        <f t="shared" ref="X77:X83" si="65">+P77-T77</f>
        <v>1659.21</v>
      </c>
      <c r="Y77" s="1"/>
      <c r="Z77" s="5">
        <f t="shared" ref="Z77:Z83" si="66">IF(T77=0,0,X77/T77)</f>
        <v>8.934894991922457</v>
      </c>
    </row>
    <row r="78" spans="1:26" s="24" customFormat="1" hidden="1" outlineLevel="2" x14ac:dyDescent="0.3">
      <c r="A78" s="28"/>
      <c r="B78" s="11" t="str">
        <f>CONCATENATE("          ", "6254", " - ", "ROYALTY &amp; COMMISSIONS")</f>
        <v xml:space="preserve">          6254 - ROYALTY &amp; COMMISSIONS</v>
      </c>
      <c r="C78" s="11"/>
      <c r="D78" s="6">
        <v>412.47</v>
      </c>
      <c r="E78" s="2"/>
      <c r="F78" s="7">
        <f t="shared" si="59"/>
        <v>3.5440411142107142E-3</v>
      </c>
      <c r="G78" s="2"/>
      <c r="H78" s="6"/>
      <c r="I78" s="2"/>
      <c r="J78" s="7">
        <f t="shared" si="60"/>
        <v>0</v>
      </c>
      <c r="K78" s="2"/>
      <c r="L78" s="6">
        <f t="shared" si="61"/>
        <v>412.47</v>
      </c>
      <c r="M78" s="2"/>
      <c r="N78" s="7">
        <f t="shared" si="62"/>
        <v>0</v>
      </c>
      <c r="O78" s="11"/>
      <c r="P78" s="6">
        <v>1844.91</v>
      </c>
      <c r="Q78" s="2"/>
      <c r="R78" s="7">
        <f t="shared" si="63"/>
        <v>2.7729840223086853E-3</v>
      </c>
      <c r="S78" s="2"/>
      <c r="T78" s="6">
        <v>185.7</v>
      </c>
      <c r="U78" s="2"/>
      <c r="V78" s="7">
        <f t="shared" si="64"/>
        <v>9.4359530747055616E-4</v>
      </c>
      <c r="W78" s="2"/>
      <c r="X78" s="6">
        <f t="shared" si="65"/>
        <v>1659.21</v>
      </c>
      <c r="Y78" s="2"/>
      <c r="Z78" s="7">
        <f t="shared" si="66"/>
        <v>8.934894991922457</v>
      </c>
    </row>
    <row r="79" spans="1:26" s="29" customFormat="1" outlineLevel="1" collapsed="1" x14ac:dyDescent="0.3">
      <c r="A79" s="27"/>
      <c r="B79" s="14" t="str">
        <f>CONCATENATE("     ","Services                                          ")</f>
        <v xml:space="preserve">     Services                                          </v>
      </c>
      <c r="C79" s="14"/>
      <c r="D79" s="1">
        <f>SUM(OSRRefD22_15x_0)</f>
        <v>2626.56</v>
      </c>
      <c r="E79" s="1"/>
      <c r="F79" s="5">
        <f t="shared" si="59"/>
        <v>2.2568033139237501E-2</v>
      </c>
      <c r="G79" s="1"/>
      <c r="H79" s="1">
        <f>SUM(OSRRefH22_15x_0)</f>
        <v>12158.68</v>
      </c>
      <c r="I79" s="1"/>
      <c r="J79" s="5">
        <f t="shared" si="60"/>
        <v>0.16847274927632686</v>
      </c>
      <c r="K79" s="1"/>
      <c r="L79" s="1">
        <f t="shared" si="61"/>
        <v>-9532.1200000000008</v>
      </c>
      <c r="M79" s="1"/>
      <c r="N79" s="5">
        <f t="shared" si="62"/>
        <v>-0.78397655008602918</v>
      </c>
      <c r="O79" s="14"/>
      <c r="P79" s="1">
        <f>SUM(OSRRefP22_15x_0)</f>
        <v>51720.000000000007</v>
      </c>
      <c r="Q79" s="1"/>
      <c r="R79" s="5">
        <f t="shared" si="63"/>
        <v>7.7737523041126785E-2</v>
      </c>
      <c r="S79" s="1"/>
      <c r="T79" s="1">
        <f>SUM(OSRRefT22_15x_0)</f>
        <v>37043.15</v>
      </c>
      <c r="U79" s="1"/>
      <c r="V79" s="5">
        <f t="shared" si="64"/>
        <v>0.1882269386856647</v>
      </c>
      <c r="W79" s="1"/>
      <c r="X79" s="1">
        <f t="shared" si="65"/>
        <v>14676.850000000006</v>
      </c>
      <c r="Y79" s="1"/>
      <c r="Z79" s="5">
        <f t="shared" si="66"/>
        <v>0.39620955561284626</v>
      </c>
    </row>
    <row r="80" spans="1:26" s="24" customFormat="1" hidden="1" outlineLevel="2" x14ac:dyDescent="0.3">
      <c r="A80" s="28"/>
      <c r="B80" s="11" t="str">
        <f>CONCATENATE("          ", "6282", " - ", "JANITORIAL/EXTERMINATOR EXPENS")</f>
        <v xml:space="preserve">          6282 - JANITORIAL/EXTERMINATOR EXPENS</v>
      </c>
      <c r="C80" s="11"/>
      <c r="D80" s="6">
        <v>1729.9</v>
      </c>
      <c r="E80" s="2"/>
      <c r="F80" s="7">
        <f t="shared" si="59"/>
        <v>1.4863715478636299E-2</v>
      </c>
      <c r="G80" s="2"/>
      <c r="H80" s="6">
        <v>3214.69</v>
      </c>
      <c r="I80" s="2"/>
      <c r="J80" s="7">
        <f t="shared" si="60"/>
        <v>4.4543294368394853E-2</v>
      </c>
      <c r="K80" s="2"/>
      <c r="L80" s="6">
        <f t="shared" si="61"/>
        <v>-1484.79</v>
      </c>
      <c r="M80" s="2"/>
      <c r="N80" s="7">
        <f t="shared" si="62"/>
        <v>-0.46187657285772499</v>
      </c>
      <c r="O80" s="11"/>
      <c r="P80" s="6">
        <v>8503.26</v>
      </c>
      <c r="Q80" s="2"/>
      <c r="R80" s="7">
        <f t="shared" si="63"/>
        <v>1.2780788286440288E-2</v>
      </c>
      <c r="S80" s="2"/>
      <c r="T80" s="6">
        <v>4838.18</v>
      </c>
      <c r="U80" s="2"/>
      <c r="V80" s="7">
        <f t="shared" si="64"/>
        <v>2.4584189255239072E-2</v>
      </c>
      <c r="W80" s="2"/>
      <c r="X80" s="6">
        <f t="shared" si="65"/>
        <v>3665.08</v>
      </c>
      <c r="Y80" s="2"/>
      <c r="Z80" s="7">
        <f t="shared" si="66"/>
        <v>0.75753279125621609</v>
      </c>
    </row>
    <row r="81" spans="1:26" s="24" customFormat="1" hidden="1" outlineLevel="2" x14ac:dyDescent="0.3">
      <c r="A81" s="28"/>
      <c r="B81" s="11" t="str">
        <f>CONCATENATE("          ", "6284", " - ", "TRASH REMOVAL EXPENSE")</f>
        <v xml:space="preserve">          6284 - TRASH REMOVAL EXPENSE</v>
      </c>
      <c r="C81" s="11"/>
      <c r="D81" s="6"/>
      <c r="E81" s="2"/>
      <c r="F81" s="7">
        <f t="shared" si="59"/>
        <v>0</v>
      </c>
      <c r="G81" s="2"/>
      <c r="H81" s="6">
        <v>5658</v>
      </c>
      <c r="I81" s="2"/>
      <c r="J81" s="7">
        <f t="shared" si="60"/>
        <v>7.839821554687329E-2</v>
      </c>
      <c r="K81" s="2"/>
      <c r="L81" s="6">
        <f t="shared" si="61"/>
        <v>-5658</v>
      </c>
      <c r="M81" s="2"/>
      <c r="N81" s="7">
        <f t="shared" si="62"/>
        <v>-1</v>
      </c>
      <c r="O81" s="11"/>
      <c r="P81" s="6"/>
      <c r="Q81" s="2"/>
      <c r="R81" s="7">
        <f t="shared" si="63"/>
        <v>0</v>
      </c>
      <c r="S81" s="2"/>
      <c r="T81" s="6">
        <v>19446</v>
      </c>
      <c r="U81" s="2"/>
      <c r="V81" s="7">
        <f t="shared" si="64"/>
        <v>9.881073962882303E-2</v>
      </c>
      <c r="W81" s="2"/>
      <c r="X81" s="6">
        <f t="shared" si="65"/>
        <v>-19446</v>
      </c>
      <c r="Y81" s="2"/>
      <c r="Z81" s="7">
        <f t="shared" si="66"/>
        <v>-1</v>
      </c>
    </row>
    <row r="82" spans="1:26" s="24" customFormat="1" hidden="1" outlineLevel="2" x14ac:dyDescent="0.3">
      <c r="A82" s="28"/>
      <c r="B82" s="11" t="str">
        <f>CONCATENATE("          ", "6285", " - ", "JANITORIAL SERVICES")</f>
        <v xml:space="preserve">          6285 - JANITORIAL SERVICES</v>
      </c>
      <c r="C82" s="11"/>
      <c r="D82" s="6"/>
      <c r="E82" s="2"/>
      <c r="F82" s="7">
        <f t="shared" si="59"/>
        <v>0</v>
      </c>
      <c r="G82" s="2"/>
      <c r="H82" s="6">
        <v>3179.44</v>
      </c>
      <c r="I82" s="2"/>
      <c r="J82" s="7">
        <f t="shared" si="60"/>
        <v>4.4054864340464968E-2</v>
      </c>
      <c r="K82" s="2"/>
      <c r="L82" s="6">
        <f t="shared" si="61"/>
        <v>-3179.44</v>
      </c>
      <c r="M82" s="2"/>
      <c r="N82" s="7">
        <f t="shared" si="62"/>
        <v>-1</v>
      </c>
      <c r="O82" s="11"/>
      <c r="P82" s="6">
        <v>40403.440000000002</v>
      </c>
      <c r="Q82" s="2"/>
      <c r="R82" s="7">
        <f t="shared" si="63"/>
        <v>6.0728216317493873E-2</v>
      </c>
      <c r="S82" s="2"/>
      <c r="T82" s="6">
        <v>11966.21</v>
      </c>
      <c r="U82" s="2"/>
      <c r="V82" s="7">
        <f t="shared" si="64"/>
        <v>6.0803767389376651E-2</v>
      </c>
      <c r="W82" s="2"/>
      <c r="X82" s="6">
        <f t="shared" si="65"/>
        <v>28437.230000000003</v>
      </c>
      <c r="Y82" s="2"/>
      <c r="Z82" s="7">
        <f t="shared" si="66"/>
        <v>2.3764608844404371</v>
      </c>
    </row>
    <row r="83" spans="1:26" s="24" customFormat="1" hidden="1" outlineLevel="2" x14ac:dyDescent="0.3">
      <c r="A83" s="28"/>
      <c r="B83" s="11" t="str">
        <f>CONCATENATE("          ", "6286", " - ", "LAUNDRY EXPENSE")</f>
        <v xml:space="preserve">          6286 - LAUNDRY EXPENSE</v>
      </c>
      <c r="C83" s="11"/>
      <c r="D83" s="6">
        <v>896.66</v>
      </c>
      <c r="E83" s="2"/>
      <c r="F83" s="7">
        <f t="shared" si="59"/>
        <v>7.7043176606012044E-3</v>
      </c>
      <c r="G83" s="2"/>
      <c r="H83" s="6">
        <v>106.55</v>
      </c>
      <c r="I83" s="2"/>
      <c r="J83" s="7">
        <f t="shared" si="60"/>
        <v>1.4763750205937342E-3</v>
      </c>
      <c r="K83" s="2"/>
      <c r="L83" s="6">
        <f t="shared" si="61"/>
        <v>790.11</v>
      </c>
      <c r="M83" s="2"/>
      <c r="N83" s="7">
        <f t="shared" si="62"/>
        <v>7.4153918348193342</v>
      </c>
      <c r="O83" s="11"/>
      <c r="P83" s="6">
        <v>2813.3</v>
      </c>
      <c r="Q83" s="2"/>
      <c r="R83" s="7">
        <f t="shared" si="63"/>
        <v>4.2285184371926134E-3</v>
      </c>
      <c r="S83" s="2"/>
      <c r="T83" s="6">
        <v>792.76</v>
      </c>
      <c r="U83" s="2"/>
      <c r="V83" s="7">
        <f t="shared" si="64"/>
        <v>4.0282424122259457E-3</v>
      </c>
      <c r="W83" s="2"/>
      <c r="X83" s="6">
        <f t="shared" si="65"/>
        <v>2020.5400000000002</v>
      </c>
      <c r="Y83" s="2"/>
      <c r="Z83" s="7">
        <f t="shared" si="66"/>
        <v>2.5487411070185177</v>
      </c>
    </row>
    <row r="84" spans="1:26" s="29" customFormat="1" outlineLevel="1" collapsed="1" x14ac:dyDescent="0.3">
      <c r="A84" s="27"/>
      <c r="B84" s="14" t="str">
        <f>CONCATENATE("     ","Subscriptions &amp; Dues                              ")</f>
        <v xml:space="preserve">     Subscriptions &amp; Dues                              </v>
      </c>
      <c r="C84" s="14"/>
      <c r="D84" s="1">
        <f>SUM(OSRRefD22_16x_0)</f>
        <v>1456.11</v>
      </c>
      <c r="E84" s="1"/>
      <c r="F84" s="5">
        <f t="shared" ref="F84:F95" si="67">IF(D$12=0,0,D84/D$12)</f>
        <v>1.2511246167753684E-2</v>
      </c>
      <c r="G84" s="1"/>
      <c r="H84" s="1">
        <f>SUM(OSRRefH22_16x_0)</f>
        <v>262.83999999999997</v>
      </c>
      <c r="I84" s="1"/>
      <c r="J84" s="5">
        <f t="shared" ref="J84:J95" si="68">IF(H$12=0,0,H84/H$12)</f>
        <v>3.6419559869812958E-3</v>
      </c>
      <c r="K84" s="1"/>
      <c r="L84" s="1">
        <f t="shared" ref="L84:L95" si="69">+D84-H84</f>
        <v>1193.27</v>
      </c>
      <c r="M84" s="1"/>
      <c r="N84" s="5">
        <f t="shared" ref="N84:N95" si="70">IF(H84=0,0,L84/H84)</f>
        <v>4.5399102115355356</v>
      </c>
      <c r="O84" s="14"/>
      <c r="P84" s="1">
        <f>SUM(OSRRefP22_16x_0)</f>
        <v>3972.61</v>
      </c>
      <c r="Q84" s="1"/>
      <c r="R84" s="5">
        <f t="shared" ref="R84:R95" si="71">IF(P$12=0,0,P84/P$12)</f>
        <v>5.971014335042742E-3</v>
      </c>
      <c r="S84" s="1"/>
      <c r="T84" s="1">
        <f>SUM(OSRRefT22_16x_0)</f>
        <v>534.16999999999996</v>
      </c>
      <c r="U84" s="1"/>
      <c r="V84" s="5">
        <f t="shared" ref="V84:V95" si="72">IF(T$12=0,0,T84/T$12)</f>
        <v>2.7142719730293319E-3</v>
      </c>
      <c r="W84" s="1"/>
      <c r="X84" s="1">
        <f t="shared" ref="X84:X95" si="73">+P84-T84</f>
        <v>3438.44</v>
      </c>
      <c r="Y84" s="1"/>
      <c r="Z84" s="5">
        <f t="shared" ref="Z84:Z95" si="74">IF(T84=0,0,X84/T84)</f>
        <v>6.4369769923432623</v>
      </c>
    </row>
    <row r="85" spans="1:26" s="24" customFormat="1" hidden="1" outlineLevel="2" x14ac:dyDescent="0.3">
      <c r="A85" s="28"/>
      <c r="B85" s="11" t="str">
        <f>CONCATENATE("          ", "6275", " - ", "SUBSCRIPTIONS")</f>
        <v xml:space="preserve">          6275 - SUBSCRIPTIONS</v>
      </c>
      <c r="C85" s="11"/>
      <c r="D85" s="6">
        <v>1456.11</v>
      </c>
      <c r="E85" s="2"/>
      <c r="F85" s="7">
        <f t="shared" si="67"/>
        <v>1.2511246167753684E-2</v>
      </c>
      <c r="G85" s="2"/>
      <c r="H85" s="6">
        <v>262.83999999999997</v>
      </c>
      <c r="I85" s="2"/>
      <c r="J85" s="7">
        <f t="shared" si="68"/>
        <v>3.6419559869812958E-3</v>
      </c>
      <c r="K85" s="2"/>
      <c r="L85" s="6">
        <f t="shared" si="69"/>
        <v>1193.27</v>
      </c>
      <c r="M85" s="2"/>
      <c r="N85" s="7">
        <f t="shared" si="70"/>
        <v>4.5399102115355356</v>
      </c>
      <c r="O85" s="11"/>
      <c r="P85" s="6">
        <v>3972.61</v>
      </c>
      <c r="Q85" s="2"/>
      <c r="R85" s="7">
        <f t="shared" si="71"/>
        <v>5.971014335042742E-3</v>
      </c>
      <c r="S85" s="2"/>
      <c r="T85" s="6">
        <v>534.16999999999996</v>
      </c>
      <c r="U85" s="2"/>
      <c r="V85" s="7">
        <f t="shared" si="72"/>
        <v>2.7142719730293319E-3</v>
      </c>
      <c r="W85" s="2"/>
      <c r="X85" s="6">
        <f t="shared" si="73"/>
        <v>3438.44</v>
      </c>
      <c r="Y85" s="2"/>
      <c r="Z85" s="7">
        <f t="shared" si="74"/>
        <v>6.4369769923432623</v>
      </c>
    </row>
    <row r="86" spans="1:26" s="29" customFormat="1" outlineLevel="1" collapsed="1" x14ac:dyDescent="0.3">
      <c r="A86" s="27"/>
      <c r="B86" s="14" t="str">
        <f>CONCATENATE("     ","Supplies                                          ")</f>
        <v xml:space="preserve">     Supplies                                          </v>
      </c>
      <c r="C86" s="14"/>
      <c r="D86" s="1">
        <f>SUM(OSRRefD22_17x_0)</f>
        <v>1819.5099999999998</v>
      </c>
      <c r="E86" s="1"/>
      <c r="F86" s="5">
        <f t="shared" si="67"/>
        <v>1.5633666079272517E-2</v>
      </c>
      <c r="G86" s="1"/>
      <c r="H86" s="1">
        <f>SUM(OSRRefH22_17x_0)</f>
        <v>24.36</v>
      </c>
      <c r="I86" s="1"/>
      <c r="J86" s="5">
        <f t="shared" si="68"/>
        <v>3.3753632568431127E-4</v>
      </c>
      <c r="K86" s="1"/>
      <c r="L86" s="1">
        <f t="shared" si="69"/>
        <v>1795.1499999999999</v>
      </c>
      <c r="M86" s="1"/>
      <c r="N86" s="5">
        <f t="shared" si="70"/>
        <v>73.69252873563218</v>
      </c>
      <c r="O86" s="14"/>
      <c r="P86" s="1">
        <f>SUM(OSRRefP22_17x_0)</f>
        <v>21350.399999999998</v>
      </c>
      <c r="Q86" s="1"/>
      <c r="R86" s="5">
        <f t="shared" si="71"/>
        <v>3.2090626680921747E-2</v>
      </c>
      <c r="S86" s="1"/>
      <c r="T86" s="1">
        <f>SUM(OSRRefT22_17x_0)</f>
        <v>-20452.23</v>
      </c>
      <c r="U86" s="1"/>
      <c r="V86" s="5">
        <f t="shared" si="72"/>
        <v>-0.1039236847351025</v>
      </c>
      <c r="W86" s="1"/>
      <c r="X86" s="1">
        <f t="shared" si="73"/>
        <v>41802.629999999997</v>
      </c>
      <c r="Y86" s="1"/>
      <c r="Z86" s="5">
        <f t="shared" si="74"/>
        <v>-2.0439155045684503</v>
      </c>
    </row>
    <row r="87" spans="1:26" s="24" customFormat="1" hidden="1" outlineLevel="2" x14ac:dyDescent="0.3">
      <c r="A87" s="28"/>
      <c r="B87" s="11" t="str">
        <f>CONCATENATE("          ", "6234", " - ", "EXPENDABLE SUPPLIES &amp; EQUIPMEN")</f>
        <v xml:space="preserve">          6234 - EXPENDABLE SUPPLIES &amp; EQUIPMEN</v>
      </c>
      <c r="C87" s="11"/>
      <c r="D87" s="6"/>
      <c r="E87" s="2"/>
      <c r="F87" s="7">
        <f t="shared" si="67"/>
        <v>0</v>
      </c>
      <c r="G87" s="2"/>
      <c r="H87" s="6"/>
      <c r="I87" s="2"/>
      <c r="J87" s="7">
        <f t="shared" si="68"/>
        <v>0</v>
      </c>
      <c r="K87" s="2"/>
      <c r="L87" s="6">
        <f t="shared" si="69"/>
        <v>0</v>
      </c>
      <c r="M87" s="2"/>
      <c r="N87" s="7">
        <f t="shared" si="70"/>
        <v>0</v>
      </c>
      <c r="O87" s="11"/>
      <c r="P87" s="6">
        <v>1194.8900000000001</v>
      </c>
      <c r="Q87" s="2"/>
      <c r="R87" s="7">
        <f t="shared" si="71"/>
        <v>1.7959742634689091E-3</v>
      </c>
      <c r="S87" s="2"/>
      <c r="T87" s="6">
        <v>627.58000000000004</v>
      </c>
      <c r="U87" s="2"/>
      <c r="V87" s="7">
        <f t="shared" si="72"/>
        <v>3.1889151484241879E-3</v>
      </c>
      <c r="W87" s="2"/>
      <c r="X87" s="6">
        <f t="shared" si="73"/>
        <v>567.31000000000006</v>
      </c>
      <c r="Y87" s="2"/>
      <c r="Z87" s="7">
        <f t="shared" si="74"/>
        <v>0.90396443481309163</v>
      </c>
    </row>
    <row r="88" spans="1:26" s="24" customFormat="1" hidden="1" outlineLevel="2" x14ac:dyDescent="0.3">
      <c r="A88" s="28"/>
      <c r="B88" s="11" t="str">
        <f>CONCATENATE("          ", "6235", " - ", "COVID-19 EXPENSES")</f>
        <v xml:space="preserve">          6235 - COVID-19 EXPENSES</v>
      </c>
      <c r="C88" s="11"/>
      <c r="D88" s="6"/>
      <c r="E88" s="2"/>
      <c r="F88" s="7">
        <f t="shared" si="67"/>
        <v>0</v>
      </c>
      <c r="G88" s="2"/>
      <c r="H88" s="6"/>
      <c r="I88" s="2"/>
      <c r="J88" s="7">
        <f t="shared" si="68"/>
        <v>0</v>
      </c>
      <c r="K88" s="2"/>
      <c r="L88" s="6">
        <f t="shared" si="69"/>
        <v>0</v>
      </c>
      <c r="M88" s="2"/>
      <c r="N88" s="7">
        <f t="shared" si="70"/>
        <v>0</v>
      </c>
      <c r="O88" s="11"/>
      <c r="P88" s="6">
        <v>193.5</v>
      </c>
      <c r="Q88" s="2"/>
      <c r="R88" s="7">
        <f t="shared" si="71"/>
        <v>2.9083934084412277E-4</v>
      </c>
      <c r="S88" s="2"/>
      <c r="T88" s="6">
        <v>7089.13</v>
      </c>
      <c r="U88" s="2"/>
      <c r="V88" s="7">
        <f t="shared" si="72"/>
        <v>3.6021916004570512E-2</v>
      </c>
      <c r="W88" s="2"/>
      <c r="X88" s="6">
        <f t="shared" si="73"/>
        <v>-6895.63</v>
      </c>
      <c r="Y88" s="2"/>
      <c r="Z88" s="7">
        <f t="shared" si="74"/>
        <v>-0.97270469013828209</v>
      </c>
    </row>
    <row r="89" spans="1:26" s="24" customFormat="1" hidden="1" outlineLevel="2" x14ac:dyDescent="0.3">
      <c r="A89" s="28"/>
      <c r="B89" s="11" t="str">
        <f>CONCATENATE("          ", "6237", " - ", "JANITORIAL SUPPLIES")</f>
        <v xml:space="preserve">          6237 - JANITORIAL SUPPLIES</v>
      </c>
      <c r="C89" s="11"/>
      <c r="D89" s="6">
        <v>892.05</v>
      </c>
      <c r="E89" s="2"/>
      <c r="F89" s="7">
        <f t="shared" si="67"/>
        <v>7.6647074355266258E-3</v>
      </c>
      <c r="G89" s="2"/>
      <c r="H89" s="6">
        <v>18.86</v>
      </c>
      <c r="I89" s="2"/>
      <c r="J89" s="7">
        <f t="shared" si="68"/>
        <v>2.613273851562443E-4</v>
      </c>
      <c r="K89" s="2"/>
      <c r="L89" s="6">
        <f t="shared" si="69"/>
        <v>873.18999999999994</v>
      </c>
      <c r="M89" s="2"/>
      <c r="N89" s="7">
        <f t="shared" si="70"/>
        <v>46.298515376458113</v>
      </c>
      <c r="O89" s="11"/>
      <c r="P89" s="6">
        <v>6451.33</v>
      </c>
      <c r="Q89" s="2"/>
      <c r="R89" s="7">
        <f t="shared" si="71"/>
        <v>9.6966437455706187E-3</v>
      </c>
      <c r="S89" s="2"/>
      <c r="T89" s="6">
        <v>676.48</v>
      </c>
      <c r="U89" s="2"/>
      <c r="V89" s="7">
        <f t="shared" si="72"/>
        <v>3.4373901647694232E-3</v>
      </c>
      <c r="W89" s="2"/>
      <c r="X89" s="6">
        <f t="shared" si="73"/>
        <v>5774.85</v>
      </c>
      <c r="Y89" s="2"/>
      <c r="Z89" s="7">
        <f t="shared" si="74"/>
        <v>8.5366160122989605</v>
      </c>
    </row>
    <row r="90" spans="1:26" s="24" customFormat="1" hidden="1" outlineLevel="2" x14ac:dyDescent="0.3">
      <c r="A90" s="28"/>
      <c r="B90" s="11" t="str">
        <f>CONCATENATE("          ", "6239", " - ", "KITCHEN SUPPLIES")</f>
        <v xml:space="preserve">          6239 - KITCHEN SUPPLIES</v>
      </c>
      <c r="C90" s="11"/>
      <c r="D90" s="6">
        <v>571.91999999999996</v>
      </c>
      <c r="E90" s="2"/>
      <c r="F90" s="7">
        <f t="shared" si="67"/>
        <v>4.9140737363672299E-3</v>
      </c>
      <c r="G90" s="2"/>
      <c r="H90" s="6"/>
      <c r="I90" s="2"/>
      <c r="J90" s="7">
        <f t="shared" si="68"/>
        <v>0</v>
      </c>
      <c r="K90" s="2"/>
      <c r="L90" s="6">
        <f t="shared" si="69"/>
        <v>571.91999999999996</v>
      </c>
      <c r="M90" s="2"/>
      <c r="N90" s="7">
        <f t="shared" si="70"/>
        <v>0</v>
      </c>
      <c r="O90" s="11"/>
      <c r="P90" s="6">
        <v>2855.78</v>
      </c>
      <c r="Q90" s="2"/>
      <c r="R90" s="7">
        <f t="shared" si="71"/>
        <v>4.2923678180662997E-3</v>
      </c>
      <c r="S90" s="2"/>
      <c r="T90" s="6">
        <v>19.829999999999998</v>
      </c>
      <c r="U90" s="2"/>
      <c r="V90" s="7">
        <f t="shared" si="72"/>
        <v>1.0076195448110462E-4</v>
      </c>
      <c r="W90" s="2"/>
      <c r="X90" s="6">
        <f t="shared" si="73"/>
        <v>2835.9500000000003</v>
      </c>
      <c r="Y90" s="2"/>
      <c r="Z90" s="7">
        <f t="shared" si="74"/>
        <v>143.01311144730209</v>
      </c>
    </row>
    <row r="91" spans="1:26" s="24" customFormat="1" hidden="1" outlineLevel="2" x14ac:dyDescent="0.3">
      <c r="A91" s="28"/>
      <c r="B91" s="11" t="str">
        <f>CONCATENATE("          ", "6241", " - ", "OFFICE EXPENSE")</f>
        <v xml:space="preserve">          6241 - OFFICE EXPENSE</v>
      </c>
      <c r="C91" s="11"/>
      <c r="D91" s="6">
        <v>222.53</v>
      </c>
      <c r="E91" s="2"/>
      <c r="F91" s="7">
        <f t="shared" si="67"/>
        <v>1.9120311032203802E-3</v>
      </c>
      <c r="G91" s="2"/>
      <c r="H91" s="6">
        <v>5.5</v>
      </c>
      <c r="I91" s="2"/>
      <c r="J91" s="7">
        <f t="shared" si="68"/>
        <v>7.6208940528066995E-5</v>
      </c>
      <c r="K91" s="2"/>
      <c r="L91" s="6">
        <f t="shared" si="69"/>
        <v>217.03</v>
      </c>
      <c r="M91" s="2"/>
      <c r="N91" s="7">
        <f t="shared" si="70"/>
        <v>39.46</v>
      </c>
      <c r="O91" s="11"/>
      <c r="P91" s="6">
        <v>6826.59</v>
      </c>
      <c r="Q91" s="2"/>
      <c r="R91" s="7">
        <f t="shared" si="71"/>
        <v>1.0260676670868631E-2</v>
      </c>
      <c r="S91" s="2"/>
      <c r="T91" s="6">
        <v>-28986.53</v>
      </c>
      <c r="U91" s="2"/>
      <c r="V91" s="7">
        <f t="shared" si="72"/>
        <v>-0.14728892669819332</v>
      </c>
      <c r="W91" s="2"/>
      <c r="X91" s="6">
        <f t="shared" si="73"/>
        <v>35813.119999999995</v>
      </c>
      <c r="Y91" s="2"/>
      <c r="Z91" s="7">
        <f t="shared" si="74"/>
        <v>-1.2355090450633448</v>
      </c>
    </row>
    <row r="92" spans="1:26" s="24" customFormat="1" hidden="1" outlineLevel="2" x14ac:dyDescent="0.3">
      <c r="A92" s="28"/>
      <c r="B92" s="11" t="str">
        <f>CONCATENATE("          ", "6243", " - ", "PAPER SUPPLIES")</f>
        <v xml:space="preserve">          6243 - PAPER SUPPLIES</v>
      </c>
      <c r="C92" s="11"/>
      <c r="D92" s="6">
        <v>66.67</v>
      </c>
      <c r="E92" s="2"/>
      <c r="F92" s="7">
        <f t="shared" si="67"/>
        <v>5.7284462163170247E-4</v>
      </c>
      <c r="G92" s="2"/>
      <c r="H92" s="6"/>
      <c r="I92" s="2"/>
      <c r="J92" s="7">
        <f t="shared" si="68"/>
        <v>0</v>
      </c>
      <c r="K92" s="2"/>
      <c r="L92" s="6">
        <f t="shared" si="69"/>
        <v>66.67</v>
      </c>
      <c r="M92" s="2"/>
      <c r="N92" s="7">
        <f t="shared" si="70"/>
        <v>0</v>
      </c>
      <c r="O92" s="11"/>
      <c r="P92" s="6">
        <v>1252.26</v>
      </c>
      <c r="Q92" s="2"/>
      <c r="R92" s="7">
        <f t="shared" si="71"/>
        <v>1.8822039946535462E-3</v>
      </c>
      <c r="S92" s="2"/>
      <c r="T92" s="6"/>
      <c r="U92" s="2"/>
      <c r="V92" s="7">
        <f t="shared" si="72"/>
        <v>0</v>
      </c>
      <c r="W92" s="2"/>
      <c r="X92" s="6">
        <f t="shared" si="73"/>
        <v>1252.26</v>
      </c>
      <c r="Y92" s="2"/>
      <c r="Z92" s="7">
        <f t="shared" si="74"/>
        <v>0</v>
      </c>
    </row>
    <row r="93" spans="1:26" s="24" customFormat="1" hidden="1" outlineLevel="2" x14ac:dyDescent="0.3">
      <c r="A93" s="28"/>
      <c r="B93" s="11" t="str">
        <f>CONCATENATE("          ", "6245", " - ", "PRINTING")</f>
        <v xml:space="preserve">          6245 - PRINTING</v>
      </c>
      <c r="C93" s="11"/>
      <c r="D93" s="6"/>
      <c r="E93" s="2"/>
      <c r="F93" s="7">
        <f t="shared" si="67"/>
        <v>0</v>
      </c>
      <c r="G93" s="2"/>
      <c r="H93" s="6"/>
      <c r="I93" s="2"/>
      <c r="J93" s="7">
        <f t="shared" si="68"/>
        <v>0</v>
      </c>
      <c r="K93" s="2"/>
      <c r="L93" s="6">
        <f t="shared" si="69"/>
        <v>0</v>
      </c>
      <c r="M93" s="2"/>
      <c r="N93" s="7">
        <f t="shared" si="70"/>
        <v>0</v>
      </c>
      <c r="O93" s="11"/>
      <c r="P93" s="6">
        <v>1071</v>
      </c>
      <c r="Q93" s="2"/>
      <c r="R93" s="7">
        <f t="shared" si="71"/>
        <v>1.6097619330442145E-3</v>
      </c>
      <c r="S93" s="2"/>
      <c r="T93" s="6"/>
      <c r="U93" s="2"/>
      <c r="V93" s="7">
        <f t="shared" si="72"/>
        <v>0</v>
      </c>
      <c r="W93" s="2"/>
      <c r="X93" s="6">
        <f t="shared" si="73"/>
        <v>1071</v>
      </c>
      <c r="Y93" s="2"/>
      <c r="Z93" s="7">
        <f t="shared" si="74"/>
        <v>0</v>
      </c>
    </row>
    <row r="94" spans="1:26" s="24" customFormat="1" hidden="1" outlineLevel="2" x14ac:dyDescent="0.3">
      <c r="A94" s="28"/>
      <c r="B94" s="11" t="str">
        <f>CONCATENATE("          ", "6247", " - ", "STORE SUPPLIES")</f>
        <v xml:space="preserve">          6247 - STORE SUPPLIES</v>
      </c>
      <c r="C94" s="11"/>
      <c r="D94" s="6">
        <v>66.34</v>
      </c>
      <c r="E94" s="2"/>
      <c r="F94" s="7">
        <f t="shared" si="67"/>
        <v>5.7000918252658077E-4</v>
      </c>
      <c r="G94" s="2"/>
      <c r="H94" s="6"/>
      <c r="I94" s="2"/>
      <c r="J94" s="7">
        <f t="shared" si="68"/>
        <v>0</v>
      </c>
      <c r="K94" s="2"/>
      <c r="L94" s="6">
        <f t="shared" si="69"/>
        <v>66.34</v>
      </c>
      <c r="M94" s="2"/>
      <c r="N94" s="7">
        <f t="shared" si="70"/>
        <v>0</v>
      </c>
      <c r="O94" s="11"/>
      <c r="P94" s="6">
        <v>1252.0999999999999</v>
      </c>
      <c r="Q94" s="2"/>
      <c r="R94" s="7">
        <f t="shared" si="71"/>
        <v>1.8819635073432873E-3</v>
      </c>
      <c r="S94" s="2"/>
      <c r="T94" s="6">
        <v>121.28</v>
      </c>
      <c r="U94" s="2"/>
      <c r="V94" s="7">
        <f t="shared" si="72"/>
        <v>6.1625869084560615E-4</v>
      </c>
      <c r="W94" s="2"/>
      <c r="X94" s="6">
        <f t="shared" si="73"/>
        <v>1130.82</v>
      </c>
      <c r="Y94" s="2"/>
      <c r="Z94" s="7">
        <f t="shared" si="74"/>
        <v>9.3240435356200528</v>
      </c>
    </row>
    <row r="95" spans="1:26" s="24" customFormat="1" hidden="1" outlineLevel="2" x14ac:dyDescent="0.3">
      <c r="A95" s="28"/>
      <c r="B95" s="11" t="str">
        <f>CONCATENATE("          ", "6248", " - ", "UNIFORMS")</f>
        <v xml:space="preserve">          6248 - UNIFORMS</v>
      </c>
      <c r="C95" s="11"/>
      <c r="D95" s="6"/>
      <c r="E95" s="2"/>
      <c r="F95" s="7">
        <f t="shared" si="67"/>
        <v>0</v>
      </c>
      <c r="G95" s="2"/>
      <c r="H95" s="6"/>
      <c r="I95" s="2"/>
      <c r="J95" s="7">
        <f t="shared" si="68"/>
        <v>0</v>
      </c>
      <c r="K95" s="2"/>
      <c r="L95" s="6">
        <f t="shared" si="69"/>
        <v>0</v>
      </c>
      <c r="M95" s="2"/>
      <c r="N95" s="7">
        <f t="shared" si="70"/>
        <v>0</v>
      </c>
      <c r="O95" s="11"/>
      <c r="P95" s="6">
        <v>252.95</v>
      </c>
      <c r="Q95" s="2"/>
      <c r="R95" s="7">
        <f t="shared" si="71"/>
        <v>3.8019540706212327E-4</v>
      </c>
      <c r="S95" s="2"/>
      <c r="T95" s="6"/>
      <c r="U95" s="2"/>
      <c r="V95" s="7">
        <f t="shared" si="72"/>
        <v>0</v>
      </c>
      <c r="W95" s="2"/>
      <c r="X95" s="6">
        <f t="shared" si="73"/>
        <v>252.95</v>
      </c>
      <c r="Y95" s="2"/>
      <c r="Z95" s="7">
        <f t="shared" si="74"/>
        <v>0</v>
      </c>
    </row>
    <row r="96" spans="1:26" s="29" customFormat="1" outlineLevel="1" collapsed="1" x14ac:dyDescent="0.3">
      <c r="A96" s="27"/>
      <c r="B96" s="14" t="str">
        <f>CONCATENATE("     ","Telephone/Data Lines                              ")</f>
        <v xml:space="preserve">     Telephone/Data Lines                              </v>
      </c>
      <c r="C96" s="14"/>
      <c r="D96" s="1">
        <f>SUM(OSRRefD22_18x_0)</f>
        <v>780.95</v>
      </c>
      <c r="E96" s="1"/>
      <c r="F96" s="5">
        <f t="shared" ref="F96:F102" si="75">IF(D$12=0,0,D96/D$12)</f>
        <v>6.7101096034689967E-3</v>
      </c>
      <c r="G96" s="1"/>
      <c r="H96" s="1">
        <f>SUM(OSRRefH22_18x_0)</f>
        <v>868.65</v>
      </c>
      <c r="I96" s="1"/>
      <c r="J96" s="5">
        <f t="shared" ref="J96:J102" si="76">IF(H$12=0,0,H96/H$12)</f>
        <v>1.2036162943582798E-2</v>
      </c>
      <c r="K96" s="1"/>
      <c r="L96" s="1">
        <f t="shared" ref="L96:L102" si="77">+D96-H96</f>
        <v>-87.699999999999932</v>
      </c>
      <c r="M96" s="1"/>
      <c r="N96" s="5">
        <f t="shared" ref="N96:N102" si="78">IF(H96=0,0,L96/H96)</f>
        <v>-0.10096126172796861</v>
      </c>
      <c r="O96" s="14"/>
      <c r="P96" s="1">
        <f>SUM(OSRRefP22_18x_0)</f>
        <v>4799.4399999999996</v>
      </c>
      <c r="Q96" s="1"/>
      <c r="R96" s="5">
        <f t="shared" ref="R96:R102" si="79">IF(P$12=0,0,P96/P$12)</f>
        <v>7.2137776021752795E-3</v>
      </c>
      <c r="S96" s="1"/>
      <c r="T96" s="1">
        <f>SUM(OSRRefT22_18x_0)</f>
        <v>7311.56</v>
      </c>
      <c r="U96" s="1"/>
      <c r="V96" s="5">
        <f t="shared" ref="V96:V102" si="80">IF(T$12=0,0,T96/T$12)</f>
        <v>3.7152147045177275E-2</v>
      </c>
      <c r="W96" s="1"/>
      <c r="X96" s="1">
        <f t="shared" ref="X96:X102" si="81">+P96-T96</f>
        <v>-2512.1200000000008</v>
      </c>
      <c r="Y96" s="1"/>
      <c r="Z96" s="5">
        <f t="shared" ref="Z96:Z102" si="82">IF(T96=0,0,X96/T96)</f>
        <v>-0.34358194420889671</v>
      </c>
    </row>
    <row r="97" spans="1:26" s="24" customFormat="1" hidden="1" outlineLevel="2" x14ac:dyDescent="0.3">
      <c r="A97" s="28"/>
      <c r="B97" s="11" t="str">
        <f>CONCATENATE("          ", "6309", " - ", "TELEPHONE")</f>
        <v xml:space="preserve">          6309 - TELEPHONE</v>
      </c>
      <c r="C97" s="11"/>
      <c r="D97" s="6">
        <v>780.95</v>
      </c>
      <c r="E97" s="2"/>
      <c r="F97" s="7">
        <f t="shared" si="75"/>
        <v>6.7101096034689967E-3</v>
      </c>
      <c r="G97" s="2"/>
      <c r="H97" s="6">
        <v>868.65</v>
      </c>
      <c r="I97" s="2"/>
      <c r="J97" s="7">
        <f t="shared" si="76"/>
        <v>1.2036162943582798E-2</v>
      </c>
      <c r="K97" s="2"/>
      <c r="L97" s="6">
        <f t="shared" si="77"/>
        <v>-87.699999999999932</v>
      </c>
      <c r="M97" s="2"/>
      <c r="N97" s="7">
        <f t="shared" si="78"/>
        <v>-0.10096126172796861</v>
      </c>
      <c r="O97" s="11"/>
      <c r="P97" s="6">
        <v>4799.4399999999996</v>
      </c>
      <c r="Q97" s="2"/>
      <c r="R97" s="7">
        <f t="shared" si="79"/>
        <v>7.2137776021752795E-3</v>
      </c>
      <c r="S97" s="2"/>
      <c r="T97" s="6">
        <v>7311.56</v>
      </c>
      <c r="U97" s="2"/>
      <c r="V97" s="7">
        <f t="shared" si="80"/>
        <v>3.7152147045177275E-2</v>
      </c>
      <c r="W97" s="2"/>
      <c r="X97" s="6">
        <f t="shared" si="81"/>
        <v>-2512.1200000000008</v>
      </c>
      <c r="Y97" s="2"/>
      <c r="Z97" s="7">
        <f t="shared" si="82"/>
        <v>-0.34358194420889671</v>
      </c>
    </row>
    <row r="98" spans="1:26" s="29" customFormat="1" outlineLevel="1" collapsed="1" x14ac:dyDescent="0.3">
      <c r="A98" s="27"/>
      <c r="B98" s="14" t="str">
        <f>CONCATENATE("     ","Training                                          ")</f>
        <v xml:space="preserve">     Training                                          </v>
      </c>
      <c r="C98" s="14"/>
      <c r="D98" s="1">
        <f>SUM(OSRRefD22_19x_0)</f>
        <v>0</v>
      </c>
      <c r="E98" s="1"/>
      <c r="F98" s="5">
        <f t="shared" si="75"/>
        <v>0</v>
      </c>
      <c r="G98" s="1"/>
      <c r="H98" s="1">
        <f>SUM(OSRRefH22_19x_0)</f>
        <v>0</v>
      </c>
      <c r="I98" s="1"/>
      <c r="J98" s="5">
        <f t="shared" si="76"/>
        <v>0</v>
      </c>
      <c r="K98" s="1"/>
      <c r="L98" s="1">
        <f t="shared" si="77"/>
        <v>0</v>
      </c>
      <c r="M98" s="1"/>
      <c r="N98" s="5">
        <f t="shared" si="78"/>
        <v>0</v>
      </c>
      <c r="O98" s="14"/>
      <c r="P98" s="1">
        <f>SUM(OSRRefP22_19x_0)</f>
        <v>0</v>
      </c>
      <c r="Q98" s="1"/>
      <c r="R98" s="5">
        <f t="shared" si="79"/>
        <v>0</v>
      </c>
      <c r="S98" s="1"/>
      <c r="T98" s="1">
        <f>SUM(OSRRefT22_19x_0)</f>
        <v>400</v>
      </c>
      <c r="U98" s="1"/>
      <c r="V98" s="5">
        <f t="shared" si="80"/>
        <v>2.0325154711266693E-3</v>
      </c>
      <c r="W98" s="1"/>
      <c r="X98" s="1">
        <f t="shared" si="81"/>
        <v>-400</v>
      </c>
      <c r="Y98" s="1"/>
      <c r="Z98" s="5">
        <f t="shared" si="82"/>
        <v>-1</v>
      </c>
    </row>
    <row r="99" spans="1:26" s="24" customFormat="1" hidden="1" outlineLevel="2" x14ac:dyDescent="0.3">
      <c r="A99" s="28"/>
      <c r="B99" s="11" t="str">
        <f>CONCATENATE("          ", "6376", " - ", "TRAINING")</f>
        <v xml:space="preserve">          6376 - TRAINING</v>
      </c>
      <c r="C99" s="11"/>
      <c r="D99" s="6"/>
      <c r="E99" s="2"/>
      <c r="F99" s="7">
        <f t="shared" si="75"/>
        <v>0</v>
      </c>
      <c r="G99" s="2"/>
      <c r="H99" s="6"/>
      <c r="I99" s="2"/>
      <c r="J99" s="7">
        <f t="shared" si="76"/>
        <v>0</v>
      </c>
      <c r="K99" s="2"/>
      <c r="L99" s="6">
        <f t="shared" si="77"/>
        <v>0</v>
      </c>
      <c r="M99" s="2"/>
      <c r="N99" s="7">
        <f t="shared" si="78"/>
        <v>0</v>
      </c>
      <c r="O99" s="11"/>
      <c r="P99" s="6"/>
      <c r="Q99" s="2"/>
      <c r="R99" s="7">
        <f t="shared" si="79"/>
        <v>0</v>
      </c>
      <c r="S99" s="2"/>
      <c r="T99" s="6">
        <v>400</v>
      </c>
      <c r="U99" s="2"/>
      <c r="V99" s="7">
        <f t="shared" si="80"/>
        <v>2.0325154711266693E-3</v>
      </c>
      <c r="W99" s="2"/>
      <c r="X99" s="6">
        <f t="shared" si="81"/>
        <v>-400</v>
      </c>
      <c r="Y99" s="2"/>
      <c r="Z99" s="7">
        <f t="shared" si="82"/>
        <v>-1</v>
      </c>
    </row>
    <row r="100" spans="1:26" s="29" customFormat="1" outlineLevel="1" collapsed="1" x14ac:dyDescent="0.3">
      <c r="A100" s="27"/>
      <c r="B100" s="14" t="str">
        <f>CONCATENATE("     ","Travel                                            ")</f>
        <v xml:space="preserve">     Travel                                            </v>
      </c>
      <c r="C100" s="14"/>
      <c r="D100" s="1">
        <f>SUM(OSRRefD22_20x_0)</f>
        <v>0</v>
      </c>
      <c r="E100" s="1"/>
      <c r="F100" s="5">
        <f t="shared" si="75"/>
        <v>0</v>
      </c>
      <c r="G100" s="1"/>
      <c r="H100" s="1">
        <f>SUM(OSRRefH22_20x_0)</f>
        <v>0</v>
      </c>
      <c r="I100" s="1"/>
      <c r="J100" s="5">
        <f t="shared" si="76"/>
        <v>0</v>
      </c>
      <c r="K100" s="1"/>
      <c r="L100" s="1">
        <f t="shared" si="77"/>
        <v>0</v>
      </c>
      <c r="M100" s="1"/>
      <c r="N100" s="5">
        <f t="shared" si="78"/>
        <v>0</v>
      </c>
      <c r="O100" s="14"/>
      <c r="P100" s="1">
        <f>SUM(OSRRefP22_20x_0)</f>
        <v>18.59</v>
      </c>
      <c r="Q100" s="1"/>
      <c r="R100" s="5">
        <f t="shared" si="79"/>
        <v>2.7941619360683423E-5</v>
      </c>
      <c r="S100" s="1"/>
      <c r="T100" s="1">
        <f>SUM(OSRRefT22_20x_0)</f>
        <v>332.21</v>
      </c>
      <c r="U100" s="1"/>
      <c r="V100" s="5">
        <f t="shared" si="80"/>
        <v>1.688054911657477E-3</v>
      </c>
      <c r="W100" s="1"/>
      <c r="X100" s="1">
        <f t="shared" si="81"/>
        <v>-313.62</v>
      </c>
      <c r="Y100" s="1"/>
      <c r="Z100" s="5">
        <f t="shared" si="82"/>
        <v>-0.94404141958399812</v>
      </c>
    </row>
    <row r="101" spans="1:26" s="24" customFormat="1" hidden="1" outlineLevel="2" x14ac:dyDescent="0.3">
      <c r="A101" s="28"/>
      <c r="B101" s="11" t="str">
        <f>CONCATENATE("          ", "6292", " - ", "TRAVEL/CONFERENCE")</f>
        <v xml:space="preserve">          6292 - TRAVEL/CONFERENCE</v>
      </c>
      <c r="C101" s="11"/>
      <c r="D101" s="6"/>
      <c r="E101" s="2"/>
      <c r="F101" s="7">
        <f t="shared" si="75"/>
        <v>0</v>
      </c>
      <c r="G101" s="2"/>
      <c r="H101" s="6"/>
      <c r="I101" s="2"/>
      <c r="J101" s="7">
        <f t="shared" si="76"/>
        <v>0</v>
      </c>
      <c r="K101" s="2"/>
      <c r="L101" s="6">
        <f t="shared" si="77"/>
        <v>0</v>
      </c>
      <c r="M101" s="2"/>
      <c r="N101" s="7">
        <f t="shared" si="78"/>
        <v>0</v>
      </c>
      <c r="O101" s="11"/>
      <c r="P101" s="6">
        <v>18.59</v>
      </c>
      <c r="Q101" s="2"/>
      <c r="R101" s="7">
        <f t="shared" si="79"/>
        <v>2.7941619360683423E-5</v>
      </c>
      <c r="S101" s="2"/>
      <c r="T101" s="6"/>
      <c r="U101" s="2"/>
      <c r="V101" s="7">
        <f t="shared" si="80"/>
        <v>0</v>
      </c>
      <c r="W101" s="2"/>
      <c r="X101" s="6">
        <f t="shared" si="81"/>
        <v>18.59</v>
      </c>
      <c r="Y101" s="2"/>
      <c r="Z101" s="7">
        <f t="shared" si="82"/>
        <v>0</v>
      </c>
    </row>
    <row r="102" spans="1:26" s="24" customFormat="1" hidden="1" outlineLevel="2" x14ac:dyDescent="0.3">
      <c r="A102" s="28"/>
      <c r="B102" s="11" t="str">
        <f>CONCATENATE("          ", "6298", " - ", "VEHICLE MILEAGE")</f>
        <v xml:space="preserve">          6298 - VEHICLE MILEAGE</v>
      </c>
      <c r="C102" s="11"/>
      <c r="D102" s="6"/>
      <c r="E102" s="2"/>
      <c r="F102" s="7">
        <f t="shared" si="75"/>
        <v>0</v>
      </c>
      <c r="G102" s="2"/>
      <c r="H102" s="6"/>
      <c r="I102" s="2"/>
      <c r="J102" s="7">
        <f t="shared" si="76"/>
        <v>0</v>
      </c>
      <c r="K102" s="2"/>
      <c r="L102" s="6">
        <f t="shared" si="77"/>
        <v>0</v>
      </c>
      <c r="M102" s="2"/>
      <c r="N102" s="7">
        <f t="shared" si="78"/>
        <v>0</v>
      </c>
      <c r="O102" s="11"/>
      <c r="P102" s="6"/>
      <c r="Q102" s="2"/>
      <c r="R102" s="7">
        <f t="shared" si="79"/>
        <v>0</v>
      </c>
      <c r="S102" s="2"/>
      <c r="T102" s="6">
        <v>332.21</v>
      </c>
      <c r="U102" s="2"/>
      <c r="V102" s="7">
        <f t="shared" si="80"/>
        <v>1.688054911657477E-3</v>
      </c>
      <c r="W102" s="2"/>
      <c r="X102" s="6">
        <f t="shared" si="81"/>
        <v>-332.21</v>
      </c>
      <c r="Y102" s="2"/>
      <c r="Z102" s="7">
        <f t="shared" si="82"/>
        <v>-1</v>
      </c>
    </row>
    <row r="103" spans="1:26" s="29" customFormat="1" outlineLevel="1" collapsed="1" x14ac:dyDescent="0.3">
      <c r="A103" s="27"/>
      <c r="B103" s="14" t="str">
        <f>CONCATENATE("     ","Utilities                                         ")</f>
        <v xml:space="preserve">     Utilities                                         </v>
      </c>
      <c r="C103" s="14"/>
      <c r="D103" s="1">
        <f>SUM(OSRRefD22_21x_0)</f>
        <v>8250</v>
      </c>
      <c r="E103" s="1"/>
      <c r="F103" s="5">
        <f t="shared" ref="F103:F104" si="83">IF(D$12=0,0,D103/D$12)</f>
        <v>7.0885977628041774E-2</v>
      </c>
      <c r="G103" s="1"/>
      <c r="H103" s="1">
        <f>SUM(OSRRefH22_21x_0)</f>
        <v>4796</v>
      </c>
      <c r="I103" s="1"/>
      <c r="J103" s="5">
        <f t="shared" ref="J103:J104" si="84">IF(H$12=0,0,H103/H$12)</f>
        <v>6.6454196140474417E-2</v>
      </c>
      <c r="K103" s="1"/>
      <c r="L103" s="1">
        <f t="shared" ref="L103:L104" si="85">+D103-H103</f>
        <v>3454</v>
      </c>
      <c r="M103" s="1"/>
      <c r="N103" s="5">
        <f t="shared" ref="N103:N104" si="86">IF(H103=0,0,L103/H103)</f>
        <v>0.72018348623853212</v>
      </c>
      <c r="O103" s="14"/>
      <c r="P103" s="1">
        <f>SUM(OSRRefP22_21x_0)</f>
        <v>47100</v>
      </c>
      <c r="Q103" s="1"/>
      <c r="R103" s="5">
        <f t="shared" ref="R103:R104" si="87">IF(P$12=0,0,P103/P$12)</f>
        <v>7.0793451957406633E-2</v>
      </c>
      <c r="S103" s="1"/>
      <c r="T103" s="1">
        <f>SUM(OSRRefT22_21x_0)</f>
        <v>4550</v>
      </c>
      <c r="U103" s="1"/>
      <c r="V103" s="5">
        <f t="shared" ref="V103:V104" si="88">IF(T$12=0,0,T103/T$12)</f>
        <v>2.3119863484065861E-2</v>
      </c>
      <c r="W103" s="1"/>
      <c r="X103" s="1">
        <f t="shared" ref="X103:X104" si="89">+P103-T103</f>
        <v>42550</v>
      </c>
      <c r="Y103" s="1"/>
      <c r="Z103" s="5">
        <f t="shared" ref="Z103:Z104" si="90">IF(T103=0,0,X103/T103)</f>
        <v>9.3516483516483522</v>
      </c>
    </row>
    <row r="104" spans="1:26" s="24" customFormat="1" hidden="1" outlineLevel="2" x14ac:dyDescent="0.3">
      <c r="A104" s="28"/>
      <c r="B104" s="11" t="str">
        <f>CONCATENATE("          ", "6274", " - ", "UTILITIES")</f>
        <v xml:space="preserve">          6274 - UTILITIES</v>
      </c>
      <c r="C104" s="11"/>
      <c r="D104" s="6">
        <v>8250</v>
      </c>
      <c r="E104" s="2"/>
      <c r="F104" s="7">
        <f t="shared" si="83"/>
        <v>7.0885977628041774E-2</v>
      </c>
      <c r="G104" s="2"/>
      <c r="H104" s="6">
        <v>4796</v>
      </c>
      <c r="I104" s="2"/>
      <c r="J104" s="7">
        <f t="shared" si="84"/>
        <v>6.6454196140474417E-2</v>
      </c>
      <c r="K104" s="2"/>
      <c r="L104" s="6">
        <f t="shared" si="85"/>
        <v>3454</v>
      </c>
      <c r="M104" s="2"/>
      <c r="N104" s="7">
        <f t="shared" si="86"/>
        <v>0.72018348623853212</v>
      </c>
      <c r="O104" s="11"/>
      <c r="P104" s="6">
        <v>47100</v>
      </c>
      <c r="Q104" s="2"/>
      <c r="R104" s="7">
        <f t="shared" si="87"/>
        <v>7.0793451957406633E-2</v>
      </c>
      <c r="S104" s="2"/>
      <c r="T104" s="6">
        <v>4550</v>
      </c>
      <c r="U104" s="2"/>
      <c r="V104" s="7">
        <f t="shared" si="88"/>
        <v>2.3119863484065861E-2</v>
      </c>
      <c r="W104" s="2"/>
      <c r="X104" s="6">
        <f t="shared" si="89"/>
        <v>42550</v>
      </c>
      <c r="Y104" s="2"/>
      <c r="Z104" s="7">
        <f t="shared" si="90"/>
        <v>9.3516483516483522</v>
      </c>
    </row>
    <row r="105" spans="1:26" s="53" customFormat="1" x14ac:dyDescent="0.3">
      <c r="A105" s="37"/>
      <c r="B105" s="37"/>
      <c r="C105" s="37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7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3" customFormat="1" collapsed="1" x14ac:dyDescent="0.3">
      <c r="A106" s="10"/>
      <c r="B106" s="25" t="s">
        <v>292</v>
      </c>
      <c r="C106" s="10"/>
      <c r="D106" s="4">
        <f>SUM(OSRRefD25x_0)</f>
        <v>104600.16</v>
      </c>
      <c r="E106" s="4"/>
      <c r="F106" s="12">
        <f t="shared" ref="F106:F109" si="91">IF(D$12=0,0,D106/D$12)</f>
        <v>0.89874964868479879</v>
      </c>
      <c r="G106" s="4"/>
      <c r="H106" s="4">
        <f>SUM(OSRRefH25x_0)</f>
        <v>11120.800000000001</v>
      </c>
      <c r="I106" s="4"/>
      <c r="J106" s="12">
        <f t="shared" ref="J106:J109" si="92">IF(H$12=0,0,H106/H$12)</f>
        <v>0.15409170651355045</v>
      </c>
      <c r="K106" s="4"/>
      <c r="L106" s="4">
        <f t="shared" ref="L106:L109" si="93">+D106-H106</f>
        <v>93479.360000000001</v>
      </c>
      <c r="M106" s="4"/>
      <c r="N106" s="12">
        <f t="shared" ref="N106:N109" si="94">IF(H106=0,0,L106/H106)</f>
        <v>8.4058125314725558</v>
      </c>
      <c r="O106" s="10"/>
      <c r="P106" s="4">
        <f>SUM(OSRRefP25x_0)</f>
        <v>134618.51</v>
      </c>
      <c r="Q106" s="4"/>
      <c r="R106" s="12">
        <f t="shared" ref="R106:R109" si="95">IF(P$12=0,0,P106/P$12)</f>
        <v>0.20233777113084214</v>
      </c>
      <c r="S106" s="4"/>
      <c r="T106" s="4">
        <f>SUM(OSRRefT25x_0)</f>
        <v>15371.47</v>
      </c>
      <c r="U106" s="4"/>
      <c r="V106" s="12">
        <f t="shared" ref="V106:V109" si="96">IF(T$12=0,0,T106/T$12)</f>
        <v>7.8106876472398654E-2</v>
      </c>
      <c r="W106" s="4"/>
      <c r="X106" s="4">
        <f t="shared" ref="X106:X109" si="97">+P106-T106</f>
        <v>119247.04000000001</v>
      </c>
      <c r="Y106" s="4"/>
      <c r="Z106" s="12">
        <f t="shared" ref="Z106:Z109" si="98">IF(T106=0,0,X106/T106)</f>
        <v>7.7576861549350848</v>
      </c>
    </row>
    <row r="107" spans="1:26" s="24" customFormat="1" hidden="1" outlineLevel="1" x14ac:dyDescent="0.3">
      <c r="A107" s="44"/>
      <c r="B107" s="11" t="str">
        <f>CONCATENATE("          ", "9150", " - ", "MISC. INCOME")</f>
        <v xml:space="preserve">          9150 - MISC. INCOME</v>
      </c>
      <c r="C107" s="11"/>
      <c r="D107" s="2">
        <f>--104600.16</f>
        <v>104600.16</v>
      </c>
      <c r="E107" s="2"/>
      <c r="F107" s="19">
        <f t="shared" si="91"/>
        <v>0.89874964868479879</v>
      </c>
      <c r="G107" s="2"/>
      <c r="H107" s="2">
        <f>--804.28</f>
        <v>804.28</v>
      </c>
      <c r="I107" s="2"/>
      <c r="J107" s="19">
        <f t="shared" si="92"/>
        <v>1.1144241215984313E-2</v>
      </c>
      <c r="K107" s="2"/>
      <c r="L107" s="2">
        <f t="shared" si="93"/>
        <v>103795.88</v>
      </c>
      <c r="M107" s="2"/>
      <c r="N107" s="19">
        <f t="shared" si="94"/>
        <v>129.0544089123191</v>
      </c>
      <c r="O107" s="11"/>
      <c r="P107" s="2">
        <f>--134618.51</f>
        <v>134618.51</v>
      </c>
      <c r="Q107" s="2"/>
      <c r="R107" s="19">
        <f t="shared" si="95"/>
        <v>0.20233777113084214</v>
      </c>
      <c r="S107" s="2"/>
      <c r="T107" s="2">
        <f>--1728.05</f>
        <v>1728.05</v>
      </c>
      <c r="U107" s="2"/>
      <c r="V107" s="19">
        <f t="shared" si="96"/>
        <v>8.7807208997011024E-3</v>
      </c>
      <c r="W107" s="2"/>
      <c r="X107" s="2">
        <f t="shared" si="97"/>
        <v>132890.46000000002</v>
      </c>
      <c r="Y107" s="2"/>
      <c r="Z107" s="19">
        <f t="shared" si="98"/>
        <v>76.901976215965988</v>
      </c>
    </row>
    <row r="108" spans="1:26" s="24" customFormat="1" hidden="1" outlineLevel="1" x14ac:dyDescent="0.3">
      <c r="A108" s="44"/>
      <c r="B108" s="11" t="str">
        <f>CONCATENATE("          ", "9160", " - ", "MISC. INCOME")</f>
        <v xml:space="preserve">          9160 - MISC. INCOME</v>
      </c>
      <c r="C108" s="11"/>
      <c r="D108" s="2">
        <f t="shared" ref="D108:D109" si="99">0</f>
        <v>0</v>
      </c>
      <c r="E108" s="2"/>
      <c r="F108" s="19">
        <f t="shared" si="91"/>
        <v>0</v>
      </c>
      <c r="G108" s="2"/>
      <c r="H108" s="2">
        <f>--10000</f>
        <v>10000</v>
      </c>
      <c r="I108" s="2"/>
      <c r="J108" s="19">
        <f t="shared" si="92"/>
        <v>0.13856171005103091</v>
      </c>
      <c r="K108" s="2"/>
      <c r="L108" s="2">
        <f t="shared" si="93"/>
        <v>-10000</v>
      </c>
      <c r="M108" s="2"/>
      <c r="N108" s="19">
        <f t="shared" si="94"/>
        <v>-1</v>
      </c>
      <c r="O108" s="11"/>
      <c r="P108" s="2">
        <f t="shared" ref="P108:P109" si="100">0</f>
        <v>0</v>
      </c>
      <c r="Q108" s="2"/>
      <c r="R108" s="19">
        <f t="shared" si="95"/>
        <v>0</v>
      </c>
      <c r="S108" s="2"/>
      <c r="T108" s="2">
        <f>--12328.25</f>
        <v>12328.25</v>
      </c>
      <c r="U108" s="2"/>
      <c r="V108" s="19">
        <f t="shared" si="96"/>
        <v>6.2643397142293403E-2</v>
      </c>
      <c r="W108" s="2"/>
      <c r="X108" s="2">
        <f t="shared" si="97"/>
        <v>-12328.25</v>
      </c>
      <c r="Y108" s="2"/>
      <c r="Z108" s="19">
        <f t="shared" si="98"/>
        <v>-1</v>
      </c>
    </row>
    <row r="109" spans="1:26" s="24" customFormat="1" hidden="1" outlineLevel="1" x14ac:dyDescent="0.3">
      <c r="A109" s="44"/>
      <c r="B109" s="11" t="str">
        <f>CONCATENATE("          ", "9165", " - ", "OTHER INCOME")</f>
        <v xml:space="preserve">          9165 - OTHER INCOME</v>
      </c>
      <c r="C109" s="11"/>
      <c r="D109" s="2">
        <f t="shared" si="99"/>
        <v>0</v>
      </c>
      <c r="E109" s="2"/>
      <c r="F109" s="19">
        <f t="shared" si="91"/>
        <v>0</v>
      </c>
      <c r="G109" s="2"/>
      <c r="H109" s="2">
        <f>--316.52</f>
        <v>316.52</v>
      </c>
      <c r="I109" s="2"/>
      <c r="J109" s="19">
        <f t="shared" si="92"/>
        <v>4.3857552465352296E-3</v>
      </c>
      <c r="K109" s="2"/>
      <c r="L109" s="2">
        <f t="shared" si="93"/>
        <v>-316.52</v>
      </c>
      <c r="M109" s="2"/>
      <c r="N109" s="19">
        <f t="shared" si="94"/>
        <v>-1</v>
      </c>
      <c r="O109" s="11"/>
      <c r="P109" s="2">
        <f t="shared" si="100"/>
        <v>0</v>
      </c>
      <c r="Q109" s="2"/>
      <c r="R109" s="19">
        <f t="shared" si="95"/>
        <v>0</v>
      </c>
      <c r="S109" s="2"/>
      <c r="T109" s="2">
        <f>--1315.17</f>
        <v>1315.17</v>
      </c>
      <c r="U109" s="2"/>
      <c r="V109" s="19">
        <f t="shared" si="96"/>
        <v>6.6827584304041546E-3</v>
      </c>
      <c r="W109" s="2"/>
      <c r="X109" s="2">
        <f t="shared" si="97"/>
        <v>-1315.17</v>
      </c>
      <c r="Y109" s="2"/>
      <c r="Z109" s="19">
        <f t="shared" si="98"/>
        <v>-1</v>
      </c>
    </row>
    <row r="110" spans="1:26" x14ac:dyDescent="0.3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3">
      <c r="A111" s="10"/>
      <c r="B111" s="26" t="s">
        <v>276</v>
      </c>
      <c r="C111" s="26"/>
      <c r="D111" s="20">
        <f>+D31-D33+D106</f>
        <v>-30225.709999999992</v>
      </c>
      <c r="E111" s="13"/>
      <c r="F111" s="21">
        <f>IF(D$12=0,0,D111/D$12)</f>
        <v>-0.25970654580020336</v>
      </c>
      <c r="G111" s="13"/>
      <c r="H111" s="20">
        <f>+H31-H33+H106</f>
        <v>-57237.210000000006</v>
      </c>
      <c r="I111" s="13"/>
      <c r="J111" s="21">
        <f>IF(H$12=0,0,H111/H$12)</f>
        <v>-0.79308856961499674</v>
      </c>
      <c r="K111" s="15"/>
      <c r="L111" s="20">
        <f>+D111-H111</f>
        <v>27011.500000000015</v>
      </c>
      <c r="M111" s="15"/>
      <c r="N111" s="21">
        <f>IF(H111=0,0,L111/H111)</f>
        <v>-0.47192202415177142</v>
      </c>
      <c r="O111" s="25"/>
      <c r="P111" s="20">
        <f>+P31-P33+P106</f>
        <v>-672138.69</v>
      </c>
      <c r="Q111" s="13"/>
      <c r="R111" s="21">
        <f>IF(P$12=0,0,P111/P$12)</f>
        <v>-1.0102551604931895</v>
      </c>
      <c r="S111" s="13"/>
      <c r="T111" s="20">
        <f>+T31-T33+T106</f>
        <v>-662667.62</v>
      </c>
      <c r="U111" s="13"/>
      <c r="V111" s="21">
        <f>IF(T$12=0,0,T111/T$12)</f>
        <v>-3.3672054746617217</v>
      </c>
      <c r="W111" s="15"/>
      <c r="X111" s="20">
        <f>+P111-T111</f>
        <v>-9471.0699999999488</v>
      </c>
      <c r="Y111" s="15"/>
      <c r="Z111" s="21">
        <f>IF(T111=0,0,X111/T111)</f>
        <v>1.4292338593516836E-2</v>
      </c>
    </row>
    <row r="112" spans="1:26" x14ac:dyDescent="0.3">
      <c r="A112" s="9"/>
      <c r="B112" s="10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x14ac:dyDescent="0.3">
      <c r="A113" s="51"/>
      <c r="B113" s="10" t="s">
        <v>127</v>
      </c>
      <c r="C113" s="10"/>
      <c r="D113" s="4">
        <v>14700.4</v>
      </c>
      <c r="E113" s="4"/>
      <c r="F113" s="12">
        <f>IF(D$12=0,0,D113/D$12)</f>
        <v>0.1263093606694867</v>
      </c>
      <c r="G113" s="4"/>
      <c r="H113" s="4">
        <v>16602.12</v>
      </c>
      <c r="I113" s="4"/>
      <c r="J113" s="12">
        <f>IF(H$12=0,0,H113/H$12)</f>
        <v>0.23004181376724211</v>
      </c>
      <c r="K113" s="4"/>
      <c r="L113" s="4">
        <f>+D113-H113</f>
        <v>-1901.7199999999993</v>
      </c>
      <c r="M113" s="4"/>
      <c r="N113" s="12">
        <f>IF(H113=0,0,L113/H113)</f>
        <v>-0.11454681691253885</v>
      </c>
      <c r="O113" s="10"/>
      <c r="P113" s="4">
        <v>80084.61</v>
      </c>
      <c r="Q113" s="4"/>
      <c r="R113" s="12">
        <f>IF(P$12=0,0,P113/P$12)</f>
        <v>0.12037082782510927</v>
      </c>
      <c r="S113" s="4"/>
      <c r="T113" s="4">
        <v>36412.25</v>
      </c>
      <c r="U113" s="4"/>
      <c r="V113" s="12">
        <f>IF(T$12=0,0,T113/T$12)</f>
        <v>0.18502115365883015</v>
      </c>
      <c r="W113" s="4"/>
      <c r="X113" s="4">
        <f>+P113-T113</f>
        <v>43672.36</v>
      </c>
      <c r="Y113" s="4"/>
      <c r="Z113" s="12">
        <f>IF(T113=0,0,X113/T113)</f>
        <v>1.1993864702126344</v>
      </c>
    </row>
    <row r="114" spans="1:26" x14ac:dyDescent="0.3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" thickBot="1" x14ac:dyDescent="0.35">
      <c r="A115" s="10"/>
      <c r="B115" s="26" t="s">
        <v>125</v>
      </c>
      <c r="C115" s="26"/>
      <c r="D115" s="32">
        <f>+D111-D113</f>
        <v>-44926.109999999993</v>
      </c>
      <c r="E115" s="13"/>
      <c r="F115" s="35">
        <f>IF(D$12=0,0,D115/D$12)</f>
        <v>-0.38601590646969008</v>
      </c>
      <c r="G115" s="13"/>
      <c r="H115" s="32">
        <f>+H111-H113</f>
        <v>-73839.33</v>
      </c>
      <c r="I115" s="13"/>
      <c r="J115" s="35">
        <f>IF(H$12=0,0,H115/H$12)</f>
        <v>-1.0231303833822387</v>
      </c>
      <c r="K115" s="15"/>
      <c r="L115" s="32">
        <f>D115-H115</f>
        <v>28913.220000000008</v>
      </c>
      <c r="M115" s="15"/>
      <c r="N115" s="35">
        <f>IF(H115=0,0,L115/H115)</f>
        <v>-0.39156937095718514</v>
      </c>
      <c r="O115" s="25"/>
      <c r="P115" s="32">
        <f>+P111-P113</f>
        <v>-752223.29999999993</v>
      </c>
      <c r="Q115" s="13"/>
      <c r="R115" s="35">
        <f>IF(P$12=0,0,P115/P$12)</f>
        <v>-1.1306259883182987</v>
      </c>
      <c r="S115" s="13"/>
      <c r="T115" s="32">
        <f>+T111-T113</f>
        <v>-699079.87</v>
      </c>
      <c r="U115" s="13"/>
      <c r="V115" s="35">
        <f>IF(T$12=0,0,T115/T$12)</f>
        <v>-3.5522266283205517</v>
      </c>
      <c r="W115" s="15"/>
      <c r="X115" s="32">
        <f>P115-T115</f>
        <v>-53143.429999999935</v>
      </c>
      <c r="Y115" s="15"/>
      <c r="Z115" s="35">
        <f>IF(T115=0,0,X115/T115)</f>
        <v>7.6019110663277906E-2</v>
      </c>
    </row>
    <row r="116" spans="1:26" ht="15" thickTop="1" x14ac:dyDescent="0.3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x14ac:dyDescent="0.3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" thickBot="1" x14ac:dyDescent="0.35">
      <c r="A118" s="10"/>
      <c r="B118" s="26" t="s">
        <v>293</v>
      </c>
      <c r="C118" s="26"/>
      <c r="D118" s="31">
        <f>SUM(D115:D117)</f>
        <v>-44926.109999999993</v>
      </c>
      <c r="E118" s="13"/>
      <c r="F118" s="33">
        <f>IF(D$12=0,0,D118/D$12)</f>
        <v>-0.38601590646969008</v>
      </c>
      <c r="G118" s="13"/>
      <c r="H118" s="31">
        <f>SUM(H115:H117)</f>
        <v>-73839.33</v>
      </c>
      <c r="I118" s="13"/>
      <c r="J118" s="33">
        <f>IF(H$12=0,0,H118/H$12)</f>
        <v>-1.0231303833822387</v>
      </c>
      <c r="K118" s="15"/>
      <c r="L118" s="31">
        <f>+D118-H118</f>
        <v>28913.220000000008</v>
      </c>
      <c r="M118" s="15"/>
      <c r="N118" s="33">
        <f>IF(H118=0,0,L118/H118)</f>
        <v>-0.39156937095718514</v>
      </c>
      <c r="O118" s="25"/>
      <c r="P118" s="31">
        <f>SUM(P115:P117)</f>
        <v>-752223.29999999993</v>
      </c>
      <c r="Q118" s="13"/>
      <c r="R118" s="33">
        <f>IF(P$12=0,0,P118/P$12)</f>
        <v>-1.1306259883182987</v>
      </c>
      <c r="S118" s="13"/>
      <c r="T118" s="31">
        <f>SUM(T115:T117)</f>
        <v>-699079.87</v>
      </c>
      <c r="U118" s="13"/>
      <c r="V118" s="33">
        <f>IF(T$12=0,0,T118/T$12)</f>
        <v>-3.5522266283205517</v>
      </c>
      <c r="W118" s="15"/>
      <c r="X118" s="31">
        <f>+P118-T118</f>
        <v>-53143.429999999935</v>
      </c>
      <c r="Y118" s="15"/>
      <c r="Z118" s="33">
        <f>IF(T118=0,0,X118/T118)</f>
        <v>7.6019110663277906E-2</v>
      </c>
    </row>
    <row r="119" spans="1:26" ht="15" thickTop="1" x14ac:dyDescent="0.3">
      <c r="A119" s="9"/>
      <c r="C119" s="9"/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  <row r="120" spans="1:26" x14ac:dyDescent="0.3">
      <c r="A120" s="9"/>
      <c r="B120" s="60">
        <v>44575.854552546298</v>
      </c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  <row r="121" spans="1:26" x14ac:dyDescent="0.3">
      <c r="A121" s="9"/>
      <c r="B121" s="57" t="s">
        <v>56</v>
      </c>
      <c r="D121" s="17"/>
      <c r="E121" s="17"/>
      <c r="G121" s="17"/>
      <c r="H121" s="17"/>
      <c r="I121" s="17"/>
      <c r="J121" s="43"/>
      <c r="K121" s="17"/>
      <c r="L121" s="17"/>
      <c r="M121" s="17"/>
      <c r="P121" s="17"/>
      <c r="Q121" s="17"/>
      <c r="R121" s="43"/>
      <c r="S121" s="17"/>
      <c r="T121" s="17"/>
      <c r="U121" s="17"/>
      <c r="V121" s="43"/>
      <c r="W121" s="17"/>
      <c r="X121" s="17"/>
    </row>
    <row r="122" spans="1:26" x14ac:dyDescent="0.3">
      <c r="A122" s="9"/>
      <c r="B122" s="59"/>
      <c r="D122" s="17"/>
      <c r="E122" s="17"/>
      <c r="G122" s="17"/>
      <c r="H122" s="17"/>
      <c r="I122" s="17"/>
      <c r="J122" s="43"/>
      <c r="K122" s="17"/>
      <c r="L122" s="17"/>
      <c r="M122" s="17"/>
      <c r="P122" s="17"/>
      <c r="Q122" s="17"/>
      <c r="R122" s="43"/>
      <c r="S122" s="17"/>
      <c r="T122" s="17"/>
      <c r="U122" s="17"/>
      <c r="V122" s="43"/>
      <c r="W122" s="17"/>
      <c r="X122" s="17"/>
    </row>
    <row r="123" spans="1:26" x14ac:dyDescent="0.3">
      <c r="D123" s="17"/>
      <c r="E123" s="17"/>
      <c r="G123" s="17"/>
      <c r="H123" s="17"/>
      <c r="I123" s="17"/>
      <c r="J123" s="43"/>
      <c r="K123" s="17"/>
      <c r="L123" s="17"/>
      <c r="M123" s="17"/>
      <c r="P123" s="17"/>
      <c r="Q123" s="17"/>
      <c r="R123" s="43"/>
      <c r="S123" s="17"/>
      <c r="T123" s="17"/>
      <c r="U123" s="17"/>
      <c r="V123" s="43"/>
      <c r="W123" s="17"/>
      <c r="X123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  <outlinePr summaryBelow="0" summaryRight="0"/>
  </sheetPr>
  <dimension ref="A2:Z11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105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103905.87000000001</v>
      </c>
      <c r="E12" s="4"/>
      <c r="F12" s="12"/>
      <c r="G12" s="4"/>
      <c r="H12" s="4">
        <f>SUM(OSRRefH13x_0)</f>
        <v>72170.009999999995</v>
      </c>
      <c r="I12" s="4"/>
      <c r="J12" s="12"/>
      <c r="K12" s="4"/>
      <c r="L12" s="4">
        <f t="shared" ref="L12:L17" si="0">+D12-H12</f>
        <v>31735.860000000015</v>
      </c>
      <c r="M12" s="4"/>
      <c r="N12" s="12">
        <f t="shared" ref="N12:N17" si="1">IF(H12=0,0,L12/H12)</f>
        <v>0.43973750315401117</v>
      </c>
      <c r="O12" s="10"/>
      <c r="P12" s="4">
        <f>SUM(OSRRefP13x_0)</f>
        <v>588908.27</v>
      </c>
      <c r="Q12" s="4"/>
      <c r="R12" s="12"/>
      <c r="S12" s="4"/>
      <c r="T12" s="4">
        <f>SUM(OSRRefT13x_0)</f>
        <v>194214.00000000003</v>
      </c>
      <c r="U12" s="4"/>
      <c r="V12" s="12"/>
      <c r="W12" s="4"/>
      <c r="X12" s="4">
        <f t="shared" ref="X12:X17" si="2">+P12-T12</f>
        <v>394694.27</v>
      </c>
      <c r="Y12" s="4"/>
      <c r="Z12" s="12">
        <f t="shared" ref="Z12:Z17" si="3">IF(T12=0,0,X12/T12)</f>
        <v>2.0322647697900251</v>
      </c>
    </row>
    <row r="13" spans="1:26" s="24" customFormat="1" hidden="1" outlineLevel="1" x14ac:dyDescent="0.3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--19631.62</f>
        <v>19631.62</v>
      </c>
      <c r="E13" s="2"/>
      <c r="F13" s="19"/>
      <c r="G13" s="2"/>
      <c r="H13" s="2">
        <f>--5713.27</f>
        <v>5713.27</v>
      </c>
      <c r="I13" s="2"/>
      <c r="J13" s="19"/>
      <c r="K13" s="2"/>
      <c r="L13" s="2">
        <f t="shared" si="0"/>
        <v>13918.349999999999</v>
      </c>
      <c r="M13" s="2"/>
      <c r="N13" s="19">
        <f t="shared" si="1"/>
        <v>2.4361442746448176</v>
      </c>
      <c r="O13" s="11"/>
      <c r="P13" s="2">
        <f>--146982.79</f>
        <v>146982.79</v>
      </c>
      <c r="Q13" s="2"/>
      <c r="R13" s="19"/>
      <c r="S13" s="2"/>
      <c r="T13" s="2">
        <f>--22964.48</f>
        <v>22964.48</v>
      </c>
      <c r="U13" s="2"/>
      <c r="V13" s="19"/>
      <c r="W13" s="2"/>
      <c r="X13" s="2">
        <f t="shared" si="2"/>
        <v>124018.31000000001</v>
      </c>
      <c r="Y13" s="2"/>
      <c r="Z13" s="19">
        <f t="shared" si="3"/>
        <v>5.4004405934730508</v>
      </c>
    </row>
    <row r="14" spans="1:26" s="24" customFormat="1" hidden="1" outlineLevel="1" x14ac:dyDescent="0.3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0</f>
        <v>0</v>
      </c>
      <c r="E14" s="2"/>
      <c r="F14" s="19"/>
      <c r="G14" s="2"/>
      <c r="H14" s="2">
        <f>--62378.23</f>
        <v>62378.23</v>
      </c>
      <c r="I14" s="2"/>
      <c r="J14" s="19"/>
      <c r="K14" s="2"/>
      <c r="L14" s="2">
        <f t="shared" si="0"/>
        <v>-62378.23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--148103.39</f>
        <v>148103.39000000001</v>
      </c>
      <c r="U14" s="2"/>
      <c r="V14" s="19"/>
      <c r="W14" s="2"/>
      <c r="X14" s="2">
        <f t="shared" si="2"/>
        <v>-148103.39000000001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--1649.9</f>
        <v>1649.9</v>
      </c>
      <c r="E15" s="2"/>
      <c r="F15" s="19"/>
      <c r="G15" s="2"/>
      <c r="H15" s="2">
        <f t="shared" ref="H15:H16" si="4">0</f>
        <v>0</v>
      </c>
      <c r="I15" s="2"/>
      <c r="J15" s="19"/>
      <c r="K15" s="2"/>
      <c r="L15" s="2">
        <f t="shared" si="0"/>
        <v>1649.9</v>
      </c>
      <c r="M15" s="2"/>
      <c r="N15" s="19">
        <f t="shared" si="1"/>
        <v>0</v>
      </c>
      <c r="O15" s="11"/>
      <c r="P15" s="2">
        <f>--7379.58</f>
        <v>7379.58</v>
      </c>
      <c r="Q15" s="2"/>
      <c r="R15" s="19"/>
      <c r="S15" s="2"/>
      <c r="T15" s="2">
        <f>0</f>
        <v>0</v>
      </c>
      <c r="U15" s="2"/>
      <c r="V15" s="19"/>
      <c r="W15" s="2"/>
      <c r="X15" s="2">
        <f t="shared" si="2"/>
        <v>7379.58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"4058", " - ", "TAXABLE SALES-FOOD")</f>
        <v xml:space="preserve">          4058 - TAXABLE SALES-FOOD</v>
      </c>
      <c r="C16" s="11"/>
      <c r="D16" s="2">
        <f>0</f>
        <v>0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--974.91</f>
        <v>974.91</v>
      </c>
      <c r="U16" s="2"/>
      <c r="V16" s="19"/>
      <c r="W16" s="2"/>
      <c r="X16" s="2">
        <f t="shared" si="2"/>
        <v>-974.91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--82624.35</f>
        <v>82624.350000000006</v>
      </c>
      <c r="E17" s="2"/>
      <c r="F17" s="19"/>
      <c r="G17" s="2"/>
      <c r="H17" s="2">
        <f>--4078.51</f>
        <v>4078.51</v>
      </c>
      <c r="I17" s="2"/>
      <c r="J17" s="19"/>
      <c r="K17" s="2"/>
      <c r="L17" s="2">
        <f t="shared" si="0"/>
        <v>78545.840000000011</v>
      </c>
      <c r="M17" s="2"/>
      <c r="N17" s="19">
        <f t="shared" si="1"/>
        <v>19.258464488256742</v>
      </c>
      <c r="O17" s="11"/>
      <c r="P17" s="2">
        <f>--434545.9</f>
        <v>434545.9</v>
      </c>
      <c r="Q17" s="2"/>
      <c r="R17" s="19"/>
      <c r="S17" s="2"/>
      <c r="T17" s="2">
        <f>--22171.22</f>
        <v>22171.22</v>
      </c>
      <c r="U17" s="2"/>
      <c r="V17" s="19"/>
      <c r="W17" s="2"/>
      <c r="X17" s="2">
        <f t="shared" si="2"/>
        <v>412374.68000000005</v>
      </c>
      <c r="Y17" s="2"/>
      <c r="Z17" s="19">
        <f t="shared" si="3"/>
        <v>18.599548423586977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256</v>
      </c>
      <c r="C19" s="10"/>
      <c r="D19" s="4">
        <f>SUM(OSRRefD16x_0)</f>
        <v>42694.93</v>
      </c>
      <c r="E19" s="4"/>
      <c r="F19" s="12">
        <f t="shared" ref="F19:F21" si="5">IF(D$12=0,0,D19/D$12)</f>
        <v>0.41090007715637233</v>
      </c>
      <c r="G19" s="4"/>
      <c r="H19" s="4">
        <f>SUM(OSRRefH16x_0)</f>
        <v>4197.08</v>
      </c>
      <c r="I19" s="4"/>
      <c r="J19" s="12">
        <f t="shared" ref="J19:J21" si="6">IF(H$12=0,0,H19/H$12)</f>
        <v>5.8155458202098075E-2</v>
      </c>
      <c r="K19" s="4"/>
      <c r="L19" s="4">
        <f t="shared" ref="L19:L21" si="7">+D19-H19</f>
        <v>38497.85</v>
      </c>
      <c r="M19" s="4"/>
      <c r="N19" s="12">
        <f t="shared" ref="N19:N21" si="8">IF(H19=0,0,L19/H19)</f>
        <v>9.1725318554804769</v>
      </c>
      <c r="O19" s="10"/>
      <c r="P19" s="4">
        <f>SUM(OSRRefP16x_0)</f>
        <v>233639.09</v>
      </c>
      <c r="Q19" s="4"/>
      <c r="R19" s="12">
        <f t="shared" ref="R19:R21" si="9">IF(P$12=0,0,P19/P$12)</f>
        <v>0.39673256753551789</v>
      </c>
      <c r="S19" s="4"/>
      <c r="T19" s="4">
        <f>SUM(OSRRefT16x_0)</f>
        <v>18853.48</v>
      </c>
      <c r="U19" s="4"/>
      <c r="V19" s="12">
        <f t="shared" ref="V19:V21" si="10">IF(T$12=0,0,T19/T$12)</f>
        <v>9.7075802980217687E-2</v>
      </c>
      <c r="W19" s="4"/>
      <c r="X19" s="4">
        <f t="shared" ref="X19:X21" si="11">+P19-T19</f>
        <v>214785.61</v>
      </c>
      <c r="Y19" s="4"/>
      <c r="Z19" s="12">
        <f t="shared" ref="Z19:Z21" si="12">IF(T19=0,0,X19/T19)</f>
        <v>11.392358864252117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23892.6</v>
      </c>
      <c r="E20" s="2"/>
      <c r="F20" s="19">
        <f t="shared" si="5"/>
        <v>0.22994466048934478</v>
      </c>
      <c r="G20" s="2"/>
      <c r="H20" s="2">
        <v>1832.08</v>
      </c>
      <c r="I20" s="2"/>
      <c r="J20" s="19">
        <f t="shared" si="6"/>
        <v>2.5385613775029268E-2</v>
      </c>
      <c r="K20" s="2"/>
      <c r="L20" s="2">
        <f t="shared" si="7"/>
        <v>22060.519999999997</v>
      </c>
      <c r="M20" s="2"/>
      <c r="N20" s="19">
        <f t="shared" si="8"/>
        <v>12.041242740491681</v>
      </c>
      <c r="O20" s="11"/>
      <c r="P20" s="2">
        <v>217017.36</v>
      </c>
      <c r="Q20" s="2"/>
      <c r="R20" s="19">
        <f t="shared" si="9"/>
        <v>0.36850791720075521</v>
      </c>
      <c r="S20" s="2"/>
      <c r="T20" s="2">
        <v>13309.42</v>
      </c>
      <c r="U20" s="2"/>
      <c r="V20" s="19">
        <f t="shared" si="10"/>
        <v>6.8529663155076345E-2</v>
      </c>
      <c r="W20" s="2"/>
      <c r="X20" s="2">
        <f t="shared" si="11"/>
        <v>203707.93999999997</v>
      </c>
      <c r="Y20" s="2"/>
      <c r="Z20" s="19">
        <f t="shared" si="12"/>
        <v>15.30554599674516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18802.330000000002</v>
      </c>
      <c r="E21" s="2"/>
      <c r="F21" s="19">
        <f t="shared" si="5"/>
        <v>0.18095541666702758</v>
      </c>
      <c r="G21" s="2"/>
      <c r="H21" s="2">
        <v>2365</v>
      </c>
      <c r="I21" s="2"/>
      <c r="J21" s="19">
        <f t="shared" si="6"/>
        <v>3.276984442706881E-2</v>
      </c>
      <c r="K21" s="2"/>
      <c r="L21" s="2">
        <f t="shared" si="7"/>
        <v>16437.330000000002</v>
      </c>
      <c r="M21" s="2"/>
      <c r="N21" s="19">
        <f t="shared" si="8"/>
        <v>6.9502452431289647</v>
      </c>
      <c r="O21" s="11"/>
      <c r="P21" s="2">
        <v>16621.73</v>
      </c>
      <c r="Q21" s="2"/>
      <c r="R21" s="19">
        <f t="shared" si="9"/>
        <v>2.8224650334762659E-2</v>
      </c>
      <c r="S21" s="2"/>
      <c r="T21" s="2">
        <v>5544.06</v>
      </c>
      <c r="U21" s="2"/>
      <c r="V21" s="19">
        <f t="shared" si="10"/>
        <v>2.8546139825141335E-2</v>
      </c>
      <c r="W21" s="2"/>
      <c r="X21" s="2">
        <f t="shared" si="11"/>
        <v>11077.669999999998</v>
      </c>
      <c r="Y21" s="2"/>
      <c r="Z21" s="19">
        <f t="shared" si="12"/>
        <v>1.9981150997644321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107</v>
      </c>
      <c r="C23" s="26"/>
      <c r="D23" s="20">
        <f>D12-D19</f>
        <v>61210.94000000001</v>
      </c>
      <c r="E23" s="13"/>
      <c r="F23" s="21">
        <f>IF(D$12=0,0,D23/D$12)</f>
        <v>0.58909992284362767</v>
      </c>
      <c r="G23" s="13"/>
      <c r="H23" s="20">
        <f>H12-H19</f>
        <v>67972.929999999993</v>
      </c>
      <c r="I23" s="13"/>
      <c r="J23" s="21">
        <f>IF(H$12=0,0,H23/H$12)</f>
        <v>0.94184454179790189</v>
      </c>
      <c r="K23" s="15"/>
      <c r="L23" s="20">
        <f>+D23-H23</f>
        <v>-6761.9899999999834</v>
      </c>
      <c r="M23" s="15"/>
      <c r="N23" s="21">
        <f>IF(H23=0,0,L23/H23)</f>
        <v>-9.9480631480796611E-2</v>
      </c>
      <c r="O23" s="25"/>
      <c r="P23" s="20">
        <f>P12-P19</f>
        <v>355269.18000000005</v>
      </c>
      <c r="Q23" s="13"/>
      <c r="R23" s="21">
        <f>IF(P$12=0,0,P23/P$12)</f>
        <v>0.60326743246448222</v>
      </c>
      <c r="S23" s="13"/>
      <c r="T23" s="20">
        <f>T12-T19</f>
        <v>175360.52000000002</v>
      </c>
      <c r="U23" s="13"/>
      <c r="V23" s="21">
        <f>IF(T$12=0,0,T23/T$12)</f>
        <v>0.90292419701978222</v>
      </c>
      <c r="W23" s="15"/>
      <c r="X23" s="20">
        <f>+P23-T23</f>
        <v>179908.66000000003</v>
      </c>
      <c r="Y23" s="15"/>
      <c r="Z23" s="21">
        <f>IF(T23=0,0,X23/T23)</f>
        <v>1.0259359404271839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294</v>
      </c>
      <c r="C25" s="10"/>
      <c r="D25" s="22">
        <f>SUM(OSRRefD22x_0)</f>
        <v>179034.32000000004</v>
      </c>
      <c r="E25" s="22"/>
      <c r="F25" s="34">
        <f t="shared" ref="F25:F34" si="13">IF(D$12=0,0,D25/D$12)</f>
        <v>1.7230433660773932</v>
      </c>
      <c r="G25" s="22"/>
      <c r="H25" s="22">
        <f>SUM(OSRRefH22x_0)</f>
        <v>115609.44</v>
      </c>
      <c r="I25" s="22"/>
      <c r="J25" s="34">
        <f t="shared" ref="J25:J34" si="14">IF(H$12=0,0,H25/H$12)</f>
        <v>1.6019041704442054</v>
      </c>
      <c r="K25" s="4"/>
      <c r="L25" s="22">
        <f t="shared" ref="L25:L34" si="15">+D25-H25</f>
        <v>63424.880000000034</v>
      </c>
      <c r="M25" s="4"/>
      <c r="N25" s="34">
        <f t="shared" ref="N25:N34" si="16">IF(H25=0,0,L25/H25)</f>
        <v>0.54861333122969913</v>
      </c>
      <c r="O25" s="10"/>
      <c r="P25" s="22">
        <f>SUM(OSRRefP22x_0)</f>
        <v>1074123.22</v>
      </c>
      <c r="Q25" s="22"/>
      <c r="R25" s="34">
        <f t="shared" ref="R25:R34" si="17">IF(P$12=0,0,P25/P$12)</f>
        <v>1.823922798706834</v>
      </c>
      <c r="S25" s="22"/>
      <c r="T25" s="22">
        <f>SUM(OSRRefT22x_0)</f>
        <v>674842.47000000009</v>
      </c>
      <c r="U25" s="22"/>
      <c r="V25" s="34">
        <f t="shared" ref="V25:V34" si="18">IF(T$12=0,0,T25/T$12)</f>
        <v>3.4747364762581481</v>
      </c>
      <c r="W25" s="4"/>
      <c r="X25" s="22">
        <f t="shared" ref="X25:X34" si="19">+P25-T25</f>
        <v>399280.74999999988</v>
      </c>
      <c r="Y25" s="4"/>
      <c r="Z25" s="34">
        <f t="shared" ref="Z25:Z34" si="20">IF(T25=0,0,X25/T25)</f>
        <v>0.59166511852758741</v>
      </c>
    </row>
    <row r="26" spans="1:26" s="29" customFormat="1" outlineLevel="1" collapsed="1" x14ac:dyDescent="0.3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31050.93</v>
      </c>
      <c r="E26" s="1"/>
      <c r="F26" s="5">
        <f t="shared" si="13"/>
        <v>0.29883711093511844</v>
      </c>
      <c r="G26" s="1"/>
      <c r="H26" s="1">
        <f>SUM(OSRRefH22_0x_0)</f>
        <v>18327.36</v>
      </c>
      <c r="I26" s="1"/>
      <c r="J26" s="5">
        <f t="shared" si="14"/>
        <v>0.2539470342320862</v>
      </c>
      <c r="K26" s="1"/>
      <c r="L26" s="1">
        <f t="shared" si="15"/>
        <v>12723.57</v>
      </c>
      <c r="M26" s="1"/>
      <c r="N26" s="5">
        <f t="shared" si="16"/>
        <v>0.69423910481378659</v>
      </c>
      <c r="O26" s="14"/>
      <c r="P26" s="1">
        <f>SUM(OSRRefP22_0x_0)</f>
        <v>177699.27000000002</v>
      </c>
      <c r="Q26" s="1"/>
      <c r="R26" s="5">
        <f t="shared" si="17"/>
        <v>0.30174354657984342</v>
      </c>
      <c r="S26" s="1"/>
      <c r="T26" s="1">
        <f>SUM(OSRRefT22_0x_0)</f>
        <v>131169.07</v>
      </c>
      <c r="U26" s="1"/>
      <c r="V26" s="5">
        <f t="shared" si="18"/>
        <v>0.67538421535007764</v>
      </c>
      <c r="W26" s="1"/>
      <c r="X26" s="1">
        <f t="shared" si="19"/>
        <v>46530.200000000012</v>
      </c>
      <c r="Y26" s="1"/>
      <c r="Z26" s="5">
        <f t="shared" si="20"/>
        <v>0.35473454222096723</v>
      </c>
    </row>
    <row r="27" spans="1:26" s="24" customFormat="1" hidden="1" outlineLevel="2" x14ac:dyDescent="0.3">
      <c r="A27" s="28"/>
      <c r="B27" s="11" t="str">
        <f>CONCATENATE("          ", "6111", " - ", "F.I.C.A.")</f>
        <v xml:space="preserve">          6111 - F.I.C.A.</v>
      </c>
      <c r="C27" s="11"/>
      <c r="D27" s="6">
        <v>4623.21</v>
      </c>
      <c r="E27" s="2"/>
      <c r="F27" s="7">
        <f t="shared" si="13"/>
        <v>4.4494213849515907E-2</v>
      </c>
      <c r="G27" s="2"/>
      <c r="H27" s="6">
        <v>1575.88</v>
      </c>
      <c r="I27" s="2"/>
      <c r="J27" s="7">
        <f t="shared" si="14"/>
        <v>2.1835662763521859E-2</v>
      </c>
      <c r="K27" s="2"/>
      <c r="L27" s="6">
        <f t="shared" si="15"/>
        <v>3047.33</v>
      </c>
      <c r="M27" s="2"/>
      <c r="N27" s="7">
        <f t="shared" si="16"/>
        <v>1.9337322638779602</v>
      </c>
      <c r="O27" s="11"/>
      <c r="P27" s="6">
        <v>26392.55</v>
      </c>
      <c r="Q27" s="2"/>
      <c r="R27" s="7">
        <f t="shared" si="17"/>
        <v>4.4816062780031939E-2</v>
      </c>
      <c r="S27" s="2"/>
      <c r="T27" s="6">
        <v>15644.78</v>
      </c>
      <c r="U27" s="2"/>
      <c r="V27" s="7">
        <f t="shared" si="18"/>
        <v>8.055433696849866E-2</v>
      </c>
      <c r="W27" s="2"/>
      <c r="X27" s="6">
        <f t="shared" si="19"/>
        <v>10747.769999999999</v>
      </c>
      <c r="Y27" s="2"/>
      <c r="Z27" s="7">
        <f t="shared" si="20"/>
        <v>0.68698760864646213</v>
      </c>
    </row>
    <row r="28" spans="1:26" s="24" customFormat="1" hidden="1" outlineLevel="2" x14ac:dyDescent="0.3">
      <c r="A28" s="28"/>
      <c r="B28" s="11" t="str">
        <f>CONCATENATE("          ", "6112", " - ", "COMPENSATION INSURANCE")</f>
        <v xml:space="preserve">          6112 - COMPENSATION INSURANCE</v>
      </c>
      <c r="C28" s="11"/>
      <c r="D28" s="6">
        <v>2281.1</v>
      </c>
      <c r="E28" s="2"/>
      <c r="F28" s="7">
        <f t="shared" si="13"/>
        <v>2.1953523896195658E-2</v>
      </c>
      <c r="G28" s="2"/>
      <c r="H28" s="6">
        <v>1146.3</v>
      </c>
      <c r="I28" s="2"/>
      <c r="J28" s="7">
        <f t="shared" si="14"/>
        <v>1.5883328823149672E-2</v>
      </c>
      <c r="K28" s="2"/>
      <c r="L28" s="6">
        <f t="shared" si="15"/>
        <v>1134.8</v>
      </c>
      <c r="M28" s="2"/>
      <c r="N28" s="7">
        <f t="shared" si="16"/>
        <v>0.98996772223676177</v>
      </c>
      <c r="O28" s="11"/>
      <c r="P28" s="6">
        <v>12193.79</v>
      </c>
      <c r="Q28" s="2"/>
      <c r="R28" s="7">
        <f t="shared" si="17"/>
        <v>2.0705754395332232E-2</v>
      </c>
      <c r="S28" s="2"/>
      <c r="T28" s="6">
        <v>4956.7</v>
      </c>
      <c r="U28" s="2"/>
      <c r="V28" s="7">
        <f t="shared" si="18"/>
        <v>2.552184703471428E-2</v>
      </c>
      <c r="W28" s="2"/>
      <c r="X28" s="6">
        <f t="shared" si="19"/>
        <v>7237.0900000000011</v>
      </c>
      <c r="Y28" s="2"/>
      <c r="Z28" s="7">
        <f t="shared" si="20"/>
        <v>1.4600621381160857</v>
      </c>
    </row>
    <row r="29" spans="1:26" s="24" customFormat="1" hidden="1" outlineLevel="2" x14ac:dyDescent="0.3">
      <c r="A29" s="28"/>
      <c r="B29" s="11" t="str">
        <f>CONCATENATE("          ", "6113", " - ", "GROUP INSURANCE")</f>
        <v xml:space="preserve">          6113 - GROUP INSURANCE</v>
      </c>
      <c r="C29" s="11"/>
      <c r="D29" s="6">
        <v>12639.58</v>
      </c>
      <c r="E29" s="2"/>
      <c r="F29" s="7">
        <f t="shared" si="13"/>
        <v>0.12164452306688735</v>
      </c>
      <c r="G29" s="2"/>
      <c r="H29" s="6">
        <v>8662.99</v>
      </c>
      <c r="I29" s="2"/>
      <c r="J29" s="7">
        <f t="shared" si="14"/>
        <v>0.12003587085549802</v>
      </c>
      <c r="K29" s="2"/>
      <c r="L29" s="6">
        <f t="shared" si="15"/>
        <v>3976.59</v>
      </c>
      <c r="M29" s="2"/>
      <c r="N29" s="7">
        <f t="shared" si="16"/>
        <v>0.4590320432090999</v>
      </c>
      <c r="O29" s="11"/>
      <c r="P29" s="6">
        <v>74931.56</v>
      </c>
      <c r="Q29" s="2"/>
      <c r="R29" s="7">
        <f t="shared" si="17"/>
        <v>0.12723808412471435</v>
      </c>
      <c r="S29" s="2"/>
      <c r="T29" s="6">
        <v>60931.85</v>
      </c>
      <c r="U29" s="2"/>
      <c r="V29" s="7">
        <f t="shared" si="18"/>
        <v>0.31373562153088858</v>
      </c>
      <c r="W29" s="2"/>
      <c r="X29" s="6">
        <f t="shared" si="19"/>
        <v>13999.71</v>
      </c>
      <c r="Y29" s="2"/>
      <c r="Z29" s="7">
        <f t="shared" si="20"/>
        <v>0.22976013365752065</v>
      </c>
    </row>
    <row r="30" spans="1:26" s="24" customFormat="1" hidden="1" outlineLevel="2" x14ac:dyDescent="0.3">
      <c r="A30" s="28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194.61</v>
      </c>
      <c r="E30" s="2"/>
      <c r="F30" s="7">
        <f t="shared" si="13"/>
        <v>1.8729451954928051E-3</v>
      </c>
      <c r="G30" s="2"/>
      <c r="H30" s="6"/>
      <c r="I30" s="2"/>
      <c r="J30" s="7">
        <f t="shared" si="14"/>
        <v>0</v>
      </c>
      <c r="K30" s="2"/>
      <c r="L30" s="6">
        <f t="shared" si="15"/>
        <v>194.61</v>
      </c>
      <c r="M30" s="2"/>
      <c r="N30" s="7">
        <f t="shared" si="16"/>
        <v>0</v>
      </c>
      <c r="O30" s="11"/>
      <c r="P30" s="6">
        <v>1072.27</v>
      </c>
      <c r="Q30" s="2"/>
      <c r="R30" s="7">
        <f t="shared" si="17"/>
        <v>1.8207759249161163E-3</v>
      </c>
      <c r="S30" s="2"/>
      <c r="T30" s="6">
        <v>508.27</v>
      </c>
      <c r="U30" s="2"/>
      <c r="V30" s="7">
        <f t="shared" si="18"/>
        <v>2.6170615918522863E-3</v>
      </c>
      <c r="W30" s="2"/>
      <c r="X30" s="6">
        <f t="shared" si="19"/>
        <v>564</v>
      </c>
      <c r="Y30" s="2"/>
      <c r="Z30" s="7">
        <f t="shared" si="20"/>
        <v>1.1096464477541466</v>
      </c>
    </row>
    <row r="31" spans="1:26" s="24" customFormat="1" hidden="1" outlineLevel="2" x14ac:dyDescent="0.3">
      <c r="A31" s="28"/>
      <c r="B31" s="11" t="str">
        <f>CONCATENATE("          ", "6115", " - ", "P.E.R.S.")</f>
        <v xml:space="preserve">          6115 - P.E.R.S.</v>
      </c>
      <c r="C31" s="11"/>
      <c r="D31" s="6">
        <v>3682.62</v>
      </c>
      <c r="E31" s="2"/>
      <c r="F31" s="7">
        <f t="shared" si="13"/>
        <v>3.5441886007017691E-2</v>
      </c>
      <c r="G31" s="2"/>
      <c r="H31" s="6">
        <v>2748.35</v>
      </c>
      <c r="I31" s="2"/>
      <c r="J31" s="7">
        <f t="shared" si="14"/>
        <v>3.8081607581875079E-2</v>
      </c>
      <c r="K31" s="2"/>
      <c r="L31" s="6">
        <f t="shared" si="15"/>
        <v>934.27</v>
      </c>
      <c r="M31" s="2"/>
      <c r="N31" s="7">
        <f t="shared" si="16"/>
        <v>0.33993850855968127</v>
      </c>
      <c r="O31" s="11"/>
      <c r="P31" s="6">
        <v>21030.74</v>
      </c>
      <c r="Q31" s="2"/>
      <c r="R31" s="7">
        <f t="shared" si="17"/>
        <v>3.571140204908313E-2</v>
      </c>
      <c r="S31" s="2"/>
      <c r="T31" s="6">
        <v>20264.28</v>
      </c>
      <c r="U31" s="2"/>
      <c r="V31" s="7">
        <f t="shared" si="18"/>
        <v>0.10433995489511567</v>
      </c>
      <c r="W31" s="2"/>
      <c r="X31" s="6">
        <f t="shared" si="19"/>
        <v>766.46000000000276</v>
      </c>
      <c r="Y31" s="2"/>
      <c r="Z31" s="7">
        <f t="shared" si="20"/>
        <v>3.7823204179966069E-2</v>
      </c>
    </row>
    <row r="32" spans="1:26" s="24" customFormat="1" hidden="1" outlineLevel="2" x14ac:dyDescent="0.3">
      <c r="A32" s="28"/>
      <c r="B32" s="11" t="str">
        <f>CONCATENATE("          ", "6118", " - ", "VACATION")</f>
        <v xml:space="preserve">          6118 - VACATION</v>
      </c>
      <c r="C32" s="11"/>
      <c r="D32" s="6">
        <v>3447.32</v>
      </c>
      <c r="E32" s="2"/>
      <c r="F32" s="7">
        <f t="shared" si="13"/>
        <v>3.3177336371852717E-2</v>
      </c>
      <c r="G32" s="2"/>
      <c r="H32" s="6">
        <v>2400.38</v>
      </c>
      <c r="I32" s="2"/>
      <c r="J32" s="7">
        <f t="shared" si="14"/>
        <v>3.3260075757229356E-2</v>
      </c>
      <c r="K32" s="2"/>
      <c r="L32" s="6">
        <f t="shared" si="15"/>
        <v>1046.94</v>
      </c>
      <c r="M32" s="2"/>
      <c r="N32" s="7">
        <f t="shared" si="16"/>
        <v>0.43615594197585383</v>
      </c>
      <c r="O32" s="11"/>
      <c r="P32" s="6">
        <v>20114.97</v>
      </c>
      <c r="Q32" s="2"/>
      <c r="R32" s="7">
        <f t="shared" si="17"/>
        <v>3.4156372095097254E-2</v>
      </c>
      <c r="S32" s="2"/>
      <c r="T32" s="6">
        <v>16085.3</v>
      </c>
      <c r="U32" s="2"/>
      <c r="V32" s="7">
        <f t="shared" si="18"/>
        <v>8.2822556561318941E-2</v>
      </c>
      <c r="W32" s="2"/>
      <c r="X32" s="6">
        <f t="shared" si="19"/>
        <v>4029.6700000000019</v>
      </c>
      <c r="Y32" s="2"/>
      <c r="Z32" s="7">
        <f t="shared" si="20"/>
        <v>0.25051879666527838</v>
      </c>
    </row>
    <row r="33" spans="1:26" s="24" customFormat="1" hidden="1" outlineLevel="2" x14ac:dyDescent="0.3">
      <c r="A33" s="28"/>
      <c r="B33" s="11" t="str">
        <f>CONCATENATE("          ", "6119", " - ", "SICK LEAVE")</f>
        <v xml:space="preserve">          6119 - SICK LEAVE</v>
      </c>
      <c r="C33" s="11"/>
      <c r="D33" s="6">
        <v>2396.88</v>
      </c>
      <c r="E33" s="2"/>
      <c r="F33" s="7">
        <f t="shared" si="13"/>
        <v>2.3067801655479135E-2</v>
      </c>
      <c r="G33" s="2"/>
      <c r="H33" s="6">
        <v>1368.1</v>
      </c>
      <c r="I33" s="2"/>
      <c r="J33" s="7">
        <f t="shared" si="14"/>
        <v>1.8956627552081537E-2</v>
      </c>
      <c r="K33" s="2"/>
      <c r="L33" s="6">
        <f t="shared" si="15"/>
        <v>1028.7800000000002</v>
      </c>
      <c r="M33" s="2"/>
      <c r="N33" s="7">
        <f t="shared" si="16"/>
        <v>0.75197719464951407</v>
      </c>
      <c r="O33" s="11"/>
      <c r="P33" s="6">
        <v>13153.14</v>
      </c>
      <c r="Q33" s="2"/>
      <c r="R33" s="7">
        <f t="shared" si="17"/>
        <v>2.2334785687421234E-2</v>
      </c>
      <c r="S33" s="2"/>
      <c r="T33" s="6">
        <v>9359.56</v>
      </c>
      <c r="U33" s="2"/>
      <c r="V33" s="7">
        <f t="shared" si="18"/>
        <v>4.8191994397932168E-2</v>
      </c>
      <c r="W33" s="2"/>
      <c r="X33" s="6">
        <f t="shared" si="19"/>
        <v>3793.58</v>
      </c>
      <c r="Y33" s="2"/>
      <c r="Z33" s="7">
        <f t="shared" si="20"/>
        <v>0.4053160618661561</v>
      </c>
    </row>
    <row r="34" spans="1:26" s="24" customFormat="1" hidden="1" outlineLevel="2" x14ac:dyDescent="0.3">
      <c r="A34" s="28"/>
      <c r="B34" s="11" t="str">
        <f>CONCATENATE("          ", "6156", " - ", "EMPLOYEE MEALS")</f>
        <v xml:space="preserve">          6156 - EMPLOYEE MEALS</v>
      </c>
      <c r="C34" s="11"/>
      <c r="D34" s="6">
        <v>1785.61</v>
      </c>
      <c r="E34" s="2"/>
      <c r="F34" s="7">
        <f t="shared" si="13"/>
        <v>1.7184880892677185E-2</v>
      </c>
      <c r="G34" s="2"/>
      <c r="H34" s="6">
        <v>425.36</v>
      </c>
      <c r="I34" s="2"/>
      <c r="J34" s="7">
        <f t="shared" si="14"/>
        <v>5.8938608987306506E-3</v>
      </c>
      <c r="K34" s="2"/>
      <c r="L34" s="6">
        <f t="shared" si="15"/>
        <v>1360.25</v>
      </c>
      <c r="M34" s="2"/>
      <c r="N34" s="7">
        <f t="shared" si="16"/>
        <v>3.1978794432950912</v>
      </c>
      <c r="O34" s="11"/>
      <c r="P34" s="6">
        <v>8810.25</v>
      </c>
      <c r="Q34" s="2"/>
      <c r="R34" s="7">
        <f t="shared" si="17"/>
        <v>1.4960309523247143E-2</v>
      </c>
      <c r="S34" s="2"/>
      <c r="T34" s="6">
        <v>3418.33</v>
      </c>
      <c r="U34" s="2"/>
      <c r="V34" s="7">
        <f t="shared" si="18"/>
        <v>1.7600842369757071E-2</v>
      </c>
      <c r="W34" s="2"/>
      <c r="X34" s="6">
        <f t="shared" si="19"/>
        <v>5391.92</v>
      </c>
      <c r="Y34" s="2"/>
      <c r="Z34" s="7">
        <f t="shared" si="20"/>
        <v>1.5773550242369814</v>
      </c>
    </row>
    <row r="35" spans="1:26" s="29" customFormat="1" outlineLevel="1" collapsed="1" x14ac:dyDescent="0.3">
      <c r="A35" s="27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69071.39</v>
      </c>
      <c r="E35" s="1"/>
      <c r="F35" s="5">
        <f t="shared" ref="F35:F40" si="21">IF(D$12=0,0,D35/D$12)</f>
        <v>0.66474964311448426</v>
      </c>
      <c r="G35" s="1"/>
      <c r="H35" s="1">
        <f>SUM(OSRRefH22_1x_0)</f>
        <v>24458.49</v>
      </c>
      <c r="I35" s="1"/>
      <c r="J35" s="5">
        <f t="shared" ref="J35:J40" si="22">IF(H$12=0,0,H35/H$12)</f>
        <v>0.33890101996660388</v>
      </c>
      <c r="K35" s="1"/>
      <c r="L35" s="1">
        <f t="shared" ref="L35:L40" si="23">+D35-H35</f>
        <v>44612.899999999994</v>
      </c>
      <c r="M35" s="1"/>
      <c r="N35" s="5">
        <f t="shared" ref="N35:N40" si="24">IF(H35=0,0,L35/H35)</f>
        <v>1.8240251135699705</v>
      </c>
      <c r="O35" s="14"/>
      <c r="P35" s="1">
        <f>SUM(OSRRefP22_1x_0)</f>
        <v>390881.49</v>
      </c>
      <c r="Q35" s="1"/>
      <c r="R35" s="5">
        <f t="shared" ref="R35:R40" si="25">IF(P$12=0,0,P35/P$12)</f>
        <v>0.66373917622179079</v>
      </c>
      <c r="S35" s="1"/>
      <c r="T35" s="1">
        <f>SUM(OSRRefT22_1x_0)</f>
        <v>178931.65999999997</v>
      </c>
      <c r="U35" s="1"/>
      <c r="V35" s="5">
        <f t="shared" ref="V35:V40" si="26">IF(T$12=0,0,T35/T$12)</f>
        <v>0.92131185187473585</v>
      </c>
      <c r="W35" s="1"/>
      <c r="X35" s="1">
        <f t="shared" ref="X35:X40" si="27">+P35-T35</f>
        <v>211949.83000000002</v>
      </c>
      <c r="Y35" s="1"/>
      <c r="Z35" s="5">
        <f t="shared" ref="Z35:Z40" si="28">IF(T35=0,0,X35/T35)</f>
        <v>1.1845295013749946</v>
      </c>
    </row>
    <row r="36" spans="1:26" s="24" customFormat="1" hidden="1" outlineLevel="2" x14ac:dyDescent="0.3">
      <c r="A36" s="28"/>
      <c r="B36" s="11" t="str">
        <f>CONCATENATE("          ", "6001", " - ", "ADMINISTRATIVE SALARIES")</f>
        <v xml:space="preserve">          6001 - ADMINISTRATIVE SALARIES</v>
      </c>
      <c r="C36" s="11"/>
      <c r="D36" s="6">
        <v>10936.46</v>
      </c>
      <c r="E36" s="2"/>
      <c r="F36" s="7">
        <f t="shared" si="21"/>
        <v>0.10525353379938976</v>
      </c>
      <c r="G36" s="2"/>
      <c r="H36" s="6">
        <v>8855.42</v>
      </c>
      <c r="I36" s="2"/>
      <c r="J36" s="7">
        <f t="shared" si="22"/>
        <v>0.12270221384201001</v>
      </c>
      <c r="K36" s="2"/>
      <c r="L36" s="6">
        <f t="shared" si="23"/>
        <v>2081.0399999999991</v>
      </c>
      <c r="M36" s="2"/>
      <c r="N36" s="7">
        <f t="shared" si="24"/>
        <v>0.2350018406806226</v>
      </c>
      <c r="O36" s="11"/>
      <c r="P36" s="6">
        <v>63869.77</v>
      </c>
      <c r="Q36" s="2"/>
      <c r="R36" s="7">
        <f t="shared" si="25"/>
        <v>0.10845453061815552</v>
      </c>
      <c r="S36" s="2"/>
      <c r="T36" s="6">
        <v>62679.8</v>
      </c>
      <c r="U36" s="2"/>
      <c r="V36" s="7">
        <f t="shared" si="26"/>
        <v>0.32273574510591407</v>
      </c>
      <c r="W36" s="2"/>
      <c r="X36" s="6">
        <f t="shared" si="27"/>
        <v>1189.9699999999939</v>
      </c>
      <c r="Y36" s="2"/>
      <c r="Z36" s="7">
        <f t="shared" si="28"/>
        <v>1.8984904227518178E-2</v>
      </c>
    </row>
    <row r="37" spans="1:26" s="24" customFormat="1" hidden="1" outlineLevel="2" x14ac:dyDescent="0.3">
      <c r="A37" s="28"/>
      <c r="B37" s="11" t="str">
        <f>CONCATENATE("          ", "6002", " - ", "STAFF SALARIES")</f>
        <v xml:space="preserve">          6002 - STAFF SALARIES</v>
      </c>
      <c r="C37" s="11"/>
      <c r="D37" s="6">
        <v>24011.85</v>
      </c>
      <c r="E37" s="2"/>
      <c r="F37" s="7">
        <f t="shared" si="21"/>
        <v>0.23109233385948258</v>
      </c>
      <c r="G37" s="2"/>
      <c r="H37" s="6">
        <v>12942.91</v>
      </c>
      <c r="I37" s="2"/>
      <c r="J37" s="7">
        <f t="shared" si="22"/>
        <v>0.17933917426365883</v>
      </c>
      <c r="K37" s="2"/>
      <c r="L37" s="6">
        <f t="shared" si="23"/>
        <v>11068.939999999999</v>
      </c>
      <c r="M37" s="2"/>
      <c r="N37" s="7">
        <f t="shared" si="24"/>
        <v>0.85521262220010796</v>
      </c>
      <c r="O37" s="11"/>
      <c r="P37" s="6">
        <v>134948.25</v>
      </c>
      <c r="Q37" s="2"/>
      <c r="R37" s="7">
        <f t="shared" si="25"/>
        <v>0.22914986403570117</v>
      </c>
      <c r="S37" s="2"/>
      <c r="T37" s="6">
        <v>92920.81</v>
      </c>
      <c r="U37" s="2"/>
      <c r="V37" s="7">
        <f t="shared" si="26"/>
        <v>0.478445477668963</v>
      </c>
      <c r="W37" s="2"/>
      <c r="X37" s="6">
        <f t="shared" si="27"/>
        <v>42027.44</v>
      </c>
      <c r="Y37" s="2"/>
      <c r="Z37" s="7">
        <f t="shared" si="28"/>
        <v>0.45229308698449794</v>
      </c>
    </row>
    <row r="38" spans="1:26" s="24" customFormat="1" hidden="1" outlineLevel="2" x14ac:dyDescent="0.3">
      <c r="A38" s="28"/>
      <c r="B38" s="11" t="str">
        <f>CONCATENATE("          ", "6004", " - ", "STAFF HOURLY")</f>
        <v xml:space="preserve">          6004 - STAFF HOURLY</v>
      </c>
      <c r="C38" s="11"/>
      <c r="D38" s="6">
        <v>10196.1</v>
      </c>
      <c r="E38" s="2"/>
      <c r="F38" s="7">
        <f t="shared" si="21"/>
        <v>9.8128238568234882E-2</v>
      </c>
      <c r="G38" s="2"/>
      <c r="H38" s="6">
        <v>2426.3000000000002</v>
      </c>
      <c r="I38" s="2"/>
      <c r="J38" s="7">
        <f t="shared" si="22"/>
        <v>3.3619227709681627E-2</v>
      </c>
      <c r="K38" s="2"/>
      <c r="L38" s="6">
        <f t="shared" si="23"/>
        <v>7769.8</v>
      </c>
      <c r="M38" s="2"/>
      <c r="N38" s="7">
        <f t="shared" si="24"/>
        <v>3.2023245270576597</v>
      </c>
      <c r="O38" s="11"/>
      <c r="P38" s="6">
        <v>55586.31</v>
      </c>
      <c r="Q38" s="2"/>
      <c r="R38" s="7">
        <f t="shared" si="25"/>
        <v>9.4388740711690122E-2</v>
      </c>
      <c r="S38" s="2"/>
      <c r="T38" s="6">
        <v>20524.63</v>
      </c>
      <c r="U38" s="2"/>
      <c r="V38" s="7">
        <f t="shared" si="26"/>
        <v>0.10568048647368365</v>
      </c>
      <c r="W38" s="2"/>
      <c r="X38" s="6">
        <f t="shared" si="27"/>
        <v>35061.679999999993</v>
      </c>
      <c r="Y38" s="2"/>
      <c r="Z38" s="7">
        <f t="shared" si="28"/>
        <v>1.7082734256354435</v>
      </c>
    </row>
    <row r="39" spans="1:26" s="24" customFormat="1" hidden="1" outlineLevel="2" x14ac:dyDescent="0.3">
      <c r="A39" s="28"/>
      <c r="B39" s="11" t="str">
        <f>CONCATENATE("          ", "6005", " - ", "TEMPORARY WAGES-HOURLY")</f>
        <v xml:space="preserve">          6005 - TEMPORARY WAGES-HOURLY</v>
      </c>
      <c r="C39" s="11"/>
      <c r="D39" s="6">
        <v>10986.73</v>
      </c>
      <c r="E39" s="2"/>
      <c r="F39" s="7">
        <f t="shared" si="21"/>
        <v>0.10573733707248684</v>
      </c>
      <c r="G39" s="2"/>
      <c r="H39" s="6">
        <v>233.86</v>
      </c>
      <c r="I39" s="2"/>
      <c r="J39" s="7">
        <f t="shared" si="22"/>
        <v>3.2404041512534088E-3</v>
      </c>
      <c r="K39" s="2"/>
      <c r="L39" s="6">
        <f t="shared" si="23"/>
        <v>10752.869999999999</v>
      </c>
      <c r="M39" s="2"/>
      <c r="N39" s="7">
        <f t="shared" si="24"/>
        <v>45.979945266398694</v>
      </c>
      <c r="O39" s="11"/>
      <c r="P39" s="6">
        <v>62477.52</v>
      </c>
      <c r="Q39" s="2"/>
      <c r="R39" s="7">
        <f t="shared" si="25"/>
        <v>0.10609041031126969</v>
      </c>
      <c r="S39" s="2"/>
      <c r="T39" s="6">
        <v>2736.71</v>
      </c>
      <c r="U39" s="2"/>
      <c r="V39" s="7">
        <f t="shared" si="26"/>
        <v>1.4091208666728453E-2</v>
      </c>
      <c r="W39" s="2"/>
      <c r="X39" s="6">
        <f t="shared" si="27"/>
        <v>59740.81</v>
      </c>
      <c r="Y39" s="2"/>
      <c r="Z39" s="7">
        <f t="shared" si="28"/>
        <v>21.829426574244255</v>
      </c>
    </row>
    <row r="40" spans="1:26" s="24" customFormat="1" hidden="1" outlineLevel="2" x14ac:dyDescent="0.3">
      <c r="A40" s="28"/>
      <c r="B40" s="11" t="str">
        <f>CONCATENATE("          ", "6007", " - ", "STUDENT HOURLY")</f>
        <v xml:space="preserve">          6007 - STUDENT HOURLY</v>
      </c>
      <c r="C40" s="11"/>
      <c r="D40" s="6">
        <v>12940.25</v>
      </c>
      <c r="E40" s="2"/>
      <c r="F40" s="7">
        <f t="shared" si="21"/>
        <v>0.12453819981489014</v>
      </c>
      <c r="G40" s="2"/>
      <c r="H40" s="6"/>
      <c r="I40" s="2"/>
      <c r="J40" s="7">
        <f t="shared" si="22"/>
        <v>0</v>
      </c>
      <c r="K40" s="2"/>
      <c r="L40" s="6">
        <f t="shared" si="23"/>
        <v>12940.25</v>
      </c>
      <c r="M40" s="2"/>
      <c r="N40" s="7">
        <f t="shared" si="24"/>
        <v>0</v>
      </c>
      <c r="O40" s="11"/>
      <c r="P40" s="6">
        <v>73999.64</v>
      </c>
      <c r="Q40" s="2"/>
      <c r="R40" s="7">
        <f t="shared" si="25"/>
        <v>0.12565563054497433</v>
      </c>
      <c r="S40" s="2"/>
      <c r="T40" s="6">
        <v>69.709999999999994</v>
      </c>
      <c r="U40" s="2"/>
      <c r="V40" s="7">
        <f t="shared" si="26"/>
        <v>3.5893395944679569E-4</v>
      </c>
      <c r="W40" s="2"/>
      <c r="X40" s="6">
        <f t="shared" si="27"/>
        <v>73929.929999999993</v>
      </c>
      <c r="Y40" s="2"/>
      <c r="Z40" s="7">
        <f t="shared" si="28"/>
        <v>1060.5355042318174</v>
      </c>
    </row>
    <row r="41" spans="1:26" s="29" customFormat="1" outlineLevel="1" collapsed="1" x14ac:dyDescent="0.3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43.53</v>
      </c>
      <c r="E41" s="1"/>
      <c r="F41" s="5">
        <f t="shared" ref="F41:F49" si="29">IF(D$12=0,0,D41/D$12)</f>
        <v>4.1893687045784801E-4</v>
      </c>
      <c r="G41" s="1"/>
      <c r="H41" s="1">
        <f>SUM(OSRRefH22_2x_0)</f>
        <v>7.42</v>
      </c>
      <c r="I41" s="1"/>
      <c r="J41" s="5">
        <f t="shared" ref="J41:J49" si="30">IF(H$12=0,0,H41/H$12)</f>
        <v>1.0281278885786493E-4</v>
      </c>
      <c r="K41" s="1"/>
      <c r="L41" s="1">
        <f t="shared" ref="L41:L49" si="31">+D41-H41</f>
        <v>36.11</v>
      </c>
      <c r="M41" s="1"/>
      <c r="N41" s="5">
        <f t="shared" ref="N41:N49" si="32">IF(H41=0,0,L41/H41)</f>
        <v>4.8665768194070083</v>
      </c>
      <c r="O41" s="14"/>
      <c r="P41" s="1">
        <f>SUM(OSRRefP22_2x_0)</f>
        <v>913.36</v>
      </c>
      <c r="Q41" s="1"/>
      <c r="R41" s="5">
        <f t="shared" ref="R41:R49" si="33">IF(P$12=0,0,P41/P$12)</f>
        <v>1.5509376358392793E-3</v>
      </c>
      <c r="S41" s="1"/>
      <c r="T41" s="1">
        <f>SUM(OSRRefT22_2x_0)</f>
        <v>133.94999999999999</v>
      </c>
      <c r="U41" s="1"/>
      <c r="V41" s="5">
        <f t="shared" ref="V41:V49" si="34">IF(T$12=0,0,T41/T$12)</f>
        <v>6.8970311100126651E-4</v>
      </c>
      <c r="W41" s="1"/>
      <c r="X41" s="1">
        <f t="shared" ref="X41:X49" si="35">+P41-T41</f>
        <v>779.41000000000008</v>
      </c>
      <c r="Y41" s="1"/>
      <c r="Z41" s="5">
        <f t="shared" ref="Z41:Z49" si="36">IF(T41=0,0,X41/T41)</f>
        <v>5.8186636804777914</v>
      </c>
    </row>
    <row r="42" spans="1:26" s="24" customFormat="1" hidden="1" outlineLevel="2" x14ac:dyDescent="0.3">
      <c r="A42" s="28"/>
      <c r="B42" s="11" t="str">
        <f>CONCATENATE("          ", "6362", " - ", "ADVERTISING EXPENSE")</f>
        <v xml:space="preserve">          6362 - ADVERTISING EXPENSE</v>
      </c>
      <c r="C42" s="11"/>
      <c r="D42" s="6">
        <v>43.53</v>
      </c>
      <c r="E42" s="2"/>
      <c r="F42" s="7">
        <f t="shared" si="29"/>
        <v>4.1893687045784801E-4</v>
      </c>
      <c r="G42" s="2"/>
      <c r="H42" s="6">
        <v>7.42</v>
      </c>
      <c r="I42" s="2"/>
      <c r="J42" s="7">
        <f t="shared" si="30"/>
        <v>1.0281278885786493E-4</v>
      </c>
      <c r="K42" s="2"/>
      <c r="L42" s="6">
        <f t="shared" si="31"/>
        <v>36.11</v>
      </c>
      <c r="M42" s="2"/>
      <c r="N42" s="7">
        <f t="shared" si="32"/>
        <v>4.8665768194070083</v>
      </c>
      <c r="O42" s="11"/>
      <c r="P42" s="6">
        <v>913.36</v>
      </c>
      <c r="Q42" s="2"/>
      <c r="R42" s="7">
        <f t="shared" si="33"/>
        <v>1.5509376358392793E-3</v>
      </c>
      <c r="S42" s="2"/>
      <c r="T42" s="6">
        <v>133.94999999999999</v>
      </c>
      <c r="U42" s="2"/>
      <c r="V42" s="7">
        <f t="shared" si="34"/>
        <v>6.8970311100126651E-4</v>
      </c>
      <c r="W42" s="2"/>
      <c r="X42" s="6">
        <f t="shared" si="35"/>
        <v>779.41000000000008</v>
      </c>
      <c r="Y42" s="2"/>
      <c r="Z42" s="7">
        <f t="shared" si="36"/>
        <v>5.8186636804777914</v>
      </c>
    </row>
    <row r="43" spans="1:26" s="29" customFormat="1" outlineLevel="1" collapsed="1" x14ac:dyDescent="0.3">
      <c r="A43" s="27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26</v>
      </c>
      <c r="E43" s="1"/>
      <c r="F43" s="5">
        <f t="shared" si="29"/>
        <v>2.5022647902375484E-4</v>
      </c>
      <c r="G43" s="1"/>
      <c r="H43" s="1">
        <f>SUM(OSRRefH22_3x_0)</f>
        <v>1.74</v>
      </c>
      <c r="I43" s="1"/>
      <c r="J43" s="5">
        <f t="shared" si="30"/>
        <v>2.4109737548879378E-5</v>
      </c>
      <c r="K43" s="1"/>
      <c r="L43" s="1">
        <f t="shared" si="31"/>
        <v>24.26</v>
      </c>
      <c r="M43" s="1"/>
      <c r="N43" s="5">
        <f t="shared" si="32"/>
        <v>13.942528735632186</v>
      </c>
      <c r="O43" s="14"/>
      <c r="P43" s="1">
        <f>SUM(OSRRefP22_3x_0)</f>
        <v>-80.91</v>
      </c>
      <c r="Q43" s="1"/>
      <c r="R43" s="5">
        <f t="shared" si="33"/>
        <v>-1.3738981794227478E-4</v>
      </c>
      <c r="S43" s="1"/>
      <c r="T43" s="1">
        <f>SUM(OSRRefT22_3x_0)</f>
        <v>8.7899999999999991</v>
      </c>
      <c r="U43" s="1"/>
      <c r="V43" s="5">
        <f t="shared" si="34"/>
        <v>4.5259353084741561E-5</v>
      </c>
      <c r="W43" s="1"/>
      <c r="X43" s="1">
        <f t="shared" si="35"/>
        <v>-89.699999999999989</v>
      </c>
      <c r="Y43" s="1"/>
      <c r="Z43" s="5">
        <f t="shared" si="36"/>
        <v>-10.204778156996587</v>
      </c>
    </row>
    <row r="44" spans="1:26" s="24" customFormat="1" hidden="1" outlineLevel="2" x14ac:dyDescent="0.3">
      <c r="A44" s="28"/>
      <c r="B44" s="11" t="str">
        <f>CONCATENATE("          ", "6272", " - ", "CASH (OVER/SHORT)")</f>
        <v xml:space="preserve">          6272 - CASH (OVER/SHORT)</v>
      </c>
      <c r="C44" s="11"/>
      <c r="D44" s="6">
        <v>26</v>
      </c>
      <c r="E44" s="2"/>
      <c r="F44" s="7">
        <f t="shared" si="29"/>
        <v>2.5022647902375484E-4</v>
      </c>
      <c r="G44" s="2"/>
      <c r="H44" s="6">
        <v>1.74</v>
      </c>
      <c r="I44" s="2"/>
      <c r="J44" s="7">
        <f t="shared" si="30"/>
        <v>2.4109737548879378E-5</v>
      </c>
      <c r="K44" s="2"/>
      <c r="L44" s="6">
        <f t="shared" si="31"/>
        <v>24.26</v>
      </c>
      <c r="M44" s="2"/>
      <c r="N44" s="7">
        <f t="shared" si="32"/>
        <v>13.942528735632186</v>
      </c>
      <c r="O44" s="11"/>
      <c r="P44" s="6">
        <v>-80.91</v>
      </c>
      <c r="Q44" s="2"/>
      <c r="R44" s="7">
        <f t="shared" si="33"/>
        <v>-1.3738981794227478E-4</v>
      </c>
      <c r="S44" s="2"/>
      <c r="T44" s="6">
        <v>8.7899999999999991</v>
      </c>
      <c r="U44" s="2"/>
      <c r="V44" s="7">
        <f t="shared" si="34"/>
        <v>4.5259353084741561E-5</v>
      </c>
      <c r="W44" s="2"/>
      <c r="X44" s="6">
        <f t="shared" si="35"/>
        <v>-89.699999999999989</v>
      </c>
      <c r="Y44" s="2"/>
      <c r="Z44" s="7">
        <f t="shared" si="36"/>
        <v>-10.204778156996587</v>
      </c>
    </row>
    <row r="45" spans="1:26" s="29" customFormat="1" outlineLevel="1" collapsed="1" x14ac:dyDescent="0.3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3870.06</v>
      </c>
      <c r="E45" s="1"/>
      <c r="F45" s="5">
        <f t="shared" si="29"/>
        <v>3.7245826438872025E-2</v>
      </c>
      <c r="G45" s="1"/>
      <c r="H45" s="1">
        <f>SUM(OSRRefH22_4x_0)</f>
        <v>639.55999999999995</v>
      </c>
      <c r="I45" s="1"/>
      <c r="J45" s="5">
        <f t="shared" si="30"/>
        <v>8.8618527280237315E-3</v>
      </c>
      <c r="K45" s="1"/>
      <c r="L45" s="1">
        <f t="shared" si="31"/>
        <v>3230.5</v>
      </c>
      <c r="M45" s="1"/>
      <c r="N45" s="5">
        <f t="shared" si="32"/>
        <v>5.0511289011195197</v>
      </c>
      <c r="O45" s="14"/>
      <c r="P45" s="1">
        <f>SUM(OSRRefP22_4x_0)</f>
        <v>22549.86</v>
      </c>
      <c r="Q45" s="1"/>
      <c r="R45" s="5">
        <f t="shared" si="33"/>
        <v>3.8290954888441288E-2</v>
      </c>
      <c r="S45" s="1"/>
      <c r="T45" s="1">
        <f>SUM(OSRRefT22_4x_0)</f>
        <v>3254.76</v>
      </c>
      <c r="U45" s="1"/>
      <c r="V45" s="5">
        <f t="shared" si="34"/>
        <v>1.6758627081466835E-2</v>
      </c>
      <c r="W45" s="1"/>
      <c r="X45" s="1">
        <f t="shared" si="35"/>
        <v>19295.099999999999</v>
      </c>
      <c r="Y45" s="1"/>
      <c r="Z45" s="5">
        <f t="shared" si="36"/>
        <v>5.9282712089370637</v>
      </c>
    </row>
    <row r="46" spans="1:26" s="24" customFormat="1" hidden="1" outlineLevel="2" x14ac:dyDescent="0.3">
      <c r="A46" s="28"/>
      <c r="B46" s="11" t="str">
        <f>CONCATENATE("          ", "6381", " - ", "BANK/CREDIT CARD FEES")</f>
        <v xml:space="preserve">          6381 - BANK/CREDIT CARD FEES</v>
      </c>
      <c r="C46" s="11"/>
      <c r="D46" s="6">
        <v>3870.06</v>
      </c>
      <c r="E46" s="2"/>
      <c r="F46" s="7">
        <f t="shared" si="29"/>
        <v>3.7245826438872025E-2</v>
      </c>
      <c r="G46" s="2"/>
      <c r="H46" s="6">
        <v>639.55999999999995</v>
      </c>
      <c r="I46" s="2"/>
      <c r="J46" s="7">
        <f t="shared" si="30"/>
        <v>8.8618527280237315E-3</v>
      </c>
      <c r="K46" s="2"/>
      <c r="L46" s="6">
        <f t="shared" si="31"/>
        <v>3230.5</v>
      </c>
      <c r="M46" s="2"/>
      <c r="N46" s="7">
        <f t="shared" si="32"/>
        <v>5.0511289011195197</v>
      </c>
      <c r="O46" s="11"/>
      <c r="P46" s="6">
        <v>22549.86</v>
      </c>
      <c r="Q46" s="2"/>
      <c r="R46" s="7">
        <f t="shared" si="33"/>
        <v>3.8290954888441288E-2</v>
      </c>
      <c r="S46" s="2"/>
      <c r="T46" s="6">
        <v>3254.76</v>
      </c>
      <c r="U46" s="2"/>
      <c r="V46" s="7">
        <f t="shared" si="34"/>
        <v>1.6758627081466835E-2</v>
      </c>
      <c r="W46" s="2"/>
      <c r="X46" s="6">
        <f t="shared" si="35"/>
        <v>19295.099999999999</v>
      </c>
      <c r="Y46" s="2"/>
      <c r="Z46" s="7">
        <f t="shared" si="36"/>
        <v>5.9282712089370637</v>
      </c>
    </row>
    <row r="47" spans="1:26" s="29" customFormat="1" outlineLevel="1" collapsed="1" x14ac:dyDescent="0.3">
      <c r="A47" s="27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SUM(OSRRefD22_5x_0)</f>
        <v>32782.04</v>
      </c>
      <c r="E47" s="1"/>
      <c r="F47" s="5">
        <f t="shared" si="29"/>
        <v>0.3154974786313805</v>
      </c>
      <c r="G47" s="1"/>
      <c r="H47" s="1">
        <f>SUM(OSRRefH22_5x_0)</f>
        <v>36720.76</v>
      </c>
      <c r="I47" s="1"/>
      <c r="J47" s="5">
        <f t="shared" si="30"/>
        <v>0.5088091299973494</v>
      </c>
      <c r="K47" s="1"/>
      <c r="L47" s="1">
        <f t="shared" si="31"/>
        <v>-3938.7200000000012</v>
      </c>
      <c r="M47" s="1"/>
      <c r="N47" s="5">
        <f t="shared" si="32"/>
        <v>-0.10726139655061608</v>
      </c>
      <c r="O47" s="14"/>
      <c r="P47" s="1">
        <f>SUM(OSRRefP22_5x_0)</f>
        <v>196780.38</v>
      </c>
      <c r="Q47" s="1"/>
      <c r="R47" s="5">
        <f t="shared" si="33"/>
        <v>0.3341443651317717</v>
      </c>
      <c r="S47" s="1"/>
      <c r="T47" s="1">
        <f>SUM(OSRRefT22_5x_0)</f>
        <v>223148.08000000002</v>
      </c>
      <c r="U47" s="1"/>
      <c r="V47" s="5">
        <f t="shared" si="34"/>
        <v>1.1489804030605413</v>
      </c>
      <c r="W47" s="1"/>
      <c r="X47" s="1">
        <f t="shared" si="35"/>
        <v>-26367.700000000012</v>
      </c>
      <c r="Y47" s="1"/>
      <c r="Z47" s="5">
        <f t="shared" si="36"/>
        <v>-0.11816234314003513</v>
      </c>
    </row>
    <row r="48" spans="1:26" s="24" customFormat="1" hidden="1" outlineLevel="2" x14ac:dyDescent="0.3">
      <c r="A48" s="28"/>
      <c r="B48" s="11" t="str">
        <f>CONCATENATE("          ", "6321", " - ", "BUILDING DEPRECIATION")</f>
        <v xml:space="preserve">          6321 - BUILDING DEPRECIATION</v>
      </c>
      <c r="C48" s="11"/>
      <c r="D48" s="6">
        <v>23539.4</v>
      </c>
      <c r="E48" s="2"/>
      <c r="F48" s="7">
        <f t="shared" si="29"/>
        <v>0.22654543001276059</v>
      </c>
      <c r="G48" s="2"/>
      <c r="H48" s="6">
        <v>23583.49</v>
      </c>
      <c r="I48" s="2"/>
      <c r="J48" s="7">
        <f t="shared" si="30"/>
        <v>0.3267768703371387</v>
      </c>
      <c r="K48" s="2"/>
      <c r="L48" s="6">
        <f t="shared" si="31"/>
        <v>-44.090000000000146</v>
      </c>
      <c r="M48" s="2"/>
      <c r="N48" s="7">
        <f t="shared" si="32"/>
        <v>-1.8695282165616769E-3</v>
      </c>
      <c r="O48" s="11"/>
      <c r="P48" s="6">
        <v>141324.54</v>
      </c>
      <c r="Q48" s="2"/>
      <c r="R48" s="7">
        <f t="shared" si="33"/>
        <v>0.23997716995891399</v>
      </c>
      <c r="S48" s="2"/>
      <c r="T48" s="6">
        <v>142285.13</v>
      </c>
      <c r="U48" s="2"/>
      <c r="V48" s="7">
        <f t="shared" si="34"/>
        <v>0.73262035692586525</v>
      </c>
      <c r="W48" s="2"/>
      <c r="X48" s="6">
        <f t="shared" si="35"/>
        <v>-960.58999999999651</v>
      </c>
      <c r="Y48" s="2"/>
      <c r="Z48" s="7">
        <f t="shared" si="36"/>
        <v>-6.7511622612988192E-3</v>
      </c>
    </row>
    <row r="49" spans="1:26" s="24" customFormat="1" hidden="1" outlineLevel="2" x14ac:dyDescent="0.3">
      <c r="A49" s="28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9242.64</v>
      </c>
      <c r="E49" s="2"/>
      <c r="F49" s="7">
        <f t="shared" si="29"/>
        <v>8.8952048618619897E-2</v>
      </c>
      <c r="G49" s="2"/>
      <c r="H49" s="6">
        <v>13137.27</v>
      </c>
      <c r="I49" s="2"/>
      <c r="J49" s="7">
        <f t="shared" si="30"/>
        <v>0.18203225966021069</v>
      </c>
      <c r="K49" s="2"/>
      <c r="L49" s="6">
        <f t="shared" si="31"/>
        <v>-3894.630000000001</v>
      </c>
      <c r="M49" s="2"/>
      <c r="N49" s="7">
        <f t="shared" si="32"/>
        <v>-0.2964565697439423</v>
      </c>
      <c r="O49" s="11"/>
      <c r="P49" s="6">
        <v>55455.839999999997</v>
      </c>
      <c r="Q49" s="2"/>
      <c r="R49" s="7">
        <f t="shared" si="33"/>
        <v>9.4167195172857723E-2</v>
      </c>
      <c r="S49" s="2"/>
      <c r="T49" s="6">
        <v>80862.95</v>
      </c>
      <c r="U49" s="2"/>
      <c r="V49" s="7">
        <f t="shared" si="34"/>
        <v>0.41636004613467609</v>
      </c>
      <c r="W49" s="2"/>
      <c r="X49" s="6">
        <f t="shared" si="35"/>
        <v>-25407.11</v>
      </c>
      <c r="Y49" s="2"/>
      <c r="Z49" s="7">
        <f t="shared" si="36"/>
        <v>-0.31419964272883938</v>
      </c>
    </row>
    <row r="50" spans="1:26" s="29" customFormat="1" outlineLevel="1" collapsed="1" x14ac:dyDescent="0.3">
      <c r="A50" s="27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SUM(OSRRefD22_6x_0)</f>
        <v>173.7</v>
      </c>
      <c r="E50" s="1"/>
      <c r="F50" s="5">
        <f t="shared" ref="F50:F67" si="37">IF(D$12=0,0,D50/D$12)</f>
        <v>1.6717053617856235E-3</v>
      </c>
      <c r="G50" s="1"/>
      <c r="H50" s="1">
        <f>SUM(OSRRefH22_6x_0)</f>
        <v>10</v>
      </c>
      <c r="I50" s="1"/>
      <c r="J50" s="5">
        <f t="shared" ref="J50:J67" si="38">IF(H$12=0,0,H50/H$12)</f>
        <v>1.385617100510309E-4</v>
      </c>
      <c r="K50" s="1"/>
      <c r="L50" s="1">
        <f t="shared" ref="L50:L67" si="39">+D50-H50</f>
        <v>163.69999999999999</v>
      </c>
      <c r="M50" s="1"/>
      <c r="N50" s="5">
        <f t="shared" ref="N50:N67" si="40">IF(H50=0,0,L50/H50)</f>
        <v>16.369999999999997</v>
      </c>
      <c r="O50" s="14"/>
      <c r="P50" s="1">
        <f>SUM(OSRRefP22_6x_0)</f>
        <v>314.87</v>
      </c>
      <c r="Q50" s="1"/>
      <c r="R50" s="5">
        <f t="shared" ref="R50:R67" si="41">IF(P$12=0,0,P50/P$12)</f>
        <v>5.3466730905307204E-4</v>
      </c>
      <c r="S50" s="1"/>
      <c r="T50" s="1">
        <f>SUM(OSRRefT22_6x_0)</f>
        <v>10</v>
      </c>
      <c r="U50" s="1"/>
      <c r="V50" s="5">
        <f t="shared" ref="V50:V67" si="42">IF(T$12=0,0,T50/T$12)</f>
        <v>5.1489593953062075E-5</v>
      </c>
      <c r="W50" s="1"/>
      <c r="X50" s="1">
        <f t="shared" ref="X50:X67" si="43">+P50-T50</f>
        <v>304.87</v>
      </c>
      <c r="Y50" s="1"/>
      <c r="Z50" s="5">
        <f t="shared" ref="Z50:Z67" si="44">IF(T50=0,0,X50/T50)</f>
        <v>30.487000000000002</v>
      </c>
    </row>
    <row r="51" spans="1:26" s="24" customFormat="1" hidden="1" outlineLevel="2" x14ac:dyDescent="0.3">
      <c r="A51" s="28"/>
      <c r="B51" s="11" t="str">
        <f>CONCATENATE("          ", "6277", " - ", "EMPLOYEE APPRECIATION")</f>
        <v xml:space="preserve">          6277 - EMPLOYEE APPRECIATION</v>
      </c>
      <c r="C51" s="11"/>
      <c r="D51" s="6">
        <v>173.7</v>
      </c>
      <c r="E51" s="2"/>
      <c r="F51" s="7">
        <f t="shared" si="37"/>
        <v>1.6717053617856235E-3</v>
      </c>
      <c r="G51" s="2"/>
      <c r="H51" s="6">
        <v>10</v>
      </c>
      <c r="I51" s="2"/>
      <c r="J51" s="7">
        <f t="shared" si="38"/>
        <v>1.385617100510309E-4</v>
      </c>
      <c r="K51" s="2"/>
      <c r="L51" s="6">
        <f t="shared" si="39"/>
        <v>163.69999999999999</v>
      </c>
      <c r="M51" s="2"/>
      <c r="N51" s="7">
        <f t="shared" si="40"/>
        <v>16.369999999999997</v>
      </c>
      <c r="O51" s="11"/>
      <c r="P51" s="6">
        <v>314.87</v>
      </c>
      <c r="Q51" s="2"/>
      <c r="R51" s="7">
        <f t="shared" si="41"/>
        <v>5.3466730905307204E-4</v>
      </c>
      <c r="S51" s="2"/>
      <c r="T51" s="6">
        <v>10</v>
      </c>
      <c r="U51" s="2"/>
      <c r="V51" s="7">
        <f t="shared" si="42"/>
        <v>5.1489593953062075E-5</v>
      </c>
      <c r="W51" s="2"/>
      <c r="X51" s="6">
        <f t="shared" si="43"/>
        <v>304.87</v>
      </c>
      <c r="Y51" s="2"/>
      <c r="Z51" s="7">
        <f t="shared" si="44"/>
        <v>30.487000000000002</v>
      </c>
    </row>
    <row r="52" spans="1:26" s="29" customFormat="1" outlineLevel="1" collapsed="1" x14ac:dyDescent="0.3">
      <c r="A52" s="27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SUM(OSRRefD22_7x_0)</f>
        <v>1716.76</v>
      </c>
      <c r="E52" s="1"/>
      <c r="F52" s="5">
        <f t="shared" si="37"/>
        <v>1.6522261928031592E-2</v>
      </c>
      <c r="G52" s="1"/>
      <c r="H52" s="1">
        <f>SUM(OSRRefH22_7x_0)</f>
        <v>297.93</v>
      </c>
      <c r="I52" s="1"/>
      <c r="J52" s="5">
        <f t="shared" si="38"/>
        <v>4.128169027550364E-3</v>
      </c>
      <c r="K52" s="1"/>
      <c r="L52" s="1">
        <f t="shared" si="39"/>
        <v>1418.83</v>
      </c>
      <c r="M52" s="1"/>
      <c r="N52" s="5">
        <f t="shared" si="40"/>
        <v>4.7622931561104958</v>
      </c>
      <c r="O52" s="14"/>
      <c r="P52" s="1">
        <f>SUM(OSRRefP22_7x_0)</f>
        <v>5368.15</v>
      </c>
      <c r="Q52" s="1"/>
      <c r="R52" s="5">
        <f t="shared" si="41"/>
        <v>9.1154264143718002E-3</v>
      </c>
      <c r="S52" s="1"/>
      <c r="T52" s="1">
        <f>SUM(OSRRefT22_7x_0)</f>
        <v>4373.62</v>
      </c>
      <c r="U52" s="1"/>
      <c r="V52" s="5">
        <f t="shared" si="42"/>
        <v>2.2519591790499137E-2</v>
      </c>
      <c r="W52" s="1"/>
      <c r="X52" s="1">
        <f t="shared" si="43"/>
        <v>994.52999999999975</v>
      </c>
      <c r="Y52" s="1"/>
      <c r="Z52" s="5">
        <f t="shared" si="44"/>
        <v>0.22739286906498501</v>
      </c>
    </row>
    <row r="53" spans="1:26" s="24" customFormat="1" hidden="1" outlineLevel="2" x14ac:dyDescent="0.3">
      <c r="A53" s="28"/>
      <c r="B53" s="11" t="str">
        <f>CONCATENATE("          ", "6351", " - ", "EQUIPMENT RENTAL")</f>
        <v xml:space="preserve">          6351 - EQUIPMENT RENTAL</v>
      </c>
      <c r="C53" s="11"/>
      <c r="D53" s="6">
        <v>1716.76</v>
      </c>
      <c r="E53" s="2"/>
      <c r="F53" s="7">
        <f t="shared" si="37"/>
        <v>1.6522261928031592E-2</v>
      </c>
      <c r="G53" s="2"/>
      <c r="H53" s="6">
        <v>297.93</v>
      </c>
      <c r="I53" s="2"/>
      <c r="J53" s="7">
        <f t="shared" si="38"/>
        <v>4.128169027550364E-3</v>
      </c>
      <c r="K53" s="2"/>
      <c r="L53" s="6">
        <f t="shared" si="39"/>
        <v>1418.83</v>
      </c>
      <c r="M53" s="2"/>
      <c r="N53" s="7">
        <f t="shared" si="40"/>
        <v>4.7622931561104958</v>
      </c>
      <c r="O53" s="11"/>
      <c r="P53" s="6">
        <v>5368.15</v>
      </c>
      <c r="Q53" s="2"/>
      <c r="R53" s="7">
        <f t="shared" si="41"/>
        <v>9.1154264143718002E-3</v>
      </c>
      <c r="S53" s="2"/>
      <c r="T53" s="6">
        <v>4373.62</v>
      </c>
      <c r="U53" s="2"/>
      <c r="V53" s="7">
        <f t="shared" si="42"/>
        <v>2.2519591790499137E-2</v>
      </c>
      <c r="W53" s="2"/>
      <c r="X53" s="6">
        <f t="shared" si="43"/>
        <v>994.52999999999975</v>
      </c>
      <c r="Y53" s="2"/>
      <c r="Z53" s="7">
        <f t="shared" si="44"/>
        <v>0.22739286906498501</v>
      </c>
    </row>
    <row r="54" spans="1:26" s="29" customFormat="1" outlineLevel="1" collapsed="1" x14ac:dyDescent="0.3">
      <c r="A54" s="27"/>
      <c r="B54" s="14" t="str">
        <f>CONCATENATE("     ","Freight out/Postage                               ")</f>
        <v xml:space="preserve">     Freight out/Postage                               </v>
      </c>
      <c r="C54" s="14"/>
      <c r="D54" s="1">
        <f>SUM(OSRRefD22_8x_0)</f>
        <v>0</v>
      </c>
      <c r="E54" s="1"/>
      <c r="F54" s="5">
        <f t="shared" si="37"/>
        <v>0</v>
      </c>
      <c r="G54" s="1"/>
      <c r="H54" s="1">
        <f>SUM(OSRRefH22_8x_0)</f>
        <v>0</v>
      </c>
      <c r="I54" s="1"/>
      <c r="J54" s="5">
        <f t="shared" si="38"/>
        <v>0</v>
      </c>
      <c r="K54" s="1"/>
      <c r="L54" s="1">
        <f t="shared" si="39"/>
        <v>0</v>
      </c>
      <c r="M54" s="1"/>
      <c r="N54" s="5">
        <f t="shared" si="40"/>
        <v>0</v>
      </c>
      <c r="O54" s="14"/>
      <c r="P54" s="1">
        <f>SUM(OSRRefP22_8x_0)</f>
        <v>0</v>
      </c>
      <c r="Q54" s="1"/>
      <c r="R54" s="5">
        <f t="shared" si="41"/>
        <v>0</v>
      </c>
      <c r="S54" s="1"/>
      <c r="T54" s="1">
        <f>SUM(OSRRefT22_8x_0)</f>
        <v>-5.41</v>
      </c>
      <c r="U54" s="1"/>
      <c r="V54" s="5">
        <f t="shared" si="42"/>
        <v>-2.7855870328606584E-5</v>
      </c>
      <c r="W54" s="1"/>
      <c r="X54" s="1">
        <f t="shared" si="43"/>
        <v>5.41</v>
      </c>
      <c r="Y54" s="1"/>
      <c r="Z54" s="5">
        <f t="shared" si="44"/>
        <v>-1</v>
      </c>
    </row>
    <row r="55" spans="1:26" s="24" customFormat="1" hidden="1" outlineLevel="2" x14ac:dyDescent="0.3">
      <c r="A55" s="28"/>
      <c r="B55" s="11" t="str">
        <f>CONCATENATE("          ", "6307", " - ", "POSTAGE")</f>
        <v xml:space="preserve">          6307 - POSTAGE</v>
      </c>
      <c r="C55" s="11"/>
      <c r="D55" s="6"/>
      <c r="E55" s="2"/>
      <c r="F55" s="7">
        <f t="shared" si="37"/>
        <v>0</v>
      </c>
      <c r="G55" s="2"/>
      <c r="H55" s="6"/>
      <c r="I55" s="2"/>
      <c r="J55" s="7">
        <f t="shared" si="38"/>
        <v>0</v>
      </c>
      <c r="K55" s="2"/>
      <c r="L55" s="6">
        <f t="shared" si="39"/>
        <v>0</v>
      </c>
      <c r="M55" s="2"/>
      <c r="N55" s="7">
        <f t="shared" si="40"/>
        <v>0</v>
      </c>
      <c r="O55" s="11"/>
      <c r="P55" s="6"/>
      <c r="Q55" s="2"/>
      <c r="R55" s="7">
        <f t="shared" si="41"/>
        <v>0</v>
      </c>
      <c r="S55" s="2"/>
      <c r="T55" s="6">
        <v>-5.41</v>
      </c>
      <c r="U55" s="2"/>
      <c r="V55" s="7">
        <f t="shared" si="42"/>
        <v>-2.7855870328606584E-5</v>
      </c>
      <c r="W55" s="2"/>
      <c r="X55" s="6">
        <f t="shared" si="43"/>
        <v>5.41</v>
      </c>
      <c r="Y55" s="2"/>
      <c r="Z55" s="7">
        <f t="shared" si="44"/>
        <v>-1</v>
      </c>
    </row>
    <row r="56" spans="1:26" s="29" customFormat="1" outlineLevel="1" collapsed="1" x14ac:dyDescent="0.3">
      <c r="A56" s="27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SUM(OSRRefD22_9x_0)</f>
        <v>710</v>
      </c>
      <c r="E56" s="1"/>
      <c r="F56" s="5">
        <f t="shared" si="37"/>
        <v>6.8331076964179204E-3</v>
      </c>
      <c r="G56" s="1"/>
      <c r="H56" s="1">
        <f>SUM(OSRRefH22_9x_0)</f>
        <v>459</v>
      </c>
      <c r="I56" s="1"/>
      <c r="J56" s="5">
        <f t="shared" si="38"/>
        <v>6.3599824913423185E-3</v>
      </c>
      <c r="K56" s="1"/>
      <c r="L56" s="1">
        <f t="shared" si="39"/>
        <v>251</v>
      </c>
      <c r="M56" s="1"/>
      <c r="N56" s="5">
        <f t="shared" si="40"/>
        <v>0.54684095860566451</v>
      </c>
      <c r="O56" s="14"/>
      <c r="P56" s="1">
        <f>SUM(OSRRefP22_9x_0)</f>
        <v>14800.26</v>
      </c>
      <c r="Q56" s="1"/>
      <c r="R56" s="5">
        <f t="shared" si="41"/>
        <v>2.5131689864025853E-2</v>
      </c>
      <c r="S56" s="1"/>
      <c r="T56" s="1">
        <f>SUM(OSRRefT22_9x_0)</f>
        <v>4680.45</v>
      </c>
      <c r="U56" s="1"/>
      <c r="V56" s="5">
        <f t="shared" si="42"/>
        <v>2.4099447001760938E-2</v>
      </c>
      <c r="W56" s="1"/>
      <c r="X56" s="1">
        <f t="shared" si="43"/>
        <v>10119.810000000001</v>
      </c>
      <c r="Y56" s="1"/>
      <c r="Z56" s="5">
        <f t="shared" si="44"/>
        <v>2.1621446655770282</v>
      </c>
    </row>
    <row r="57" spans="1:26" s="24" customFormat="1" hidden="1" outlineLevel="2" x14ac:dyDescent="0.3">
      <c r="A57" s="28"/>
      <c r="B57" s="11" t="str">
        <f>CONCATENATE("          ", "6279", " - ", "GENERAL EXPENSE")</f>
        <v xml:space="preserve">          6279 - GENERAL EXPENSE</v>
      </c>
      <c r="C57" s="11"/>
      <c r="D57" s="6">
        <v>710</v>
      </c>
      <c r="E57" s="2"/>
      <c r="F57" s="7">
        <f t="shared" si="37"/>
        <v>6.8331076964179204E-3</v>
      </c>
      <c r="G57" s="2"/>
      <c r="H57" s="6">
        <v>459</v>
      </c>
      <c r="I57" s="2"/>
      <c r="J57" s="7">
        <f t="shared" si="38"/>
        <v>6.3599824913423185E-3</v>
      </c>
      <c r="K57" s="2"/>
      <c r="L57" s="6">
        <f t="shared" si="39"/>
        <v>251</v>
      </c>
      <c r="M57" s="2"/>
      <c r="N57" s="7">
        <f t="shared" si="40"/>
        <v>0.54684095860566451</v>
      </c>
      <c r="O57" s="11"/>
      <c r="P57" s="6">
        <v>14800.26</v>
      </c>
      <c r="Q57" s="2"/>
      <c r="R57" s="7">
        <f t="shared" si="41"/>
        <v>2.5131689864025853E-2</v>
      </c>
      <c r="S57" s="2"/>
      <c r="T57" s="6">
        <v>4680.45</v>
      </c>
      <c r="U57" s="2"/>
      <c r="V57" s="7">
        <f t="shared" si="42"/>
        <v>2.4099447001760938E-2</v>
      </c>
      <c r="W57" s="2"/>
      <c r="X57" s="6">
        <f t="shared" si="43"/>
        <v>10119.810000000001</v>
      </c>
      <c r="Y57" s="2"/>
      <c r="Z57" s="7">
        <f t="shared" si="44"/>
        <v>2.1621446655770282</v>
      </c>
    </row>
    <row r="58" spans="1:26" s="29" customFormat="1" outlineLevel="1" collapsed="1" x14ac:dyDescent="0.3">
      <c r="A58" s="27"/>
      <c r="B58" s="14" t="str">
        <f>CONCATENATE("     ","Insurance                                         ")</f>
        <v xml:space="preserve">     Insurance                                         </v>
      </c>
      <c r="C58" s="14"/>
      <c r="D58" s="1">
        <f>SUM(OSRRefD22_10x_0)</f>
        <v>5756.21</v>
      </c>
      <c r="E58" s="1"/>
      <c r="F58" s="5">
        <f t="shared" si="37"/>
        <v>5.5398313877743383E-2</v>
      </c>
      <c r="G58" s="1"/>
      <c r="H58" s="1">
        <f>SUM(OSRRefH22_10x_0)</f>
        <v>4240.13</v>
      </c>
      <c r="I58" s="1"/>
      <c r="J58" s="5">
        <f t="shared" si="38"/>
        <v>5.8751966363867765E-2</v>
      </c>
      <c r="K58" s="1"/>
      <c r="L58" s="1">
        <f t="shared" si="39"/>
        <v>1516.08</v>
      </c>
      <c r="M58" s="1"/>
      <c r="N58" s="5">
        <f t="shared" si="40"/>
        <v>0.35755507496232425</v>
      </c>
      <c r="O58" s="14"/>
      <c r="P58" s="1">
        <f>SUM(OSRRefP22_10x_0)</f>
        <v>41420.26</v>
      </c>
      <c r="Q58" s="1"/>
      <c r="R58" s="5">
        <f t="shared" si="41"/>
        <v>7.0333975782000818E-2</v>
      </c>
      <c r="S58" s="1"/>
      <c r="T58" s="1">
        <f>SUM(OSRRefT22_10x_0)</f>
        <v>31552.78</v>
      </c>
      <c r="U58" s="1"/>
      <c r="V58" s="5">
        <f t="shared" si="42"/>
        <v>0.16246398302902981</v>
      </c>
      <c r="W58" s="1"/>
      <c r="X58" s="1">
        <f t="shared" si="43"/>
        <v>9867.4800000000032</v>
      </c>
      <c r="Y58" s="1"/>
      <c r="Z58" s="5">
        <f t="shared" si="44"/>
        <v>0.31272933795373986</v>
      </c>
    </row>
    <row r="59" spans="1:26" s="24" customFormat="1" hidden="1" outlineLevel="2" x14ac:dyDescent="0.3">
      <c r="A59" s="28"/>
      <c r="B59" s="11" t="str">
        <f>CONCATENATE("          ", "6314", " - ", "LIABILITY INSURANCE")</f>
        <v xml:space="preserve">          6314 - LIABILITY INSURANCE</v>
      </c>
      <c r="C59" s="11"/>
      <c r="D59" s="6">
        <v>5756.21</v>
      </c>
      <c r="E59" s="2"/>
      <c r="F59" s="7">
        <f t="shared" si="37"/>
        <v>5.5398313877743383E-2</v>
      </c>
      <c r="G59" s="2"/>
      <c r="H59" s="6">
        <v>4240.13</v>
      </c>
      <c r="I59" s="2"/>
      <c r="J59" s="7">
        <f t="shared" si="38"/>
        <v>5.8751966363867765E-2</v>
      </c>
      <c r="K59" s="2"/>
      <c r="L59" s="6">
        <f t="shared" si="39"/>
        <v>1516.08</v>
      </c>
      <c r="M59" s="2"/>
      <c r="N59" s="7">
        <f t="shared" si="40"/>
        <v>0.35755507496232425</v>
      </c>
      <c r="O59" s="11"/>
      <c r="P59" s="6">
        <v>41420.26</v>
      </c>
      <c r="Q59" s="2"/>
      <c r="R59" s="7">
        <f t="shared" si="41"/>
        <v>7.0333975782000818E-2</v>
      </c>
      <c r="S59" s="2"/>
      <c r="T59" s="6">
        <v>31552.78</v>
      </c>
      <c r="U59" s="2"/>
      <c r="V59" s="7">
        <f t="shared" si="42"/>
        <v>0.16246398302902981</v>
      </c>
      <c r="W59" s="2"/>
      <c r="X59" s="6">
        <f t="shared" si="43"/>
        <v>9867.4800000000032</v>
      </c>
      <c r="Y59" s="2"/>
      <c r="Z59" s="7">
        <f t="shared" si="44"/>
        <v>0.31272933795373986</v>
      </c>
    </row>
    <row r="60" spans="1:26" s="29" customFormat="1" outlineLevel="1" collapsed="1" x14ac:dyDescent="0.3">
      <c r="A60" s="27"/>
      <c r="B60" s="14" t="str">
        <f>CONCATENATE("     ","Interest                                          ")</f>
        <v xml:space="preserve">     Interest                                          </v>
      </c>
      <c r="C60" s="14"/>
      <c r="D60" s="1">
        <f>SUM(OSRRefD22_11x_0)</f>
        <v>7253</v>
      </c>
      <c r="E60" s="1"/>
      <c r="F60" s="5">
        <f t="shared" si="37"/>
        <v>6.980356355228054E-2</v>
      </c>
      <c r="G60" s="1"/>
      <c r="H60" s="1">
        <f>SUM(OSRRefH22_11x_0)</f>
        <v>7510</v>
      </c>
      <c r="I60" s="1"/>
      <c r="J60" s="5">
        <f t="shared" si="38"/>
        <v>0.10405984424832421</v>
      </c>
      <c r="K60" s="1"/>
      <c r="L60" s="1">
        <f t="shared" si="39"/>
        <v>-257</v>
      </c>
      <c r="M60" s="1"/>
      <c r="N60" s="5">
        <f t="shared" si="40"/>
        <v>-3.4221038615179764E-2</v>
      </c>
      <c r="O60" s="14"/>
      <c r="P60" s="1">
        <f>SUM(OSRRefP22_11x_0)</f>
        <v>43004</v>
      </c>
      <c r="Q60" s="1"/>
      <c r="R60" s="5">
        <f t="shared" si="41"/>
        <v>7.3023257085521986E-2</v>
      </c>
      <c r="S60" s="1"/>
      <c r="T60" s="1">
        <f>SUM(OSRRefT22_11x_0)</f>
        <v>44573.15</v>
      </c>
      <c r="U60" s="1"/>
      <c r="V60" s="5">
        <f t="shared" si="42"/>
        <v>0.22950533947089291</v>
      </c>
      <c r="W60" s="1"/>
      <c r="X60" s="1">
        <f t="shared" si="43"/>
        <v>-1569.1500000000015</v>
      </c>
      <c r="Y60" s="1"/>
      <c r="Z60" s="5">
        <f t="shared" si="44"/>
        <v>-3.5203928822620821E-2</v>
      </c>
    </row>
    <row r="61" spans="1:26" s="24" customFormat="1" hidden="1" outlineLevel="2" x14ac:dyDescent="0.3">
      <c r="A61" s="28"/>
      <c r="B61" s="11" t="str">
        <f>CONCATENATE("          ", "6401", " - ", "INTEREST EXPENSE")</f>
        <v xml:space="preserve">          6401 - INTEREST EXPENSE</v>
      </c>
      <c r="C61" s="11"/>
      <c r="D61" s="6">
        <v>7253</v>
      </c>
      <c r="E61" s="2"/>
      <c r="F61" s="7">
        <f t="shared" si="37"/>
        <v>6.980356355228054E-2</v>
      </c>
      <c r="G61" s="2"/>
      <c r="H61" s="6">
        <v>7510</v>
      </c>
      <c r="I61" s="2"/>
      <c r="J61" s="7">
        <f t="shared" si="38"/>
        <v>0.10405984424832421</v>
      </c>
      <c r="K61" s="2"/>
      <c r="L61" s="6">
        <f t="shared" si="39"/>
        <v>-257</v>
      </c>
      <c r="M61" s="2"/>
      <c r="N61" s="7">
        <f t="shared" si="40"/>
        <v>-3.4221038615179764E-2</v>
      </c>
      <c r="O61" s="11"/>
      <c r="P61" s="6">
        <v>43004</v>
      </c>
      <c r="Q61" s="2"/>
      <c r="R61" s="7">
        <f t="shared" si="41"/>
        <v>7.3023257085521986E-2</v>
      </c>
      <c r="S61" s="2"/>
      <c r="T61" s="6">
        <v>44573.15</v>
      </c>
      <c r="U61" s="2"/>
      <c r="V61" s="7">
        <f t="shared" si="42"/>
        <v>0.22950533947089291</v>
      </c>
      <c r="W61" s="2"/>
      <c r="X61" s="6">
        <f t="shared" si="43"/>
        <v>-1569.1500000000015</v>
      </c>
      <c r="Y61" s="2"/>
      <c r="Z61" s="7">
        <f t="shared" si="44"/>
        <v>-3.5203928822620821E-2</v>
      </c>
    </row>
    <row r="62" spans="1:26" s="29" customFormat="1" outlineLevel="1" collapsed="1" x14ac:dyDescent="0.3">
      <c r="A62" s="27"/>
      <c r="B62" s="14" t="str">
        <f>CONCATENATE("     ","Rent                                              ")</f>
        <v xml:space="preserve">     Rent                                              </v>
      </c>
      <c r="C62" s="14"/>
      <c r="D62" s="1">
        <f>SUM(OSRRefD22_12x_0)</f>
        <v>1850</v>
      </c>
      <c r="E62" s="1"/>
      <c r="F62" s="5">
        <f t="shared" si="37"/>
        <v>1.7804576392074865E-2</v>
      </c>
      <c r="G62" s="1"/>
      <c r="H62" s="1">
        <f>SUM(OSRRefH22_12x_0)</f>
        <v>5550</v>
      </c>
      <c r="I62" s="1"/>
      <c r="J62" s="5">
        <f t="shared" si="38"/>
        <v>7.6901749078322146E-2</v>
      </c>
      <c r="K62" s="1"/>
      <c r="L62" s="1">
        <f t="shared" si="39"/>
        <v>-3700</v>
      </c>
      <c r="M62" s="1"/>
      <c r="N62" s="5">
        <f t="shared" si="40"/>
        <v>-0.66666666666666663</v>
      </c>
      <c r="O62" s="14"/>
      <c r="P62" s="1">
        <f>SUM(OSRRefP22_12x_0)</f>
        <v>11100</v>
      </c>
      <c r="Q62" s="1"/>
      <c r="R62" s="5">
        <f t="shared" si="41"/>
        <v>1.8848436276841553E-2</v>
      </c>
      <c r="S62" s="1"/>
      <c r="T62" s="1">
        <f>SUM(OSRRefT22_12x_0)</f>
        <v>11100</v>
      </c>
      <c r="U62" s="1"/>
      <c r="V62" s="5">
        <f t="shared" si="42"/>
        <v>5.7153449287898908E-2</v>
      </c>
      <c r="W62" s="1"/>
      <c r="X62" s="1">
        <f t="shared" si="43"/>
        <v>0</v>
      </c>
      <c r="Y62" s="1"/>
      <c r="Z62" s="5">
        <f t="shared" si="44"/>
        <v>0</v>
      </c>
    </row>
    <row r="63" spans="1:26" s="24" customFormat="1" hidden="1" outlineLevel="2" x14ac:dyDescent="0.3">
      <c r="A63" s="28"/>
      <c r="B63" s="11" t="str">
        <f>CONCATENATE("          ", "6273", " - ", "RENT")</f>
        <v xml:space="preserve">          6273 - RENT</v>
      </c>
      <c r="C63" s="11"/>
      <c r="D63" s="6">
        <v>1850</v>
      </c>
      <c r="E63" s="2"/>
      <c r="F63" s="7">
        <f t="shared" si="37"/>
        <v>1.7804576392074865E-2</v>
      </c>
      <c r="G63" s="2"/>
      <c r="H63" s="6">
        <v>5550</v>
      </c>
      <c r="I63" s="2"/>
      <c r="J63" s="7">
        <f t="shared" si="38"/>
        <v>7.6901749078322146E-2</v>
      </c>
      <c r="K63" s="2"/>
      <c r="L63" s="6">
        <f t="shared" si="39"/>
        <v>-3700</v>
      </c>
      <c r="M63" s="2"/>
      <c r="N63" s="7">
        <f t="shared" si="40"/>
        <v>-0.66666666666666663</v>
      </c>
      <c r="O63" s="11"/>
      <c r="P63" s="6">
        <v>11100</v>
      </c>
      <c r="Q63" s="2"/>
      <c r="R63" s="7">
        <f t="shared" si="41"/>
        <v>1.8848436276841553E-2</v>
      </c>
      <c r="S63" s="2"/>
      <c r="T63" s="6">
        <v>11100</v>
      </c>
      <c r="U63" s="2"/>
      <c r="V63" s="7">
        <f t="shared" si="42"/>
        <v>5.7153449287898908E-2</v>
      </c>
      <c r="W63" s="2"/>
      <c r="X63" s="6">
        <f t="shared" si="43"/>
        <v>0</v>
      </c>
      <c r="Y63" s="2"/>
      <c r="Z63" s="7">
        <f t="shared" si="44"/>
        <v>0</v>
      </c>
    </row>
    <row r="64" spans="1:26" s="29" customFormat="1" outlineLevel="1" collapsed="1" x14ac:dyDescent="0.3">
      <c r="A64" s="27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SUM(OSRRefD22_13x_0)</f>
        <v>10702.599999999999</v>
      </c>
      <c r="E64" s="1"/>
      <c r="F64" s="5">
        <f t="shared" si="37"/>
        <v>0.10300284286152454</v>
      </c>
      <c r="G64" s="1"/>
      <c r="H64" s="1">
        <f>SUM(OSRRefH22_13x_0)</f>
        <v>1686.72</v>
      </c>
      <c r="I64" s="1"/>
      <c r="J64" s="5">
        <f t="shared" si="38"/>
        <v>2.3371480757727485E-2</v>
      </c>
      <c r="K64" s="1"/>
      <c r="L64" s="1">
        <f t="shared" si="39"/>
        <v>9015.8799999999992</v>
      </c>
      <c r="M64" s="1"/>
      <c r="N64" s="5">
        <f t="shared" si="40"/>
        <v>5.345214380572946</v>
      </c>
      <c r="O64" s="14"/>
      <c r="P64" s="1">
        <f>SUM(OSRRefP22_13x_0)</f>
        <v>52888.01</v>
      </c>
      <c r="Q64" s="1"/>
      <c r="R64" s="5">
        <f t="shared" si="41"/>
        <v>8.9806872639095384E-2</v>
      </c>
      <c r="S64" s="1"/>
      <c r="T64" s="1">
        <f>SUM(OSRRefT22_13x_0)</f>
        <v>19858.980000000003</v>
      </c>
      <c r="U64" s="1"/>
      <c r="V64" s="5">
        <f t="shared" si="42"/>
        <v>0.1022530816521981</v>
      </c>
      <c r="W64" s="1"/>
      <c r="X64" s="1">
        <f t="shared" si="43"/>
        <v>33029.03</v>
      </c>
      <c r="Y64" s="1"/>
      <c r="Z64" s="5">
        <f t="shared" si="44"/>
        <v>1.6631785721119612</v>
      </c>
    </row>
    <row r="65" spans="1:26" s="24" customFormat="1" hidden="1" outlineLevel="2" x14ac:dyDescent="0.3">
      <c r="A65" s="28"/>
      <c r="B65" s="11" t="str">
        <f>CONCATENATE("          ", "6371", " - ", "COMPUTER SOFTWARE MAINTENANCE")</f>
        <v xml:space="preserve">          6371 - COMPUTER SOFTWARE MAINTENANCE</v>
      </c>
      <c r="C65" s="11"/>
      <c r="D65" s="6">
        <v>618.36</v>
      </c>
      <c r="E65" s="2"/>
      <c r="F65" s="7">
        <f t="shared" si="37"/>
        <v>5.9511555988126554E-3</v>
      </c>
      <c r="G65" s="2"/>
      <c r="H65" s="6"/>
      <c r="I65" s="2"/>
      <c r="J65" s="7">
        <f t="shared" si="38"/>
        <v>0</v>
      </c>
      <c r="K65" s="2"/>
      <c r="L65" s="6">
        <f t="shared" si="39"/>
        <v>618.36</v>
      </c>
      <c r="M65" s="2"/>
      <c r="N65" s="7">
        <f t="shared" si="40"/>
        <v>0</v>
      </c>
      <c r="O65" s="11"/>
      <c r="P65" s="6">
        <v>6336.08</v>
      </c>
      <c r="Q65" s="2"/>
      <c r="R65" s="7">
        <f t="shared" si="41"/>
        <v>1.0759027038285605E-2</v>
      </c>
      <c r="S65" s="2"/>
      <c r="T65" s="6"/>
      <c r="U65" s="2"/>
      <c r="V65" s="7">
        <f t="shared" si="42"/>
        <v>0</v>
      </c>
      <c r="W65" s="2"/>
      <c r="X65" s="6">
        <f t="shared" si="43"/>
        <v>6336.08</v>
      </c>
      <c r="Y65" s="2"/>
      <c r="Z65" s="7">
        <f t="shared" si="44"/>
        <v>0</v>
      </c>
    </row>
    <row r="66" spans="1:26" s="24" customFormat="1" hidden="1" outlineLevel="2" x14ac:dyDescent="0.3">
      <c r="A66" s="28"/>
      <c r="B66" s="11" t="str">
        <f>CONCATENATE("          ", "6373", " - ", "MAINTENANCE CONTRACTS")</f>
        <v xml:space="preserve">          6373 - MAINTENANCE CONTRACTS</v>
      </c>
      <c r="C66" s="11"/>
      <c r="D66" s="6">
        <v>4447.13</v>
      </c>
      <c r="E66" s="2"/>
      <c r="F66" s="7">
        <f t="shared" si="37"/>
        <v>4.2799603140804263E-2</v>
      </c>
      <c r="G66" s="2"/>
      <c r="H66" s="6">
        <v>1244.25</v>
      </c>
      <c r="I66" s="2"/>
      <c r="J66" s="7">
        <f t="shared" si="38"/>
        <v>1.7240540773099521E-2</v>
      </c>
      <c r="K66" s="2"/>
      <c r="L66" s="6">
        <f t="shared" si="39"/>
        <v>3202.88</v>
      </c>
      <c r="M66" s="2"/>
      <c r="N66" s="7">
        <f t="shared" si="40"/>
        <v>2.5741450673096242</v>
      </c>
      <c r="O66" s="11"/>
      <c r="P66" s="6">
        <v>11106.63</v>
      </c>
      <c r="Q66" s="2"/>
      <c r="R66" s="7">
        <f t="shared" si="41"/>
        <v>1.8859694396887988E-2</v>
      </c>
      <c r="S66" s="2"/>
      <c r="T66" s="6">
        <v>11021.44</v>
      </c>
      <c r="U66" s="2"/>
      <c r="V66" s="7">
        <f t="shared" si="42"/>
        <v>5.6748947037803657E-2</v>
      </c>
      <c r="W66" s="2"/>
      <c r="X66" s="6">
        <f t="shared" si="43"/>
        <v>85.18999999999869</v>
      </c>
      <c r="Y66" s="2"/>
      <c r="Z66" s="7">
        <f t="shared" si="44"/>
        <v>7.7294799953543901E-3</v>
      </c>
    </row>
    <row r="67" spans="1:26" s="24" customFormat="1" hidden="1" outlineLevel="2" x14ac:dyDescent="0.3">
      <c r="A67" s="28"/>
      <c r="B67" s="11" t="str">
        <f>CONCATENATE("          ", "6375", " - ", "OUTSIDE REPAIRS &amp; MAINTENANCE")</f>
        <v xml:space="preserve">          6375 - OUTSIDE REPAIRS &amp; MAINTENANCE</v>
      </c>
      <c r="C67" s="11"/>
      <c r="D67" s="6">
        <v>5637.11</v>
      </c>
      <c r="E67" s="2"/>
      <c r="F67" s="7">
        <f t="shared" si="37"/>
        <v>5.4252084121907636E-2</v>
      </c>
      <c r="G67" s="2"/>
      <c r="H67" s="6">
        <v>442.47</v>
      </c>
      <c r="I67" s="2"/>
      <c r="J67" s="7">
        <f t="shared" si="38"/>
        <v>6.1309399846279644E-3</v>
      </c>
      <c r="K67" s="2"/>
      <c r="L67" s="6">
        <f t="shared" si="39"/>
        <v>5194.6399999999994</v>
      </c>
      <c r="M67" s="2"/>
      <c r="N67" s="7">
        <f t="shared" si="40"/>
        <v>11.740095373697649</v>
      </c>
      <c r="O67" s="11"/>
      <c r="P67" s="6">
        <v>35445.300000000003</v>
      </c>
      <c r="Q67" s="2"/>
      <c r="R67" s="7">
        <f t="shared" si="41"/>
        <v>6.0188151203921798E-2</v>
      </c>
      <c r="S67" s="2"/>
      <c r="T67" s="6">
        <v>8837.5400000000009</v>
      </c>
      <c r="U67" s="2"/>
      <c r="V67" s="7">
        <f t="shared" si="42"/>
        <v>4.5504134614394426E-2</v>
      </c>
      <c r="W67" s="2"/>
      <c r="X67" s="6">
        <f t="shared" si="43"/>
        <v>26607.760000000002</v>
      </c>
      <c r="Y67" s="2"/>
      <c r="Z67" s="7">
        <f t="shared" si="44"/>
        <v>3.0107654392511942</v>
      </c>
    </row>
    <row r="68" spans="1:26" s="29" customFormat="1" outlineLevel="1" collapsed="1" x14ac:dyDescent="0.3">
      <c r="A68" s="27"/>
      <c r="B68" s="14" t="str">
        <f>CONCATENATE("     ","Royalty &amp; Commissions                             ")</f>
        <v xml:space="preserve">     Royalty &amp; Commissions                             </v>
      </c>
      <c r="C68" s="14"/>
      <c r="D68" s="1">
        <f>SUM(OSRRefD22_14x_0)</f>
        <v>412.47</v>
      </c>
      <c r="E68" s="1"/>
      <c r="F68" s="5">
        <f t="shared" ref="F68:F74" si="45">IF(D$12=0,0,D68/D$12)</f>
        <v>3.9696506078049296E-3</v>
      </c>
      <c r="G68" s="1"/>
      <c r="H68" s="1">
        <f>SUM(OSRRefH22_14x_0)</f>
        <v>0</v>
      </c>
      <c r="I68" s="1"/>
      <c r="J68" s="5">
        <f t="shared" ref="J68:J74" si="46">IF(H$12=0,0,H68/H$12)</f>
        <v>0</v>
      </c>
      <c r="K68" s="1"/>
      <c r="L68" s="1">
        <f t="shared" ref="L68:L74" si="47">+D68-H68</f>
        <v>412.47</v>
      </c>
      <c r="M68" s="1"/>
      <c r="N68" s="5">
        <f t="shared" ref="N68:N74" si="48">IF(H68=0,0,L68/H68)</f>
        <v>0</v>
      </c>
      <c r="O68" s="14"/>
      <c r="P68" s="1">
        <f>SUM(OSRRefP22_14x_0)</f>
        <v>1844.91</v>
      </c>
      <c r="Q68" s="1"/>
      <c r="R68" s="5">
        <f t="shared" ref="R68:R74" si="49">IF(P$12=0,0,P68/P$12)</f>
        <v>3.1327629343700677E-3</v>
      </c>
      <c r="S68" s="1"/>
      <c r="T68" s="1">
        <f>SUM(OSRRefT22_14x_0)</f>
        <v>0</v>
      </c>
      <c r="U68" s="1"/>
      <c r="V68" s="5">
        <f t="shared" ref="V68:V74" si="50">IF(T$12=0,0,T68/T$12)</f>
        <v>0</v>
      </c>
      <c r="W68" s="1"/>
      <c r="X68" s="1">
        <f t="shared" ref="X68:X74" si="51">+P68-T68</f>
        <v>1844.91</v>
      </c>
      <c r="Y68" s="1"/>
      <c r="Z68" s="5">
        <f t="shared" ref="Z68:Z74" si="52">IF(T68=0,0,X68/T68)</f>
        <v>0</v>
      </c>
    </row>
    <row r="69" spans="1:26" s="24" customFormat="1" hidden="1" outlineLevel="2" x14ac:dyDescent="0.3">
      <c r="A69" s="28"/>
      <c r="B69" s="11" t="str">
        <f>CONCATENATE("          ", "6254", " - ", "ROYALTY &amp; COMMISSIONS")</f>
        <v xml:space="preserve">          6254 - ROYALTY &amp; COMMISSIONS</v>
      </c>
      <c r="C69" s="11"/>
      <c r="D69" s="6">
        <v>412.47</v>
      </c>
      <c r="E69" s="2"/>
      <c r="F69" s="7">
        <f t="shared" si="45"/>
        <v>3.9696506078049296E-3</v>
      </c>
      <c r="G69" s="2"/>
      <c r="H69" s="6"/>
      <c r="I69" s="2"/>
      <c r="J69" s="7">
        <f t="shared" si="46"/>
        <v>0</v>
      </c>
      <c r="K69" s="2"/>
      <c r="L69" s="6">
        <f t="shared" si="47"/>
        <v>412.47</v>
      </c>
      <c r="M69" s="2"/>
      <c r="N69" s="7">
        <f t="shared" si="48"/>
        <v>0</v>
      </c>
      <c r="O69" s="11"/>
      <c r="P69" s="6">
        <v>1844.91</v>
      </c>
      <c r="Q69" s="2"/>
      <c r="R69" s="7">
        <f t="shared" si="49"/>
        <v>3.1327629343700677E-3</v>
      </c>
      <c r="S69" s="2"/>
      <c r="T69" s="6"/>
      <c r="U69" s="2"/>
      <c r="V69" s="7">
        <f t="shared" si="50"/>
        <v>0</v>
      </c>
      <c r="W69" s="2"/>
      <c r="X69" s="6">
        <f t="shared" si="51"/>
        <v>1844.91</v>
      </c>
      <c r="Y69" s="2"/>
      <c r="Z69" s="7">
        <f t="shared" si="52"/>
        <v>0</v>
      </c>
    </row>
    <row r="70" spans="1:26" s="29" customFormat="1" outlineLevel="1" collapsed="1" x14ac:dyDescent="0.3">
      <c r="A70" s="27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SUM(OSRRefD22_15x_0)</f>
        <v>2192.15</v>
      </c>
      <c r="E70" s="1"/>
      <c r="F70" s="5">
        <f t="shared" si="45"/>
        <v>2.1097460615074008E-2</v>
      </c>
      <c r="G70" s="1"/>
      <c r="H70" s="1">
        <f>SUM(OSRRefH22_15x_0)</f>
        <v>11160.029999999999</v>
      </c>
      <c r="I70" s="1"/>
      <c r="J70" s="5">
        <f t="shared" si="46"/>
        <v>0.15463528410208063</v>
      </c>
      <c r="K70" s="1"/>
      <c r="L70" s="1">
        <f t="shared" si="47"/>
        <v>-8967.8799999999992</v>
      </c>
      <c r="M70" s="1"/>
      <c r="N70" s="5">
        <f t="shared" si="48"/>
        <v>-0.80357131656456127</v>
      </c>
      <c r="O70" s="14"/>
      <c r="P70" s="1">
        <f>SUM(OSRRefP22_15x_0)</f>
        <v>41917.060000000005</v>
      </c>
      <c r="Q70" s="1"/>
      <c r="R70" s="5">
        <f t="shared" si="49"/>
        <v>7.1177570659688646E-2</v>
      </c>
      <c r="S70" s="1"/>
      <c r="T70" s="1">
        <f>SUM(OSRRefT22_15x_0)</f>
        <v>36689.26</v>
      </c>
      <c r="U70" s="1"/>
      <c r="V70" s="5">
        <f t="shared" si="50"/>
        <v>0.18891150998383224</v>
      </c>
      <c r="W70" s="1"/>
      <c r="X70" s="1">
        <f t="shared" si="51"/>
        <v>5227.8000000000029</v>
      </c>
      <c r="Y70" s="1"/>
      <c r="Z70" s="5">
        <f t="shared" si="52"/>
        <v>0.14248856477345148</v>
      </c>
    </row>
    <row r="71" spans="1:26" s="24" customFormat="1" hidden="1" outlineLevel="2" x14ac:dyDescent="0.3">
      <c r="A71" s="28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1409.65</v>
      </c>
      <c r="E71" s="2"/>
      <c r="F71" s="7">
        <f t="shared" si="45"/>
        <v>1.3566606005993694E-2</v>
      </c>
      <c r="G71" s="2"/>
      <c r="H71" s="6">
        <v>2505.04</v>
      </c>
      <c r="I71" s="2"/>
      <c r="J71" s="7">
        <f t="shared" si="46"/>
        <v>3.4710262614623448E-2</v>
      </c>
      <c r="K71" s="2"/>
      <c r="L71" s="6">
        <f t="shared" si="47"/>
        <v>-1095.3899999999999</v>
      </c>
      <c r="M71" s="2"/>
      <c r="N71" s="7">
        <f t="shared" si="48"/>
        <v>-0.43727445469932613</v>
      </c>
      <c r="O71" s="11"/>
      <c r="P71" s="6">
        <v>6581.76</v>
      </c>
      <c r="Q71" s="2"/>
      <c r="R71" s="7">
        <f t="shared" si="49"/>
        <v>1.1176205761213032E-2</v>
      </c>
      <c r="S71" s="2"/>
      <c r="T71" s="6">
        <v>4257.6899999999996</v>
      </c>
      <c r="U71" s="2"/>
      <c r="V71" s="7">
        <f t="shared" si="50"/>
        <v>2.1922672927801284E-2</v>
      </c>
      <c r="W71" s="2"/>
      <c r="X71" s="6">
        <f t="shared" si="51"/>
        <v>2324.0700000000006</v>
      </c>
      <c r="Y71" s="2"/>
      <c r="Z71" s="7">
        <f t="shared" si="52"/>
        <v>0.54585232837524589</v>
      </c>
    </row>
    <row r="72" spans="1:26" s="24" customFormat="1" hidden="1" outlineLevel="2" x14ac:dyDescent="0.3">
      <c r="A72" s="28"/>
      <c r="B72" s="11" t="str">
        <f>CONCATENATE("          ", "6284", " - ", "TRASH REMOVAL EXPENSE")</f>
        <v xml:space="preserve">          6284 - TRASH REMOVAL EXPENSE</v>
      </c>
      <c r="C72" s="11"/>
      <c r="D72" s="6"/>
      <c r="E72" s="2"/>
      <c r="F72" s="7">
        <f t="shared" si="45"/>
        <v>0</v>
      </c>
      <c r="G72" s="2"/>
      <c r="H72" s="6">
        <v>5369</v>
      </c>
      <c r="I72" s="2"/>
      <c r="J72" s="7">
        <f t="shared" si="46"/>
        <v>7.4393782126398494E-2</v>
      </c>
      <c r="K72" s="2"/>
      <c r="L72" s="6">
        <f t="shared" si="47"/>
        <v>-5369</v>
      </c>
      <c r="M72" s="2"/>
      <c r="N72" s="7">
        <f t="shared" si="48"/>
        <v>-1</v>
      </c>
      <c r="O72" s="11"/>
      <c r="P72" s="6"/>
      <c r="Q72" s="2"/>
      <c r="R72" s="7">
        <f t="shared" si="49"/>
        <v>0</v>
      </c>
      <c r="S72" s="2"/>
      <c r="T72" s="6">
        <v>18868</v>
      </c>
      <c r="U72" s="2"/>
      <c r="V72" s="7">
        <f t="shared" si="50"/>
        <v>9.7150565870637529E-2</v>
      </c>
      <c r="W72" s="2"/>
      <c r="X72" s="6">
        <f t="shared" si="51"/>
        <v>-18868</v>
      </c>
      <c r="Y72" s="2"/>
      <c r="Z72" s="7">
        <f t="shared" si="52"/>
        <v>-1</v>
      </c>
    </row>
    <row r="73" spans="1:26" s="24" customFormat="1" hidden="1" outlineLevel="2" x14ac:dyDescent="0.3">
      <c r="A73" s="28"/>
      <c r="B73" s="11" t="str">
        <f>CONCATENATE("          ", "6285", " - ", "JANITORIAL SERVICES")</f>
        <v xml:space="preserve">          6285 - JANITORIAL SERVICES</v>
      </c>
      <c r="C73" s="11"/>
      <c r="D73" s="6"/>
      <c r="E73" s="2"/>
      <c r="F73" s="7">
        <f t="shared" si="45"/>
        <v>0</v>
      </c>
      <c r="G73" s="2"/>
      <c r="H73" s="6">
        <v>3179.44</v>
      </c>
      <c r="I73" s="2"/>
      <c r="J73" s="7">
        <f t="shared" si="46"/>
        <v>4.4054864340464968E-2</v>
      </c>
      <c r="K73" s="2"/>
      <c r="L73" s="6">
        <f t="shared" si="47"/>
        <v>-3179.44</v>
      </c>
      <c r="M73" s="2"/>
      <c r="N73" s="7">
        <f t="shared" si="48"/>
        <v>-1</v>
      </c>
      <c r="O73" s="11"/>
      <c r="P73" s="6">
        <v>32947.800000000003</v>
      </c>
      <c r="Q73" s="2"/>
      <c r="R73" s="7">
        <f t="shared" si="49"/>
        <v>5.5947253041632443E-2</v>
      </c>
      <c r="S73" s="2"/>
      <c r="T73" s="6">
        <v>12770.81</v>
      </c>
      <c r="U73" s="2"/>
      <c r="V73" s="7">
        <f t="shared" si="50"/>
        <v>6.5756382135170474E-2</v>
      </c>
      <c r="W73" s="2"/>
      <c r="X73" s="6">
        <f t="shared" si="51"/>
        <v>20176.990000000005</v>
      </c>
      <c r="Y73" s="2"/>
      <c r="Z73" s="7">
        <f t="shared" si="52"/>
        <v>1.579930325484445</v>
      </c>
    </row>
    <row r="74" spans="1:26" s="24" customFormat="1" hidden="1" outlineLevel="2" x14ac:dyDescent="0.3">
      <c r="A74" s="28"/>
      <c r="B74" s="11" t="str">
        <f>CONCATENATE("          ", "6286", " - ", "LAUNDRY EXPENSE")</f>
        <v xml:space="preserve">          6286 - LAUNDRY EXPENSE</v>
      </c>
      <c r="C74" s="11"/>
      <c r="D74" s="6">
        <v>782.5</v>
      </c>
      <c r="E74" s="2"/>
      <c r="F74" s="7">
        <f t="shared" si="45"/>
        <v>7.530854609080314E-3</v>
      </c>
      <c r="G74" s="2"/>
      <c r="H74" s="6">
        <v>106.55</v>
      </c>
      <c r="I74" s="2"/>
      <c r="J74" s="7">
        <f t="shared" si="46"/>
        <v>1.4763750205937342E-3</v>
      </c>
      <c r="K74" s="2"/>
      <c r="L74" s="6">
        <f t="shared" si="47"/>
        <v>675.95</v>
      </c>
      <c r="M74" s="2"/>
      <c r="N74" s="7">
        <f t="shared" si="48"/>
        <v>6.3439699671515726</v>
      </c>
      <c r="O74" s="11"/>
      <c r="P74" s="6">
        <v>2387.5</v>
      </c>
      <c r="Q74" s="2"/>
      <c r="R74" s="7">
        <f t="shared" si="49"/>
        <v>4.0541118568431719E-3</v>
      </c>
      <c r="S74" s="2"/>
      <c r="T74" s="6">
        <v>792.76</v>
      </c>
      <c r="U74" s="2"/>
      <c r="V74" s="7">
        <f t="shared" si="50"/>
        <v>4.0818890502229491E-3</v>
      </c>
      <c r="W74" s="2"/>
      <c r="X74" s="6">
        <f t="shared" si="51"/>
        <v>1594.74</v>
      </c>
      <c r="Y74" s="2"/>
      <c r="Z74" s="7">
        <f t="shared" si="52"/>
        <v>2.0116302537968616</v>
      </c>
    </row>
    <row r="75" spans="1:26" s="29" customFormat="1" outlineLevel="1" collapsed="1" x14ac:dyDescent="0.3">
      <c r="A75" s="27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1">
        <f>SUM(OSRRefD22_16x_0)</f>
        <v>1456.11</v>
      </c>
      <c r="E75" s="1"/>
      <c r="F75" s="5">
        <f t="shared" ref="F75:F86" si="53">IF(D$12=0,0,D75/D$12)</f>
        <v>1.4013741475818447E-2</v>
      </c>
      <c r="G75" s="1"/>
      <c r="H75" s="1">
        <f>SUM(OSRRefH22_16x_0)</f>
        <v>262.83999999999997</v>
      </c>
      <c r="I75" s="1"/>
      <c r="J75" s="5">
        <f t="shared" ref="J75:J86" si="54">IF(H$12=0,0,H75/H$12)</f>
        <v>3.6419559869812958E-3</v>
      </c>
      <c r="K75" s="1"/>
      <c r="L75" s="1">
        <f t="shared" ref="L75:L86" si="55">+D75-H75</f>
        <v>1193.27</v>
      </c>
      <c r="M75" s="1"/>
      <c r="N75" s="5">
        <f t="shared" ref="N75:N86" si="56">IF(H75=0,0,L75/H75)</f>
        <v>4.5399102115355356</v>
      </c>
      <c r="O75" s="14"/>
      <c r="P75" s="1">
        <f>SUM(OSRRefP22_16x_0)</f>
        <v>3972.61</v>
      </c>
      <c r="Q75" s="1"/>
      <c r="R75" s="5">
        <f t="shared" ref="R75:R86" si="57">IF(P$12=0,0,P75/P$12)</f>
        <v>6.7457194988958125E-3</v>
      </c>
      <c r="S75" s="1"/>
      <c r="T75" s="1">
        <f>SUM(OSRRefT22_16x_0)</f>
        <v>534.16999999999996</v>
      </c>
      <c r="U75" s="1"/>
      <c r="V75" s="5">
        <f t="shared" ref="V75:V86" si="58">IF(T$12=0,0,T75/T$12)</f>
        <v>2.7504196401907169E-3</v>
      </c>
      <c r="W75" s="1"/>
      <c r="X75" s="1">
        <f t="shared" ref="X75:X86" si="59">+P75-T75</f>
        <v>3438.44</v>
      </c>
      <c r="Y75" s="1"/>
      <c r="Z75" s="5">
        <f t="shared" ref="Z75:Z86" si="60">IF(T75=0,0,X75/T75)</f>
        <v>6.4369769923432623</v>
      </c>
    </row>
    <row r="76" spans="1:26" s="24" customFormat="1" hidden="1" outlineLevel="2" x14ac:dyDescent="0.3">
      <c r="A76" s="28"/>
      <c r="B76" s="11" t="str">
        <f>CONCATENATE("          ", "6275", " - ", "SUBSCRIPTIONS")</f>
        <v xml:space="preserve">          6275 - SUBSCRIPTIONS</v>
      </c>
      <c r="C76" s="11"/>
      <c r="D76" s="6">
        <v>1456.11</v>
      </c>
      <c r="E76" s="2"/>
      <c r="F76" s="7">
        <f t="shared" si="53"/>
        <v>1.4013741475818447E-2</v>
      </c>
      <c r="G76" s="2"/>
      <c r="H76" s="6">
        <v>262.83999999999997</v>
      </c>
      <c r="I76" s="2"/>
      <c r="J76" s="7">
        <f t="shared" si="54"/>
        <v>3.6419559869812958E-3</v>
      </c>
      <c r="K76" s="2"/>
      <c r="L76" s="6">
        <f t="shared" si="55"/>
        <v>1193.27</v>
      </c>
      <c r="M76" s="2"/>
      <c r="N76" s="7">
        <f t="shared" si="56"/>
        <v>4.5399102115355356</v>
      </c>
      <c r="O76" s="11"/>
      <c r="P76" s="6">
        <v>3972.61</v>
      </c>
      <c r="Q76" s="2"/>
      <c r="R76" s="7">
        <f t="shared" si="57"/>
        <v>6.7457194988958125E-3</v>
      </c>
      <c r="S76" s="2"/>
      <c r="T76" s="6">
        <v>534.16999999999996</v>
      </c>
      <c r="U76" s="2"/>
      <c r="V76" s="7">
        <f t="shared" si="58"/>
        <v>2.7504196401907169E-3</v>
      </c>
      <c r="W76" s="2"/>
      <c r="X76" s="6">
        <f t="shared" si="59"/>
        <v>3438.44</v>
      </c>
      <c r="Y76" s="2"/>
      <c r="Z76" s="7">
        <f t="shared" si="60"/>
        <v>6.4369769923432623</v>
      </c>
    </row>
    <row r="77" spans="1:26" s="29" customFormat="1" outlineLevel="1" collapsed="1" x14ac:dyDescent="0.3">
      <c r="A77" s="27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SUM(OSRRefD22_17x_0)</f>
        <v>1639.9199999999998</v>
      </c>
      <c r="E77" s="1"/>
      <c r="F77" s="5">
        <f t="shared" si="53"/>
        <v>1.5782746441562922E-2</v>
      </c>
      <c r="G77" s="1"/>
      <c r="H77" s="1">
        <f>SUM(OSRRefH22_17x_0)</f>
        <v>24.36</v>
      </c>
      <c r="I77" s="1"/>
      <c r="J77" s="5">
        <f t="shared" si="54"/>
        <v>3.3753632568431127E-4</v>
      </c>
      <c r="K77" s="1"/>
      <c r="L77" s="1">
        <f t="shared" si="55"/>
        <v>1615.56</v>
      </c>
      <c r="M77" s="1"/>
      <c r="N77" s="5">
        <f t="shared" si="56"/>
        <v>66.320197044334975</v>
      </c>
      <c r="O77" s="14"/>
      <c r="P77" s="1">
        <f>SUM(OSRRefP22_17x_0)</f>
        <v>18586.11</v>
      </c>
      <c r="Q77" s="1"/>
      <c r="R77" s="5">
        <f t="shared" si="57"/>
        <v>3.1560280177420498E-2</v>
      </c>
      <c r="S77" s="1"/>
      <c r="T77" s="1">
        <f>SUM(OSRRefT22_17x_0)</f>
        <v>-21546.320000000003</v>
      </c>
      <c r="U77" s="1"/>
      <c r="V77" s="5">
        <f t="shared" si="58"/>
        <v>-0.11094112679827407</v>
      </c>
      <c r="W77" s="1"/>
      <c r="X77" s="1">
        <f t="shared" si="59"/>
        <v>40132.430000000008</v>
      </c>
      <c r="Y77" s="1"/>
      <c r="Z77" s="5">
        <f t="shared" si="60"/>
        <v>-1.8626118056354868</v>
      </c>
    </row>
    <row r="78" spans="1:26" s="24" customFormat="1" hidden="1" outlineLevel="2" x14ac:dyDescent="0.3">
      <c r="A78" s="28"/>
      <c r="B78" s="11" t="str">
        <f>CONCATENATE("          ", "6234", " - ", "EXPENDABLE SUPPLIES &amp; EQUIPMEN")</f>
        <v xml:space="preserve">          6234 - EXPENDABLE SUPPLIES &amp; EQUIPMEN</v>
      </c>
      <c r="C78" s="11"/>
      <c r="D78" s="6"/>
      <c r="E78" s="2"/>
      <c r="F78" s="7">
        <f t="shared" si="53"/>
        <v>0</v>
      </c>
      <c r="G78" s="2"/>
      <c r="H78" s="6"/>
      <c r="I78" s="2"/>
      <c r="J78" s="7">
        <f t="shared" si="54"/>
        <v>0</v>
      </c>
      <c r="K78" s="2"/>
      <c r="L78" s="6">
        <f t="shared" si="55"/>
        <v>0</v>
      </c>
      <c r="M78" s="2"/>
      <c r="N78" s="7">
        <f t="shared" si="56"/>
        <v>0</v>
      </c>
      <c r="O78" s="11"/>
      <c r="P78" s="6"/>
      <c r="Q78" s="2"/>
      <c r="R78" s="7">
        <f t="shared" si="57"/>
        <v>0</v>
      </c>
      <c r="S78" s="2"/>
      <c r="T78" s="6">
        <v>310.91000000000003</v>
      </c>
      <c r="U78" s="2"/>
      <c r="V78" s="7">
        <f t="shared" si="58"/>
        <v>1.6008629655946533E-3</v>
      </c>
      <c r="W78" s="2"/>
      <c r="X78" s="6">
        <f t="shared" si="59"/>
        <v>-310.91000000000003</v>
      </c>
      <c r="Y78" s="2"/>
      <c r="Z78" s="7">
        <f t="shared" si="60"/>
        <v>-1</v>
      </c>
    </row>
    <row r="79" spans="1:26" s="24" customFormat="1" hidden="1" outlineLevel="2" x14ac:dyDescent="0.3">
      <c r="A79" s="28"/>
      <c r="B79" s="11" t="str">
        <f>CONCATENATE("          ", "6235", " - ", "COVID-19 EXPENSES")</f>
        <v xml:space="preserve">          6235 - COVID-19 EXPENSES</v>
      </c>
      <c r="C79" s="11"/>
      <c r="D79" s="6"/>
      <c r="E79" s="2"/>
      <c r="F79" s="7">
        <f t="shared" si="53"/>
        <v>0</v>
      </c>
      <c r="G79" s="2"/>
      <c r="H79" s="6"/>
      <c r="I79" s="2"/>
      <c r="J79" s="7">
        <f t="shared" si="54"/>
        <v>0</v>
      </c>
      <c r="K79" s="2"/>
      <c r="L79" s="6">
        <f t="shared" si="55"/>
        <v>0</v>
      </c>
      <c r="M79" s="2"/>
      <c r="N79" s="7">
        <f t="shared" si="56"/>
        <v>0</v>
      </c>
      <c r="O79" s="11"/>
      <c r="P79" s="6">
        <v>193.5</v>
      </c>
      <c r="Q79" s="2"/>
      <c r="R79" s="7">
        <f t="shared" si="57"/>
        <v>3.285740918530487E-4</v>
      </c>
      <c r="S79" s="2"/>
      <c r="T79" s="6">
        <v>6881.86</v>
      </c>
      <c r="U79" s="2"/>
      <c r="V79" s="7">
        <f t="shared" si="58"/>
        <v>3.5434417704181979E-2</v>
      </c>
      <c r="W79" s="2"/>
      <c r="X79" s="6">
        <f t="shared" si="59"/>
        <v>-6688.36</v>
      </c>
      <c r="Y79" s="2"/>
      <c r="Z79" s="7">
        <f t="shared" si="60"/>
        <v>-0.97188260150598815</v>
      </c>
    </row>
    <row r="80" spans="1:26" s="24" customFormat="1" hidden="1" outlineLevel="2" x14ac:dyDescent="0.3">
      <c r="A80" s="28"/>
      <c r="B80" s="11" t="str">
        <f>CONCATENATE("          ", "6237", " - ", "JANITORIAL SUPPLIES")</f>
        <v xml:space="preserve">          6237 - JANITORIAL SUPPLIES</v>
      </c>
      <c r="C80" s="11"/>
      <c r="D80" s="6">
        <v>815.51</v>
      </c>
      <c r="E80" s="2"/>
      <c r="F80" s="7">
        <f t="shared" si="53"/>
        <v>7.8485459964870111E-3</v>
      </c>
      <c r="G80" s="2"/>
      <c r="H80" s="6">
        <v>18.86</v>
      </c>
      <c r="I80" s="2"/>
      <c r="J80" s="7">
        <f t="shared" si="54"/>
        <v>2.613273851562443E-4</v>
      </c>
      <c r="K80" s="2"/>
      <c r="L80" s="6">
        <f t="shared" si="55"/>
        <v>796.65</v>
      </c>
      <c r="M80" s="2"/>
      <c r="N80" s="7">
        <f t="shared" si="56"/>
        <v>42.240190880169671</v>
      </c>
      <c r="O80" s="11"/>
      <c r="P80" s="6">
        <v>5847.61</v>
      </c>
      <c r="Q80" s="2"/>
      <c r="R80" s="7">
        <f t="shared" si="57"/>
        <v>9.9295769780920196E-3</v>
      </c>
      <c r="S80" s="2"/>
      <c r="T80" s="6">
        <v>358.91</v>
      </c>
      <c r="U80" s="2"/>
      <c r="V80" s="7">
        <f t="shared" si="58"/>
        <v>1.8480130165693513E-3</v>
      </c>
      <c r="W80" s="2"/>
      <c r="X80" s="6">
        <f t="shared" si="59"/>
        <v>5488.7</v>
      </c>
      <c r="Y80" s="2"/>
      <c r="Z80" s="7">
        <f t="shared" si="60"/>
        <v>15.29269176116575</v>
      </c>
    </row>
    <row r="81" spans="1:26" s="24" customFormat="1" hidden="1" outlineLevel="2" x14ac:dyDescent="0.3">
      <c r="A81" s="28"/>
      <c r="B81" s="11" t="str">
        <f>CONCATENATE("          ", "6239", " - ", "KITCHEN SUPPLIES")</f>
        <v xml:space="preserve">          6239 - KITCHEN SUPPLIES</v>
      </c>
      <c r="C81" s="11"/>
      <c r="D81" s="6">
        <v>571.91999999999996</v>
      </c>
      <c r="E81" s="2"/>
      <c r="F81" s="7">
        <f t="shared" si="53"/>
        <v>5.5042126108948404E-3</v>
      </c>
      <c r="G81" s="2"/>
      <c r="H81" s="6"/>
      <c r="I81" s="2"/>
      <c r="J81" s="7">
        <f t="shared" si="54"/>
        <v>0</v>
      </c>
      <c r="K81" s="2"/>
      <c r="L81" s="6">
        <f t="shared" si="55"/>
        <v>571.91999999999996</v>
      </c>
      <c r="M81" s="2"/>
      <c r="N81" s="7">
        <f t="shared" si="56"/>
        <v>0</v>
      </c>
      <c r="O81" s="11"/>
      <c r="P81" s="6">
        <v>2855.78</v>
      </c>
      <c r="Q81" s="2"/>
      <c r="R81" s="7">
        <f t="shared" si="57"/>
        <v>4.8492781397007721E-3</v>
      </c>
      <c r="S81" s="2"/>
      <c r="T81" s="6">
        <v>19.829999999999998</v>
      </c>
      <c r="U81" s="2"/>
      <c r="V81" s="7">
        <f t="shared" si="58"/>
        <v>1.0210386480892209E-4</v>
      </c>
      <c r="W81" s="2"/>
      <c r="X81" s="6">
        <f t="shared" si="59"/>
        <v>2835.9500000000003</v>
      </c>
      <c r="Y81" s="2"/>
      <c r="Z81" s="7">
        <f t="shared" si="60"/>
        <v>143.01311144730209</v>
      </c>
    </row>
    <row r="82" spans="1:26" s="24" customFormat="1" hidden="1" outlineLevel="2" x14ac:dyDescent="0.3">
      <c r="A82" s="28"/>
      <c r="B82" s="11" t="str">
        <f>CONCATENATE("          ", "6241", " - ", "OFFICE EXPENSE")</f>
        <v xml:space="preserve">          6241 - OFFICE EXPENSE</v>
      </c>
      <c r="C82" s="11"/>
      <c r="D82" s="6">
        <v>185.82</v>
      </c>
      <c r="E82" s="2"/>
      <c r="F82" s="7">
        <f t="shared" si="53"/>
        <v>1.7883493973920818E-3</v>
      </c>
      <c r="G82" s="2"/>
      <c r="H82" s="6">
        <v>5.5</v>
      </c>
      <c r="I82" s="2"/>
      <c r="J82" s="7">
        <f t="shared" si="54"/>
        <v>7.6208940528066995E-5</v>
      </c>
      <c r="K82" s="2"/>
      <c r="L82" s="6">
        <f t="shared" si="55"/>
        <v>180.32</v>
      </c>
      <c r="M82" s="2"/>
      <c r="N82" s="7">
        <f t="shared" si="56"/>
        <v>32.785454545454542</v>
      </c>
      <c r="O82" s="11"/>
      <c r="P82" s="6">
        <v>6612.4</v>
      </c>
      <c r="Q82" s="2"/>
      <c r="R82" s="7">
        <f t="shared" si="57"/>
        <v>1.1228234237566402E-2</v>
      </c>
      <c r="S82" s="2"/>
      <c r="T82" s="6">
        <v>-29117.83</v>
      </c>
      <c r="U82" s="2"/>
      <c r="V82" s="7">
        <f t="shared" si="58"/>
        <v>-0.14992652434942896</v>
      </c>
      <c r="W82" s="2"/>
      <c r="X82" s="6">
        <f t="shared" si="59"/>
        <v>35730.230000000003</v>
      </c>
      <c r="Y82" s="2"/>
      <c r="Z82" s="7">
        <f t="shared" si="60"/>
        <v>-1.2270910984781489</v>
      </c>
    </row>
    <row r="83" spans="1:26" s="24" customFormat="1" hidden="1" outlineLevel="2" x14ac:dyDescent="0.3">
      <c r="A83" s="28"/>
      <c r="B83" s="11" t="str">
        <f>CONCATENATE("          ", "6243", " - ", "PAPER SUPPLIES")</f>
        <v xml:space="preserve">          6243 - PAPER SUPPLIES</v>
      </c>
      <c r="C83" s="11"/>
      <c r="D83" s="6">
        <v>66.67</v>
      </c>
      <c r="E83" s="2"/>
      <c r="F83" s="7">
        <f t="shared" si="53"/>
        <v>6.4163843678898989E-4</v>
      </c>
      <c r="G83" s="2"/>
      <c r="H83" s="6"/>
      <c r="I83" s="2"/>
      <c r="J83" s="7">
        <f t="shared" si="54"/>
        <v>0</v>
      </c>
      <c r="K83" s="2"/>
      <c r="L83" s="6">
        <f t="shared" si="55"/>
        <v>66.67</v>
      </c>
      <c r="M83" s="2"/>
      <c r="N83" s="7">
        <f t="shared" si="56"/>
        <v>0</v>
      </c>
      <c r="O83" s="11"/>
      <c r="P83" s="6">
        <v>1252.26</v>
      </c>
      <c r="Q83" s="2"/>
      <c r="R83" s="7">
        <f t="shared" si="57"/>
        <v>2.1264092623457299E-3</v>
      </c>
      <c r="S83" s="2"/>
      <c r="T83" s="6"/>
      <c r="U83" s="2"/>
      <c r="V83" s="7">
        <f t="shared" si="58"/>
        <v>0</v>
      </c>
      <c r="W83" s="2"/>
      <c r="X83" s="6">
        <f t="shared" si="59"/>
        <v>1252.26</v>
      </c>
      <c r="Y83" s="2"/>
      <c r="Z83" s="7">
        <f t="shared" si="60"/>
        <v>0</v>
      </c>
    </row>
    <row r="84" spans="1:26" s="24" customFormat="1" hidden="1" outlineLevel="2" x14ac:dyDescent="0.3">
      <c r="A84" s="28"/>
      <c r="B84" s="11" t="str">
        <f>CONCATENATE("          ", "6245", " - ", "PRINTING")</f>
        <v xml:space="preserve">          6245 - PRINTING</v>
      </c>
      <c r="C84" s="11"/>
      <c r="D84" s="6"/>
      <c r="E84" s="2"/>
      <c r="F84" s="7">
        <f t="shared" si="53"/>
        <v>0</v>
      </c>
      <c r="G84" s="2"/>
      <c r="H84" s="6"/>
      <c r="I84" s="2"/>
      <c r="J84" s="7">
        <f t="shared" si="54"/>
        <v>0</v>
      </c>
      <c r="K84" s="2"/>
      <c r="L84" s="6">
        <f t="shared" si="55"/>
        <v>0</v>
      </c>
      <c r="M84" s="2"/>
      <c r="N84" s="7">
        <f t="shared" si="56"/>
        <v>0</v>
      </c>
      <c r="O84" s="11"/>
      <c r="P84" s="6">
        <v>1071</v>
      </c>
      <c r="Q84" s="2"/>
      <c r="R84" s="7">
        <f t="shared" si="57"/>
        <v>1.8186193921168742E-3</v>
      </c>
      <c r="S84" s="2"/>
      <c r="T84" s="6"/>
      <c r="U84" s="2"/>
      <c r="V84" s="7">
        <f t="shared" si="58"/>
        <v>0</v>
      </c>
      <c r="W84" s="2"/>
      <c r="X84" s="6">
        <f t="shared" si="59"/>
        <v>1071</v>
      </c>
      <c r="Y84" s="2"/>
      <c r="Z84" s="7">
        <f t="shared" si="60"/>
        <v>0</v>
      </c>
    </row>
    <row r="85" spans="1:26" s="24" customFormat="1" hidden="1" outlineLevel="2" x14ac:dyDescent="0.3">
      <c r="A85" s="28"/>
      <c r="B85" s="11" t="str">
        <f>CONCATENATE("          ", "6247", " - ", "STORE SUPPLIES")</f>
        <v xml:space="preserve">          6247 - STORE SUPPLIES</v>
      </c>
      <c r="C85" s="11"/>
      <c r="D85" s="6">
        <v>0</v>
      </c>
      <c r="E85" s="2"/>
      <c r="F85" s="7">
        <f t="shared" si="53"/>
        <v>0</v>
      </c>
      <c r="G85" s="2"/>
      <c r="H85" s="6"/>
      <c r="I85" s="2"/>
      <c r="J85" s="7">
        <f t="shared" si="54"/>
        <v>0</v>
      </c>
      <c r="K85" s="2"/>
      <c r="L85" s="6">
        <f t="shared" si="55"/>
        <v>0</v>
      </c>
      <c r="M85" s="2"/>
      <c r="N85" s="7">
        <f t="shared" si="56"/>
        <v>0</v>
      </c>
      <c r="O85" s="11"/>
      <c r="P85" s="6">
        <v>500.61</v>
      </c>
      <c r="Q85" s="2"/>
      <c r="R85" s="7">
        <f t="shared" si="57"/>
        <v>8.5006447608555399E-4</v>
      </c>
      <c r="S85" s="2"/>
      <c r="T85" s="6"/>
      <c r="U85" s="2"/>
      <c r="V85" s="7">
        <f t="shared" si="58"/>
        <v>0</v>
      </c>
      <c r="W85" s="2"/>
      <c r="X85" s="6">
        <f t="shared" si="59"/>
        <v>500.61</v>
      </c>
      <c r="Y85" s="2"/>
      <c r="Z85" s="7">
        <f t="shared" si="60"/>
        <v>0</v>
      </c>
    </row>
    <row r="86" spans="1:26" s="24" customFormat="1" hidden="1" outlineLevel="2" x14ac:dyDescent="0.3">
      <c r="A86" s="28"/>
      <c r="B86" s="11" t="str">
        <f>CONCATENATE("          ", "6248", " - ", "UNIFORMS")</f>
        <v xml:space="preserve">          6248 - UNIFORMS</v>
      </c>
      <c r="C86" s="11"/>
      <c r="D86" s="6"/>
      <c r="E86" s="2"/>
      <c r="F86" s="7">
        <f t="shared" si="53"/>
        <v>0</v>
      </c>
      <c r="G86" s="2"/>
      <c r="H86" s="6"/>
      <c r="I86" s="2"/>
      <c r="J86" s="7">
        <f t="shared" si="54"/>
        <v>0</v>
      </c>
      <c r="K86" s="2"/>
      <c r="L86" s="6">
        <f t="shared" si="55"/>
        <v>0</v>
      </c>
      <c r="M86" s="2"/>
      <c r="N86" s="7">
        <f t="shared" si="56"/>
        <v>0</v>
      </c>
      <c r="O86" s="11"/>
      <c r="P86" s="6">
        <v>252.95</v>
      </c>
      <c r="Q86" s="2"/>
      <c r="R86" s="7">
        <f t="shared" si="57"/>
        <v>4.2952359966009644E-4</v>
      </c>
      <c r="S86" s="2"/>
      <c r="T86" s="6"/>
      <c r="U86" s="2"/>
      <c r="V86" s="7">
        <f t="shared" si="58"/>
        <v>0</v>
      </c>
      <c r="W86" s="2"/>
      <c r="X86" s="6">
        <f t="shared" si="59"/>
        <v>252.95</v>
      </c>
      <c r="Y86" s="2"/>
      <c r="Z86" s="7">
        <f t="shared" si="60"/>
        <v>0</v>
      </c>
    </row>
    <row r="87" spans="1:26" s="29" customFormat="1" outlineLevel="1" collapsed="1" x14ac:dyDescent="0.3">
      <c r="A87" s="27"/>
      <c r="B87" s="14" t="str">
        <f>CONCATENATE("     ","Telephone/Data Lines                              ")</f>
        <v xml:space="preserve">     Telephone/Data Lines                              </v>
      </c>
      <c r="C87" s="14"/>
      <c r="D87" s="1">
        <f>SUM(OSRRefD22_18x_0)</f>
        <v>177.45</v>
      </c>
      <c r="E87" s="1"/>
      <c r="F87" s="5">
        <f t="shared" ref="F87:F93" si="61">IF(D$12=0,0,D87/D$12)</f>
        <v>1.7077957193371268E-3</v>
      </c>
      <c r="G87" s="1"/>
      <c r="H87" s="1">
        <f>SUM(OSRRefH22_18x_0)</f>
        <v>593.1</v>
      </c>
      <c r="I87" s="1"/>
      <c r="J87" s="5">
        <f t="shared" ref="J87:J93" si="62">IF(H$12=0,0,H87/H$12)</f>
        <v>8.2180950231266429E-3</v>
      </c>
      <c r="K87" s="1"/>
      <c r="L87" s="1">
        <f t="shared" ref="L87:L93" si="63">+D87-H87</f>
        <v>-415.65000000000003</v>
      </c>
      <c r="M87" s="1"/>
      <c r="N87" s="5">
        <f t="shared" ref="N87:N93" si="64">IF(H87=0,0,L87/H87)</f>
        <v>-0.70080930703085487</v>
      </c>
      <c r="O87" s="14"/>
      <c r="P87" s="1">
        <f>SUM(OSRRefP22_18x_0)</f>
        <v>3644.94</v>
      </c>
      <c r="Q87" s="1"/>
      <c r="R87" s="5">
        <f t="shared" ref="R87:R93" si="65">IF(P$12=0,0,P87/P$12)</f>
        <v>6.1893170561180943E-3</v>
      </c>
      <c r="S87" s="1"/>
      <c r="T87" s="1">
        <f>SUM(OSRRefT22_18x_0)</f>
        <v>4651.2700000000004</v>
      </c>
      <c r="U87" s="1"/>
      <c r="V87" s="5">
        <f t="shared" ref="V87:V93" si="66">IF(T$12=0,0,T87/T$12)</f>
        <v>2.3949200366605909E-2</v>
      </c>
      <c r="W87" s="1"/>
      <c r="X87" s="1">
        <f t="shared" ref="X87:X93" si="67">+P87-T87</f>
        <v>-1006.3300000000004</v>
      </c>
      <c r="Y87" s="1"/>
      <c r="Z87" s="5">
        <f t="shared" ref="Z87:Z93" si="68">IF(T87=0,0,X87/T87)</f>
        <v>-0.21635596299505302</v>
      </c>
    </row>
    <row r="88" spans="1:26" s="24" customFormat="1" hidden="1" outlineLevel="2" x14ac:dyDescent="0.3">
      <c r="A88" s="28"/>
      <c r="B88" s="11" t="str">
        <f>CONCATENATE("          ", "6309", " - ", "TELEPHONE")</f>
        <v xml:space="preserve">          6309 - TELEPHONE</v>
      </c>
      <c r="C88" s="11"/>
      <c r="D88" s="6">
        <v>177.45</v>
      </c>
      <c r="E88" s="2"/>
      <c r="F88" s="7">
        <f t="shared" si="61"/>
        <v>1.7077957193371268E-3</v>
      </c>
      <c r="G88" s="2"/>
      <c r="H88" s="6">
        <v>593.1</v>
      </c>
      <c r="I88" s="2"/>
      <c r="J88" s="7">
        <f t="shared" si="62"/>
        <v>8.2180950231266429E-3</v>
      </c>
      <c r="K88" s="2"/>
      <c r="L88" s="6">
        <f t="shared" si="63"/>
        <v>-415.65000000000003</v>
      </c>
      <c r="M88" s="2"/>
      <c r="N88" s="7">
        <f t="shared" si="64"/>
        <v>-0.70080930703085487</v>
      </c>
      <c r="O88" s="11"/>
      <c r="P88" s="6">
        <v>3644.94</v>
      </c>
      <c r="Q88" s="2"/>
      <c r="R88" s="7">
        <f t="shared" si="65"/>
        <v>6.1893170561180943E-3</v>
      </c>
      <c r="S88" s="2"/>
      <c r="T88" s="6">
        <v>4651.2700000000004</v>
      </c>
      <c r="U88" s="2"/>
      <c r="V88" s="7">
        <f t="shared" si="66"/>
        <v>2.3949200366605909E-2</v>
      </c>
      <c r="W88" s="2"/>
      <c r="X88" s="6">
        <f t="shared" si="67"/>
        <v>-1006.3300000000004</v>
      </c>
      <c r="Y88" s="2"/>
      <c r="Z88" s="7">
        <f t="shared" si="68"/>
        <v>-0.21635596299505302</v>
      </c>
    </row>
    <row r="89" spans="1:26" s="29" customFormat="1" outlineLevel="1" collapsed="1" x14ac:dyDescent="0.3">
      <c r="A89" s="27"/>
      <c r="B89" s="14" t="str">
        <f>CONCATENATE("     ","Training                                          ")</f>
        <v xml:space="preserve">     Training                                          </v>
      </c>
      <c r="C89" s="14"/>
      <c r="D89" s="1">
        <f>SUM(OSRRefD22_19x_0)</f>
        <v>0</v>
      </c>
      <c r="E89" s="1"/>
      <c r="F89" s="5">
        <f t="shared" si="61"/>
        <v>0</v>
      </c>
      <c r="G89" s="1"/>
      <c r="H89" s="1">
        <f>SUM(OSRRefH22_19x_0)</f>
        <v>0</v>
      </c>
      <c r="I89" s="1"/>
      <c r="J89" s="5">
        <f t="shared" si="62"/>
        <v>0</v>
      </c>
      <c r="K89" s="1"/>
      <c r="L89" s="1">
        <f t="shared" si="63"/>
        <v>0</v>
      </c>
      <c r="M89" s="1"/>
      <c r="N89" s="5">
        <f t="shared" si="64"/>
        <v>0</v>
      </c>
      <c r="O89" s="14"/>
      <c r="P89" s="1">
        <f>SUM(OSRRefP22_19x_0)</f>
        <v>0</v>
      </c>
      <c r="Q89" s="1"/>
      <c r="R89" s="5">
        <f t="shared" si="65"/>
        <v>0</v>
      </c>
      <c r="S89" s="1"/>
      <c r="T89" s="1">
        <f>SUM(OSRRefT22_19x_0)</f>
        <v>400</v>
      </c>
      <c r="U89" s="1"/>
      <c r="V89" s="5">
        <f t="shared" si="66"/>
        <v>2.059583758122483E-3</v>
      </c>
      <c r="W89" s="1"/>
      <c r="X89" s="1">
        <f t="shared" si="67"/>
        <v>-400</v>
      </c>
      <c r="Y89" s="1"/>
      <c r="Z89" s="5">
        <f t="shared" si="68"/>
        <v>-1</v>
      </c>
    </row>
    <row r="90" spans="1:26" s="24" customFormat="1" hidden="1" outlineLevel="2" x14ac:dyDescent="0.3">
      <c r="A90" s="28"/>
      <c r="B90" s="11" t="str">
        <f>CONCATENATE("          ", "6376", " - ", "TRAINING")</f>
        <v xml:space="preserve">          6376 - TRAINING</v>
      </c>
      <c r="C90" s="11"/>
      <c r="D90" s="6"/>
      <c r="E90" s="2"/>
      <c r="F90" s="7">
        <f t="shared" si="61"/>
        <v>0</v>
      </c>
      <c r="G90" s="2"/>
      <c r="H90" s="6"/>
      <c r="I90" s="2"/>
      <c r="J90" s="7">
        <f t="shared" si="62"/>
        <v>0</v>
      </c>
      <c r="K90" s="2"/>
      <c r="L90" s="6">
        <f t="shared" si="63"/>
        <v>0</v>
      </c>
      <c r="M90" s="2"/>
      <c r="N90" s="7">
        <f t="shared" si="64"/>
        <v>0</v>
      </c>
      <c r="O90" s="11"/>
      <c r="P90" s="6"/>
      <c r="Q90" s="2"/>
      <c r="R90" s="7">
        <f t="shared" si="65"/>
        <v>0</v>
      </c>
      <c r="S90" s="2"/>
      <c r="T90" s="6">
        <v>400</v>
      </c>
      <c r="U90" s="2"/>
      <c r="V90" s="7">
        <f t="shared" si="66"/>
        <v>2.059583758122483E-3</v>
      </c>
      <c r="W90" s="2"/>
      <c r="X90" s="6">
        <f t="shared" si="67"/>
        <v>-400</v>
      </c>
      <c r="Y90" s="2"/>
      <c r="Z90" s="7">
        <f t="shared" si="68"/>
        <v>-1</v>
      </c>
    </row>
    <row r="91" spans="1:26" s="29" customFormat="1" outlineLevel="1" collapsed="1" x14ac:dyDescent="0.3">
      <c r="A91" s="27"/>
      <c r="B91" s="14" t="str">
        <f>CONCATENATE("     ","Travel                                            ")</f>
        <v xml:space="preserve">     Travel                                            </v>
      </c>
      <c r="C91" s="14"/>
      <c r="D91" s="1">
        <f>SUM(OSRRefD22_20x_0)</f>
        <v>0</v>
      </c>
      <c r="E91" s="1"/>
      <c r="F91" s="5">
        <f t="shared" si="61"/>
        <v>0</v>
      </c>
      <c r="G91" s="1"/>
      <c r="H91" s="1">
        <f>SUM(OSRRefH22_20x_0)</f>
        <v>0</v>
      </c>
      <c r="I91" s="1"/>
      <c r="J91" s="5">
        <f t="shared" si="62"/>
        <v>0</v>
      </c>
      <c r="K91" s="1"/>
      <c r="L91" s="1">
        <f t="shared" si="63"/>
        <v>0</v>
      </c>
      <c r="M91" s="1"/>
      <c r="N91" s="5">
        <f t="shared" si="64"/>
        <v>0</v>
      </c>
      <c r="O91" s="14"/>
      <c r="P91" s="1">
        <f>SUM(OSRRefP22_20x_0)</f>
        <v>18.59</v>
      </c>
      <c r="Q91" s="1"/>
      <c r="R91" s="5">
        <f t="shared" si="65"/>
        <v>3.1566885620404007E-5</v>
      </c>
      <c r="S91" s="1"/>
      <c r="T91" s="1">
        <f>SUM(OSRRefT22_20x_0)</f>
        <v>332.21</v>
      </c>
      <c r="U91" s="1"/>
      <c r="V91" s="5">
        <f t="shared" si="66"/>
        <v>1.7105358007146751E-3</v>
      </c>
      <c r="W91" s="1"/>
      <c r="X91" s="1">
        <f t="shared" si="67"/>
        <v>-313.62</v>
      </c>
      <c r="Y91" s="1"/>
      <c r="Z91" s="5">
        <f t="shared" si="68"/>
        <v>-0.94404141958399812</v>
      </c>
    </row>
    <row r="92" spans="1:26" s="24" customFormat="1" hidden="1" outlineLevel="2" x14ac:dyDescent="0.3">
      <c r="A92" s="28"/>
      <c r="B92" s="11" t="str">
        <f>CONCATENATE("          ", "6292", " - ", "TRAVEL/CONFERENCE")</f>
        <v xml:space="preserve">          6292 - TRAVEL/CONFERENCE</v>
      </c>
      <c r="C92" s="11"/>
      <c r="D92" s="6"/>
      <c r="E92" s="2"/>
      <c r="F92" s="7">
        <f t="shared" si="61"/>
        <v>0</v>
      </c>
      <c r="G92" s="2"/>
      <c r="H92" s="6"/>
      <c r="I92" s="2"/>
      <c r="J92" s="7">
        <f t="shared" si="62"/>
        <v>0</v>
      </c>
      <c r="K92" s="2"/>
      <c r="L92" s="6">
        <f t="shared" si="63"/>
        <v>0</v>
      </c>
      <c r="M92" s="2"/>
      <c r="N92" s="7">
        <f t="shared" si="64"/>
        <v>0</v>
      </c>
      <c r="O92" s="11"/>
      <c r="P92" s="6">
        <v>18.59</v>
      </c>
      <c r="Q92" s="2"/>
      <c r="R92" s="7">
        <f t="shared" si="65"/>
        <v>3.1566885620404007E-5</v>
      </c>
      <c r="S92" s="2"/>
      <c r="T92" s="6"/>
      <c r="U92" s="2"/>
      <c r="V92" s="7">
        <f t="shared" si="66"/>
        <v>0</v>
      </c>
      <c r="W92" s="2"/>
      <c r="X92" s="6">
        <f t="shared" si="67"/>
        <v>18.59</v>
      </c>
      <c r="Y92" s="2"/>
      <c r="Z92" s="7">
        <f t="shared" si="68"/>
        <v>0</v>
      </c>
    </row>
    <row r="93" spans="1:26" s="24" customFormat="1" hidden="1" outlineLevel="2" x14ac:dyDescent="0.3">
      <c r="A93" s="28"/>
      <c r="B93" s="11" t="str">
        <f>CONCATENATE("          ", "6298", " - ", "VEHICLE MILEAGE")</f>
        <v xml:space="preserve">          6298 - VEHICLE MILEAGE</v>
      </c>
      <c r="C93" s="11"/>
      <c r="D93" s="6"/>
      <c r="E93" s="2"/>
      <c r="F93" s="7">
        <f t="shared" si="61"/>
        <v>0</v>
      </c>
      <c r="G93" s="2"/>
      <c r="H93" s="6"/>
      <c r="I93" s="2"/>
      <c r="J93" s="7">
        <f t="shared" si="62"/>
        <v>0</v>
      </c>
      <c r="K93" s="2"/>
      <c r="L93" s="6">
        <f t="shared" si="63"/>
        <v>0</v>
      </c>
      <c r="M93" s="2"/>
      <c r="N93" s="7">
        <f t="shared" si="64"/>
        <v>0</v>
      </c>
      <c r="O93" s="11"/>
      <c r="P93" s="6"/>
      <c r="Q93" s="2"/>
      <c r="R93" s="7">
        <f t="shared" si="65"/>
        <v>0</v>
      </c>
      <c r="S93" s="2"/>
      <c r="T93" s="6">
        <v>332.21</v>
      </c>
      <c r="U93" s="2"/>
      <c r="V93" s="7">
        <f t="shared" si="66"/>
        <v>1.7105358007146751E-3</v>
      </c>
      <c r="W93" s="2"/>
      <c r="X93" s="6">
        <f t="shared" si="67"/>
        <v>-332.21</v>
      </c>
      <c r="Y93" s="2"/>
      <c r="Z93" s="7">
        <f t="shared" si="68"/>
        <v>-1</v>
      </c>
    </row>
    <row r="94" spans="1:26" s="29" customFormat="1" outlineLevel="1" collapsed="1" x14ac:dyDescent="0.3">
      <c r="A94" s="27"/>
      <c r="B94" s="14" t="str">
        <f>CONCATENATE("     ","Utilities                                         ")</f>
        <v xml:space="preserve">     Utilities                                         </v>
      </c>
      <c r="C94" s="14"/>
      <c r="D94" s="1">
        <f>SUM(OSRRefD22_21x_0)</f>
        <v>8150</v>
      </c>
      <c r="E94" s="1"/>
      <c r="F94" s="5">
        <f t="shared" ref="F94:F95" si="69">IF(D$12=0,0,D94/D$12)</f>
        <v>7.8436377078600072E-2</v>
      </c>
      <c r="G94" s="1"/>
      <c r="H94" s="1">
        <f>SUM(OSRRefH22_21x_0)</f>
        <v>3660</v>
      </c>
      <c r="I94" s="1"/>
      <c r="J94" s="5">
        <f t="shared" ref="J94:J95" si="70">IF(H$12=0,0,H94/H$12)</f>
        <v>5.071358587867731E-2</v>
      </c>
      <c r="K94" s="1"/>
      <c r="L94" s="1">
        <f t="shared" ref="L94:L95" si="71">+D94-H94</f>
        <v>4490</v>
      </c>
      <c r="M94" s="1"/>
      <c r="N94" s="5">
        <f t="shared" ref="N94:N95" si="72">IF(H94=0,0,L94/H94)</f>
        <v>1.2267759562841529</v>
      </c>
      <c r="O94" s="14"/>
      <c r="P94" s="1">
        <f>SUM(OSRRefP22_21x_0)</f>
        <v>46500</v>
      </c>
      <c r="Q94" s="1"/>
      <c r="R94" s="5">
        <f t="shared" ref="R94:R95" si="73">IF(P$12=0,0,P94/P$12)</f>
        <v>7.8959665484065966E-2</v>
      </c>
      <c r="S94" s="1"/>
      <c r="T94" s="1">
        <f>SUM(OSRRefT22_21x_0)</f>
        <v>992</v>
      </c>
      <c r="U94" s="1"/>
      <c r="V94" s="5">
        <f t="shared" ref="V94:V95" si="74">IF(T$12=0,0,T94/T$12)</f>
        <v>5.107767720143758E-3</v>
      </c>
      <c r="W94" s="1"/>
      <c r="X94" s="1">
        <f t="shared" ref="X94:X95" si="75">+P94-T94</f>
        <v>45508</v>
      </c>
      <c r="Y94" s="1"/>
      <c r="Z94" s="5">
        <f t="shared" ref="Z94:Z95" si="76">IF(T94=0,0,X94/T94)</f>
        <v>45.875</v>
      </c>
    </row>
    <row r="95" spans="1:26" s="24" customFormat="1" hidden="1" outlineLevel="2" x14ac:dyDescent="0.3">
      <c r="A95" s="28"/>
      <c r="B95" s="11" t="str">
        <f>CONCATENATE("          ", "6274", " - ", "UTILITIES")</f>
        <v xml:space="preserve">          6274 - UTILITIES</v>
      </c>
      <c r="C95" s="11"/>
      <c r="D95" s="6">
        <v>8150</v>
      </c>
      <c r="E95" s="2"/>
      <c r="F95" s="7">
        <f t="shared" si="69"/>
        <v>7.8436377078600072E-2</v>
      </c>
      <c r="G95" s="2"/>
      <c r="H95" s="6">
        <v>3660</v>
      </c>
      <c r="I95" s="2"/>
      <c r="J95" s="7">
        <f t="shared" si="70"/>
        <v>5.071358587867731E-2</v>
      </c>
      <c r="K95" s="2"/>
      <c r="L95" s="6">
        <f t="shared" si="71"/>
        <v>4490</v>
      </c>
      <c r="M95" s="2"/>
      <c r="N95" s="7">
        <f t="shared" si="72"/>
        <v>1.2267759562841529</v>
      </c>
      <c r="O95" s="11"/>
      <c r="P95" s="6">
        <v>46500</v>
      </c>
      <c r="Q95" s="2"/>
      <c r="R95" s="7">
        <f t="shared" si="73"/>
        <v>7.8959665484065966E-2</v>
      </c>
      <c r="S95" s="2"/>
      <c r="T95" s="6">
        <v>992</v>
      </c>
      <c r="U95" s="2"/>
      <c r="V95" s="7">
        <f t="shared" si="74"/>
        <v>5.107767720143758E-3</v>
      </c>
      <c r="W95" s="2"/>
      <c r="X95" s="6">
        <f t="shared" si="75"/>
        <v>45508</v>
      </c>
      <c r="Y95" s="2"/>
      <c r="Z95" s="7">
        <f t="shared" si="76"/>
        <v>45.875</v>
      </c>
    </row>
    <row r="96" spans="1:26" s="53" customFormat="1" x14ac:dyDescent="0.3">
      <c r="A96" s="37"/>
      <c r="B96" s="37"/>
      <c r="C96" s="37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7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3">
      <c r="A97" s="10"/>
      <c r="B97" s="25" t="s">
        <v>292</v>
      </c>
      <c r="C97" s="10"/>
      <c r="D97" s="4">
        <f>SUM(OSRRefD25x_0)</f>
        <v>104600.16</v>
      </c>
      <c r="E97" s="4"/>
      <c r="F97" s="12">
        <f t="shared" ref="F97:F100" si="77">IF(D$12=0,0,D97/D$12)</f>
        <v>1.0066819131585154</v>
      </c>
      <c r="G97" s="4"/>
      <c r="H97" s="4">
        <f>SUM(OSRRefH25x_0)</f>
        <v>11120.800000000001</v>
      </c>
      <c r="I97" s="4"/>
      <c r="J97" s="12">
        <f t="shared" ref="J97:J100" si="78">IF(H$12=0,0,H97/H$12)</f>
        <v>0.15409170651355045</v>
      </c>
      <c r="K97" s="4"/>
      <c r="L97" s="4">
        <f t="shared" ref="L97:L100" si="79">+D97-H97</f>
        <v>93479.360000000001</v>
      </c>
      <c r="M97" s="4"/>
      <c r="N97" s="12">
        <f t="shared" ref="N97:N100" si="80">IF(H97=0,0,L97/H97)</f>
        <v>8.4058125314725558</v>
      </c>
      <c r="O97" s="10"/>
      <c r="P97" s="4">
        <f>SUM(OSRRefP25x_0)</f>
        <v>134618.51</v>
      </c>
      <c r="Q97" s="4"/>
      <c r="R97" s="12">
        <f t="shared" ref="R97:R100" si="81">IF(P$12=0,0,P97/P$12)</f>
        <v>0.22858994661426643</v>
      </c>
      <c r="S97" s="4"/>
      <c r="T97" s="4">
        <f>SUM(OSRRefT25x_0)</f>
        <v>15371.47</v>
      </c>
      <c r="U97" s="4"/>
      <c r="V97" s="12">
        <f t="shared" ref="V97:V100" si="82">IF(T$12=0,0,T97/T$12)</f>
        <v>7.9147074876167511E-2</v>
      </c>
      <c r="W97" s="4"/>
      <c r="X97" s="4">
        <f t="shared" ref="X97:X100" si="83">+P97-T97</f>
        <v>119247.04000000001</v>
      </c>
      <c r="Y97" s="4"/>
      <c r="Z97" s="12">
        <f t="shared" ref="Z97:Z100" si="84">IF(T97=0,0,X97/T97)</f>
        <v>7.7576861549350848</v>
      </c>
    </row>
    <row r="98" spans="1:26" s="24" customFormat="1" hidden="1" outlineLevel="1" x14ac:dyDescent="0.3">
      <c r="A98" s="44"/>
      <c r="B98" s="11" t="str">
        <f>CONCATENATE("          ", "9150", " - ", "MISC. INCOME")</f>
        <v xml:space="preserve">          9150 - MISC. INCOME</v>
      </c>
      <c r="C98" s="11"/>
      <c r="D98" s="2">
        <f>--104600.16</f>
        <v>104600.16</v>
      </c>
      <c r="E98" s="2"/>
      <c r="F98" s="19">
        <f t="shared" si="77"/>
        <v>1.0066819131585154</v>
      </c>
      <c r="G98" s="2"/>
      <c r="H98" s="2">
        <f>--804.28</f>
        <v>804.28</v>
      </c>
      <c r="I98" s="2"/>
      <c r="J98" s="19">
        <f t="shared" si="78"/>
        <v>1.1144241215984313E-2</v>
      </c>
      <c r="K98" s="2"/>
      <c r="L98" s="2">
        <f t="shared" si="79"/>
        <v>103795.88</v>
      </c>
      <c r="M98" s="2"/>
      <c r="N98" s="19">
        <f t="shared" si="80"/>
        <v>129.0544089123191</v>
      </c>
      <c r="O98" s="11"/>
      <c r="P98" s="2">
        <f>--134618.51</f>
        <v>134618.51</v>
      </c>
      <c r="Q98" s="2"/>
      <c r="R98" s="19">
        <f t="shared" si="81"/>
        <v>0.22858994661426643</v>
      </c>
      <c r="S98" s="2"/>
      <c r="T98" s="2">
        <f>--1728.05</f>
        <v>1728.05</v>
      </c>
      <c r="U98" s="2"/>
      <c r="V98" s="19">
        <f t="shared" si="82"/>
        <v>8.8976592830588928E-3</v>
      </c>
      <c r="W98" s="2"/>
      <c r="X98" s="2">
        <f t="shared" si="83"/>
        <v>132890.46000000002</v>
      </c>
      <c r="Y98" s="2"/>
      <c r="Z98" s="19">
        <f t="shared" si="84"/>
        <v>76.901976215965988</v>
      </c>
    </row>
    <row r="99" spans="1:26" s="24" customFormat="1" hidden="1" outlineLevel="1" x14ac:dyDescent="0.3">
      <c r="A99" s="44"/>
      <c r="B99" s="11" t="str">
        <f>CONCATENATE("          ", "9160", " - ", "MISC. INCOME")</f>
        <v xml:space="preserve">          9160 - MISC. INCOME</v>
      </c>
      <c r="C99" s="11"/>
      <c r="D99" s="2">
        <f t="shared" ref="D99:D100" si="85">0</f>
        <v>0</v>
      </c>
      <c r="E99" s="2"/>
      <c r="F99" s="19">
        <f t="shared" si="77"/>
        <v>0</v>
      </c>
      <c r="G99" s="2"/>
      <c r="H99" s="2">
        <f>--10000</f>
        <v>10000</v>
      </c>
      <c r="I99" s="2"/>
      <c r="J99" s="19">
        <f t="shared" si="78"/>
        <v>0.13856171005103091</v>
      </c>
      <c r="K99" s="2"/>
      <c r="L99" s="2">
        <f t="shared" si="79"/>
        <v>-10000</v>
      </c>
      <c r="M99" s="2"/>
      <c r="N99" s="19">
        <f t="shared" si="80"/>
        <v>-1</v>
      </c>
      <c r="O99" s="11"/>
      <c r="P99" s="2">
        <f t="shared" ref="P99:P100" si="86">0</f>
        <v>0</v>
      </c>
      <c r="Q99" s="2"/>
      <c r="R99" s="19">
        <f t="shared" si="81"/>
        <v>0</v>
      </c>
      <c r="S99" s="2"/>
      <c r="T99" s="2">
        <f>--12328.25</f>
        <v>12328.25</v>
      </c>
      <c r="U99" s="2"/>
      <c r="V99" s="19">
        <f t="shared" si="82"/>
        <v>6.3477658665183762E-2</v>
      </c>
      <c r="W99" s="2"/>
      <c r="X99" s="2">
        <f t="shared" si="83"/>
        <v>-12328.25</v>
      </c>
      <c r="Y99" s="2"/>
      <c r="Z99" s="19">
        <f t="shared" si="84"/>
        <v>-1</v>
      </c>
    </row>
    <row r="100" spans="1:26" s="24" customFormat="1" hidden="1" outlineLevel="1" x14ac:dyDescent="0.3">
      <c r="A100" s="44"/>
      <c r="B100" s="11" t="str">
        <f>CONCATENATE("          ", "9165", " - ", "OTHER INCOME")</f>
        <v xml:space="preserve">          9165 - OTHER INCOME</v>
      </c>
      <c r="C100" s="11"/>
      <c r="D100" s="2">
        <f t="shared" si="85"/>
        <v>0</v>
      </c>
      <c r="E100" s="2"/>
      <c r="F100" s="19">
        <f t="shared" si="77"/>
        <v>0</v>
      </c>
      <c r="G100" s="2"/>
      <c r="H100" s="2">
        <f>--316.52</f>
        <v>316.52</v>
      </c>
      <c r="I100" s="2"/>
      <c r="J100" s="19">
        <f t="shared" si="78"/>
        <v>4.3857552465352296E-3</v>
      </c>
      <c r="K100" s="2"/>
      <c r="L100" s="2">
        <f t="shared" si="79"/>
        <v>-316.52</v>
      </c>
      <c r="M100" s="2"/>
      <c r="N100" s="19">
        <f t="shared" si="80"/>
        <v>-1</v>
      </c>
      <c r="O100" s="11"/>
      <c r="P100" s="2">
        <f t="shared" si="86"/>
        <v>0</v>
      </c>
      <c r="Q100" s="2"/>
      <c r="R100" s="19">
        <f t="shared" si="81"/>
        <v>0</v>
      </c>
      <c r="S100" s="2"/>
      <c r="T100" s="2">
        <f>--1315.17</f>
        <v>1315.17</v>
      </c>
      <c r="U100" s="2"/>
      <c r="V100" s="19">
        <f t="shared" si="82"/>
        <v>6.7717569279248657E-3</v>
      </c>
      <c r="W100" s="2"/>
      <c r="X100" s="2">
        <f t="shared" si="83"/>
        <v>-1315.17</v>
      </c>
      <c r="Y100" s="2"/>
      <c r="Z100" s="19">
        <f t="shared" si="84"/>
        <v>-1</v>
      </c>
    </row>
    <row r="101" spans="1:26" x14ac:dyDescent="0.3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3">
      <c r="A102" s="10"/>
      <c r="B102" s="26" t="s">
        <v>276</v>
      </c>
      <c r="C102" s="26"/>
      <c r="D102" s="20">
        <f>+D23-D25+D97</f>
        <v>-13223.22000000003</v>
      </c>
      <c r="E102" s="13"/>
      <c r="F102" s="21">
        <f>IF(D$12=0,0,D102/D$12)</f>
        <v>-0.12726153007525012</v>
      </c>
      <c r="G102" s="13"/>
      <c r="H102" s="20">
        <f>+H23-H25+H97</f>
        <v>-36515.710000000006</v>
      </c>
      <c r="I102" s="13"/>
      <c r="J102" s="21">
        <f>IF(H$12=0,0,H102/H$12)</f>
        <v>-0.5059679221327531</v>
      </c>
      <c r="K102" s="15"/>
      <c r="L102" s="20">
        <f>+D102-H102</f>
        <v>23292.489999999976</v>
      </c>
      <c r="M102" s="15"/>
      <c r="N102" s="21">
        <f>IF(H102=0,0,L102/H102)</f>
        <v>-0.63787586219739323</v>
      </c>
      <c r="O102" s="25"/>
      <c r="P102" s="20">
        <f>+P23-P25+P97</f>
        <v>-584235.52999999991</v>
      </c>
      <c r="Q102" s="13"/>
      <c r="R102" s="21">
        <f>IF(P$12=0,0,P102/P$12)</f>
        <v>-0.99206541962808548</v>
      </c>
      <c r="S102" s="13"/>
      <c r="T102" s="20">
        <f>+T23-T25+T97</f>
        <v>-484110.4800000001</v>
      </c>
      <c r="U102" s="13"/>
      <c r="V102" s="21">
        <f>IF(T$12=0,0,T102/T$12)</f>
        <v>-2.4926652043621984</v>
      </c>
      <c r="W102" s="15"/>
      <c r="X102" s="20">
        <f>+P102-T102</f>
        <v>-100125.04999999981</v>
      </c>
      <c r="Y102" s="15"/>
      <c r="Z102" s="21">
        <f>IF(T102=0,0,X102/T102)</f>
        <v>0.20682272773768456</v>
      </c>
    </row>
    <row r="103" spans="1:26" x14ac:dyDescent="0.3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3">
      <c r="A104" s="51"/>
      <c r="B104" s="10" t="s">
        <v>127</v>
      </c>
      <c r="C104" s="10"/>
      <c r="D104" s="4">
        <v>13117.89</v>
      </c>
      <c r="E104" s="4"/>
      <c r="F104" s="12">
        <f>IF(D$12=0,0,D104/D$12)</f>
        <v>0.1262478241123432</v>
      </c>
      <c r="G104" s="4"/>
      <c r="H104" s="4">
        <v>16540.91</v>
      </c>
      <c r="I104" s="4"/>
      <c r="J104" s="12">
        <f>IF(H$12=0,0,H104/H$12)</f>
        <v>0.22919367754001976</v>
      </c>
      <c r="K104" s="4"/>
      <c r="L104" s="4">
        <f>+D104-H104</f>
        <v>-3423.0200000000004</v>
      </c>
      <c r="M104" s="4"/>
      <c r="N104" s="12">
        <f>IF(H104=0,0,L104/H104)</f>
        <v>-0.20694266518589366</v>
      </c>
      <c r="O104" s="10"/>
      <c r="P104" s="4">
        <v>70887.37</v>
      </c>
      <c r="Q104" s="4"/>
      <c r="R104" s="12">
        <f>IF(P$12=0,0,P104/P$12)</f>
        <v>0.12037081768269274</v>
      </c>
      <c r="S104" s="4"/>
      <c r="T104" s="4">
        <v>35933.699999999997</v>
      </c>
      <c r="U104" s="4"/>
      <c r="V104" s="12">
        <f>IF(T$12=0,0,T104/T$12)</f>
        <v>0.18502116222311465</v>
      </c>
      <c r="W104" s="4"/>
      <c r="X104" s="4">
        <f>+P104-T104</f>
        <v>34953.67</v>
      </c>
      <c r="Y104" s="4"/>
      <c r="Z104" s="12">
        <f>IF(T104=0,0,X104/T104)</f>
        <v>0.97272671614668127</v>
      </c>
    </row>
    <row r="105" spans="1:26" x14ac:dyDescent="0.3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" thickBot="1" x14ac:dyDescent="0.35">
      <c r="A106" s="10"/>
      <c r="B106" s="26" t="s">
        <v>125</v>
      </c>
      <c r="C106" s="26"/>
      <c r="D106" s="32">
        <f>+D102-D104</f>
        <v>-26341.11000000003</v>
      </c>
      <c r="E106" s="13"/>
      <c r="F106" s="35">
        <f>IF(D$12=0,0,D106/D$12)</f>
        <v>-0.25350935418759329</v>
      </c>
      <c r="G106" s="13"/>
      <c r="H106" s="32">
        <f>+H102-H104</f>
        <v>-53056.62000000001</v>
      </c>
      <c r="I106" s="13"/>
      <c r="J106" s="35">
        <f>IF(H$12=0,0,H106/H$12)</f>
        <v>-0.73516159967277284</v>
      </c>
      <c r="K106" s="15"/>
      <c r="L106" s="32">
        <f>D106-H106</f>
        <v>26715.50999999998</v>
      </c>
      <c r="M106" s="15"/>
      <c r="N106" s="35">
        <f>IF(H106=0,0,L106/H106)</f>
        <v>-0.50352830617555311</v>
      </c>
      <c r="O106" s="25"/>
      <c r="P106" s="32">
        <f>+P102-P104</f>
        <v>-655122.89999999991</v>
      </c>
      <c r="Q106" s="13"/>
      <c r="R106" s="35">
        <f>IF(P$12=0,0,P106/P$12)</f>
        <v>-1.1124362373107783</v>
      </c>
      <c r="S106" s="13"/>
      <c r="T106" s="32">
        <f>+T102-T104</f>
        <v>-520044.18000000011</v>
      </c>
      <c r="U106" s="13"/>
      <c r="V106" s="35">
        <f>IF(T$12=0,0,T106/T$12)</f>
        <v>-2.6776863665853132</v>
      </c>
      <c r="W106" s="15"/>
      <c r="X106" s="32">
        <f>P106-T106</f>
        <v>-135078.7199999998</v>
      </c>
      <c r="Y106" s="15"/>
      <c r="Z106" s="35">
        <f>IF(T106=0,0,X106/T106)</f>
        <v>0.25974470092137125</v>
      </c>
    </row>
    <row r="107" spans="1:26" ht="15" thickTop="1" x14ac:dyDescent="0.3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3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" thickBot="1" x14ac:dyDescent="0.35">
      <c r="A109" s="10"/>
      <c r="B109" s="26" t="s">
        <v>293</v>
      </c>
      <c r="C109" s="26"/>
      <c r="D109" s="31">
        <f>SUM(D106:D108)</f>
        <v>-26341.11000000003</v>
      </c>
      <c r="E109" s="13"/>
      <c r="F109" s="33">
        <f>IF(D$12=0,0,D109/D$12)</f>
        <v>-0.25350935418759329</v>
      </c>
      <c r="G109" s="13"/>
      <c r="H109" s="31">
        <f>SUM(H106:H108)</f>
        <v>-53056.62000000001</v>
      </c>
      <c r="I109" s="13"/>
      <c r="J109" s="33">
        <f>IF(H$12=0,0,H109/H$12)</f>
        <v>-0.73516159967277284</v>
      </c>
      <c r="K109" s="15"/>
      <c r="L109" s="31">
        <f>+D109-H109</f>
        <v>26715.50999999998</v>
      </c>
      <c r="M109" s="15"/>
      <c r="N109" s="33">
        <f>IF(H109=0,0,L109/H109)</f>
        <v>-0.50352830617555311</v>
      </c>
      <c r="O109" s="25"/>
      <c r="P109" s="31">
        <f>SUM(P106:P108)</f>
        <v>-655122.89999999991</v>
      </c>
      <c r="Q109" s="13"/>
      <c r="R109" s="33">
        <f>IF(P$12=0,0,P109/P$12)</f>
        <v>-1.1124362373107783</v>
      </c>
      <c r="S109" s="13"/>
      <c r="T109" s="31">
        <f>SUM(T106:T108)</f>
        <v>-520044.18000000011</v>
      </c>
      <c r="U109" s="13"/>
      <c r="V109" s="33">
        <f>IF(T$12=0,0,T109/T$12)</f>
        <v>-2.6776863665853132</v>
      </c>
      <c r="W109" s="15"/>
      <c r="X109" s="31">
        <f>+P109-T109</f>
        <v>-135078.7199999998</v>
      </c>
      <c r="Y109" s="15"/>
      <c r="Z109" s="33">
        <f>IF(T109=0,0,X109/T109)</f>
        <v>0.25974470092137125</v>
      </c>
    </row>
    <row r="110" spans="1:26" ht="15" thickTop="1" x14ac:dyDescent="0.3">
      <c r="A110" s="9"/>
      <c r="C110" s="9"/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3">
      <c r="A111" s="9"/>
      <c r="B111" s="60">
        <v>44575.854587349539</v>
      </c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3">
      <c r="A112" s="9"/>
      <c r="B112" s="57" t="s">
        <v>56</v>
      </c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1:24" x14ac:dyDescent="0.3">
      <c r="A113" s="9"/>
      <c r="B113" s="59"/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  <row r="114" spans="1:24" x14ac:dyDescent="0.3">
      <c r="D114" s="17"/>
      <c r="E114" s="17"/>
      <c r="G114" s="17"/>
      <c r="H114" s="17"/>
      <c r="I114" s="17"/>
      <c r="J114" s="43"/>
      <c r="K114" s="17"/>
      <c r="L114" s="17"/>
      <c r="M114" s="17"/>
      <c r="P114" s="17"/>
      <c r="Q114" s="17"/>
      <c r="R114" s="43"/>
      <c r="S114" s="17"/>
      <c r="T114" s="17"/>
      <c r="U114" s="17"/>
      <c r="V114" s="43"/>
      <c r="W114" s="17"/>
      <c r="X114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","405", " - ", "Caffeine Lab")</f>
        <v>Department 405 - Caffeine Lab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51547.820000000007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51547.820000000007</v>
      </c>
      <c r="M12" s="4"/>
      <c r="N12" s="12">
        <f t="shared" ref="N12:N14" si="1">IF(H12=0,0,L12/H12)</f>
        <v>0</v>
      </c>
      <c r="O12" s="10"/>
      <c r="P12" s="4">
        <f>SUM(OSRRefP13x_0)</f>
        <v>266860.03000000003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266860.03000000003</v>
      </c>
      <c r="Y12" s="4"/>
      <c r="Z12" s="12">
        <f t="shared" ref="Z12:Z14" si="3">IF(T12=0,0,X12/T12)</f>
        <v>0</v>
      </c>
    </row>
    <row r="13" spans="1:26" s="24" customFormat="1" hidden="1" outlineLevel="1" x14ac:dyDescent="0.3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--2926.84</f>
        <v>2926.84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2926.84</v>
      </c>
      <c r="M13" s="2"/>
      <c r="N13" s="19">
        <f t="shared" si="1"/>
        <v>0</v>
      </c>
      <c r="O13" s="11"/>
      <c r="P13" s="2">
        <f>--23425.99</f>
        <v>23425.99</v>
      </c>
      <c r="Q13" s="2"/>
      <c r="R13" s="19"/>
      <c r="S13" s="2"/>
      <c r="T13" s="2">
        <f t="shared" ref="T13:T14" si="5">0</f>
        <v>0</v>
      </c>
      <c r="U13" s="2"/>
      <c r="V13" s="19"/>
      <c r="W13" s="2"/>
      <c r="X13" s="2">
        <f t="shared" si="2"/>
        <v>23425.99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--48620.98</f>
        <v>48620.98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48620.98</v>
      </c>
      <c r="M14" s="2"/>
      <c r="N14" s="19">
        <f t="shared" si="1"/>
        <v>0</v>
      </c>
      <c r="O14" s="11"/>
      <c r="P14" s="2">
        <f>--243434.04</f>
        <v>243434.04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243434.04</v>
      </c>
      <c r="Y14" s="2"/>
      <c r="Z14" s="19">
        <f t="shared" si="3"/>
        <v>0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5" t="s">
        <v>256</v>
      </c>
      <c r="C16" s="10"/>
      <c r="D16" s="4">
        <f>SUM(OSRRefD16x_0)</f>
        <v>22161.129999999997</v>
      </c>
      <c r="E16" s="4"/>
      <c r="F16" s="12">
        <f t="shared" ref="F16:F18" si="6">IF(D$12=0,0,D16/D$12)</f>
        <v>0.42991400994261242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22161.129999999997</v>
      </c>
      <c r="M16" s="4"/>
      <c r="N16" s="12">
        <f t="shared" ref="N16:N18" si="9">IF(H16=0,0,L16/H16)</f>
        <v>0</v>
      </c>
      <c r="O16" s="10"/>
      <c r="P16" s="4">
        <f>SUM(OSRRefP16x_0)</f>
        <v>112214.75</v>
      </c>
      <c r="Q16" s="4"/>
      <c r="R16" s="12">
        <f t="shared" ref="R16:R18" si="10">IF(P$12=0,0,P16/P$12)</f>
        <v>0.42050040240196324</v>
      </c>
      <c r="S16" s="4"/>
      <c r="T16" s="4">
        <f>SUM(OSRRefT16x_0)</f>
        <v>0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112214.75</v>
      </c>
      <c r="Y16" s="4"/>
      <c r="Z16" s="12">
        <f t="shared" ref="Z16:Z18" si="13">IF(T16=0,0,X16/T16)</f>
        <v>0</v>
      </c>
    </row>
    <row r="17" spans="1:26" s="24" customFormat="1" hidden="1" outlineLevel="1" x14ac:dyDescent="0.3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8751.92</v>
      </c>
      <c r="E17" s="2"/>
      <c r="F17" s="19">
        <f t="shared" si="6"/>
        <v>0.16978254366528009</v>
      </c>
      <c r="G17" s="2"/>
      <c r="H17" s="2"/>
      <c r="I17" s="2"/>
      <c r="J17" s="19">
        <f t="shared" si="7"/>
        <v>0</v>
      </c>
      <c r="K17" s="2"/>
      <c r="L17" s="2">
        <f t="shared" si="8"/>
        <v>8751.92</v>
      </c>
      <c r="M17" s="2"/>
      <c r="N17" s="19">
        <f t="shared" si="9"/>
        <v>0</v>
      </c>
      <c r="O17" s="11"/>
      <c r="P17" s="2">
        <v>94095.51</v>
      </c>
      <c r="Q17" s="2"/>
      <c r="R17" s="19">
        <f t="shared" si="10"/>
        <v>0.35260248602984862</v>
      </c>
      <c r="S17" s="2"/>
      <c r="T17" s="2"/>
      <c r="U17" s="2"/>
      <c r="V17" s="19">
        <f t="shared" si="11"/>
        <v>0</v>
      </c>
      <c r="W17" s="2"/>
      <c r="X17" s="2">
        <f t="shared" si="12"/>
        <v>94095.51</v>
      </c>
      <c r="Y17" s="2"/>
      <c r="Z17" s="19">
        <f t="shared" si="13"/>
        <v>0</v>
      </c>
    </row>
    <row r="18" spans="1:26" s="24" customFormat="1" hidden="1" outlineLevel="1" x14ac:dyDescent="0.3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13409.21</v>
      </c>
      <c r="E18" s="2"/>
      <c r="F18" s="19">
        <f t="shared" si="6"/>
        <v>0.26013146627733236</v>
      </c>
      <c r="G18" s="2"/>
      <c r="H18" s="2"/>
      <c r="I18" s="2"/>
      <c r="J18" s="19">
        <f t="shared" si="7"/>
        <v>0</v>
      </c>
      <c r="K18" s="2"/>
      <c r="L18" s="2">
        <f t="shared" si="8"/>
        <v>13409.21</v>
      </c>
      <c r="M18" s="2"/>
      <c r="N18" s="19">
        <f t="shared" si="9"/>
        <v>0</v>
      </c>
      <c r="O18" s="11"/>
      <c r="P18" s="2">
        <v>18119.240000000002</v>
      </c>
      <c r="Q18" s="2"/>
      <c r="R18" s="19">
        <f t="shared" si="10"/>
        <v>6.7897916372114619E-2</v>
      </c>
      <c r="S18" s="2"/>
      <c r="T18" s="2"/>
      <c r="U18" s="2"/>
      <c r="V18" s="19">
        <f t="shared" si="11"/>
        <v>0</v>
      </c>
      <c r="W18" s="2"/>
      <c r="X18" s="2">
        <f t="shared" si="12"/>
        <v>18119.240000000002</v>
      </c>
      <c r="Y18" s="2"/>
      <c r="Z18" s="19">
        <f t="shared" si="13"/>
        <v>0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6" t="s">
        <v>107</v>
      </c>
      <c r="C20" s="26"/>
      <c r="D20" s="20">
        <f>D12-D16</f>
        <v>29386.69000000001</v>
      </c>
      <c r="E20" s="13"/>
      <c r="F20" s="21">
        <f>IF(D$12=0,0,D20/D$12)</f>
        <v>0.57008599005738758</v>
      </c>
      <c r="G20" s="13"/>
      <c r="H20" s="20">
        <f>H12-H16</f>
        <v>0</v>
      </c>
      <c r="I20" s="13"/>
      <c r="J20" s="21">
        <f>IF(H$12=0,0,H20/H$12)</f>
        <v>0</v>
      </c>
      <c r="K20" s="15"/>
      <c r="L20" s="20">
        <f>+D20-H20</f>
        <v>29386.69000000001</v>
      </c>
      <c r="M20" s="15"/>
      <c r="N20" s="21">
        <f>IF(H20=0,0,L20/H20)</f>
        <v>0</v>
      </c>
      <c r="O20" s="25"/>
      <c r="P20" s="20">
        <f>P12-P16</f>
        <v>154645.28000000003</v>
      </c>
      <c r="Q20" s="13"/>
      <c r="R20" s="21">
        <f>IF(P$12=0,0,P20/P$12)</f>
        <v>0.57949959759803671</v>
      </c>
      <c r="S20" s="13"/>
      <c r="T20" s="20">
        <f>T12-T16</f>
        <v>0</v>
      </c>
      <c r="U20" s="13"/>
      <c r="V20" s="21">
        <f>IF(T$12=0,0,T20/T$12)</f>
        <v>0</v>
      </c>
      <c r="W20" s="15"/>
      <c r="X20" s="20">
        <f>+P20-T20</f>
        <v>154645.28000000003</v>
      </c>
      <c r="Y20" s="15"/>
      <c r="Z20" s="21">
        <f>IF(T20=0,0,X20/T20)</f>
        <v>0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5" t="s">
        <v>294</v>
      </c>
      <c r="C22" s="10"/>
      <c r="D22" s="22">
        <f>SUM(OSRRefD22x_0)</f>
        <v>35475.629999999997</v>
      </c>
      <c r="E22" s="22"/>
      <c r="F22" s="34">
        <f t="shared" ref="F22:F31" si="14">IF(D$12=0,0,D22/D$12)</f>
        <v>0.68820815312849293</v>
      </c>
      <c r="G22" s="22"/>
      <c r="H22" s="22">
        <f>SUM(OSRRefH22x_0)</f>
        <v>11318.36</v>
      </c>
      <c r="I22" s="22"/>
      <c r="J22" s="34">
        <f t="shared" ref="J22:J31" si="15">IF(H$12=0,0,H22/H$12)</f>
        <v>0</v>
      </c>
      <c r="K22" s="4"/>
      <c r="L22" s="22">
        <f t="shared" ref="L22:L31" si="16">+D22-H22</f>
        <v>24157.269999999997</v>
      </c>
      <c r="M22" s="4"/>
      <c r="N22" s="34">
        <f t="shared" ref="N22:N31" si="17">IF(H22=0,0,L22/H22)</f>
        <v>2.1343436681639387</v>
      </c>
      <c r="O22" s="10"/>
      <c r="P22" s="22">
        <f>SUM(OSRRefP22x_0)</f>
        <v>195292.29999999996</v>
      </c>
      <c r="Q22" s="22"/>
      <c r="R22" s="34">
        <f t="shared" ref="R22:R31" si="18">IF(P$12=0,0,P22/P$12)</f>
        <v>0.73181547645033218</v>
      </c>
      <c r="S22" s="22"/>
      <c r="T22" s="22">
        <f>SUM(OSRRefT22x_0)</f>
        <v>45190.04</v>
      </c>
      <c r="U22" s="22"/>
      <c r="V22" s="34">
        <f t="shared" ref="V22:V31" si="19">IF(T$12=0,0,T22/T$12)</f>
        <v>0</v>
      </c>
      <c r="W22" s="4"/>
      <c r="X22" s="22">
        <f t="shared" ref="X22:X31" si="20">+P22-T22</f>
        <v>150102.25999999995</v>
      </c>
      <c r="Y22" s="4"/>
      <c r="Z22" s="34">
        <f t="shared" ref="Z22:Z31" si="21">IF(T22=0,0,X22/T22)</f>
        <v>3.3215783832012531</v>
      </c>
    </row>
    <row r="23" spans="1:26" s="29" customFormat="1" outlineLevel="1" collapsed="1" x14ac:dyDescent="0.3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5445.84</v>
      </c>
      <c r="E23" s="1"/>
      <c r="F23" s="5">
        <f t="shared" si="14"/>
        <v>0.10564636875041465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5445.84</v>
      </c>
      <c r="M23" s="1"/>
      <c r="N23" s="5">
        <f t="shared" si="17"/>
        <v>0</v>
      </c>
      <c r="O23" s="14"/>
      <c r="P23" s="1">
        <f>SUM(OSRRefP22_0x_0)</f>
        <v>25007.329999999998</v>
      </c>
      <c r="Q23" s="1"/>
      <c r="R23" s="5">
        <f t="shared" si="18"/>
        <v>9.3709537542958368E-2</v>
      </c>
      <c r="S23" s="1"/>
      <c r="T23" s="1">
        <f>SUM(OSRRefT22_0x_0)</f>
        <v>0.83</v>
      </c>
      <c r="U23" s="1"/>
      <c r="V23" s="5">
        <f t="shared" si="19"/>
        <v>0</v>
      </c>
      <c r="W23" s="1"/>
      <c r="X23" s="1">
        <f t="shared" si="20"/>
        <v>25006.499999999996</v>
      </c>
      <c r="Y23" s="1"/>
      <c r="Z23" s="5">
        <f t="shared" si="21"/>
        <v>30128.313253012046</v>
      </c>
    </row>
    <row r="24" spans="1:26" s="24" customFormat="1" hidden="1" outlineLevel="2" x14ac:dyDescent="0.3">
      <c r="A24" s="28"/>
      <c r="B24" s="11" t="str">
        <f>CONCATENATE("          ", "6111", " - ", "F.I.C.A.")</f>
        <v xml:space="preserve">          6111 - F.I.C.A.</v>
      </c>
      <c r="C24" s="11"/>
      <c r="D24" s="6">
        <v>885.81</v>
      </c>
      <c r="E24" s="2"/>
      <c r="F24" s="7">
        <f t="shared" si="14"/>
        <v>1.7184237859137395E-2</v>
      </c>
      <c r="G24" s="2"/>
      <c r="H24" s="6"/>
      <c r="I24" s="2"/>
      <c r="J24" s="7">
        <f t="shared" si="15"/>
        <v>0</v>
      </c>
      <c r="K24" s="2"/>
      <c r="L24" s="6">
        <f t="shared" si="16"/>
        <v>885.81</v>
      </c>
      <c r="M24" s="2"/>
      <c r="N24" s="7">
        <f t="shared" si="17"/>
        <v>0</v>
      </c>
      <c r="O24" s="11"/>
      <c r="P24" s="6">
        <v>4678.21</v>
      </c>
      <c r="Q24" s="2"/>
      <c r="R24" s="7">
        <f t="shared" si="18"/>
        <v>1.7530575860311488E-2</v>
      </c>
      <c r="S24" s="2"/>
      <c r="T24" s="6">
        <v>0.83</v>
      </c>
      <c r="U24" s="2"/>
      <c r="V24" s="7">
        <f t="shared" si="19"/>
        <v>0</v>
      </c>
      <c r="W24" s="2"/>
      <c r="X24" s="6">
        <f t="shared" si="20"/>
        <v>4677.38</v>
      </c>
      <c r="Y24" s="2"/>
      <c r="Z24" s="7">
        <f t="shared" si="21"/>
        <v>5635.3975903614464</v>
      </c>
    </row>
    <row r="25" spans="1:26" s="24" customFormat="1" hidden="1" outlineLevel="2" x14ac:dyDescent="0.3">
      <c r="A25" s="28"/>
      <c r="B25" s="11" t="str">
        <f>CONCATENATE("          ", "6112", " - ", "COMPENSATION INSURANCE")</f>
        <v xml:space="preserve">          6112 - COMPENSATION INSURANCE</v>
      </c>
      <c r="C25" s="11"/>
      <c r="D25" s="6">
        <v>730.8</v>
      </c>
      <c r="E25" s="2"/>
      <c r="F25" s="7">
        <f t="shared" si="14"/>
        <v>1.4177127180160089E-2</v>
      </c>
      <c r="G25" s="2"/>
      <c r="H25" s="6"/>
      <c r="I25" s="2"/>
      <c r="J25" s="7">
        <f t="shared" si="15"/>
        <v>0</v>
      </c>
      <c r="K25" s="2"/>
      <c r="L25" s="6">
        <f t="shared" si="16"/>
        <v>730.8</v>
      </c>
      <c r="M25" s="2"/>
      <c r="N25" s="7">
        <f t="shared" si="17"/>
        <v>0</v>
      </c>
      <c r="O25" s="11"/>
      <c r="P25" s="6">
        <v>3824.48</v>
      </c>
      <c r="Q25" s="2"/>
      <c r="R25" s="7">
        <f t="shared" si="18"/>
        <v>1.4331408116831883E-2</v>
      </c>
      <c r="S25" s="2"/>
      <c r="T25" s="6"/>
      <c r="U25" s="2"/>
      <c r="V25" s="7">
        <f t="shared" si="19"/>
        <v>0</v>
      </c>
      <c r="W25" s="2"/>
      <c r="X25" s="6">
        <f t="shared" si="20"/>
        <v>3824.48</v>
      </c>
      <c r="Y25" s="2"/>
      <c r="Z25" s="7">
        <f t="shared" si="21"/>
        <v>0</v>
      </c>
    </row>
    <row r="26" spans="1:26" s="24" customFormat="1" hidden="1" outlineLevel="2" x14ac:dyDescent="0.3">
      <c r="A26" s="28"/>
      <c r="B26" s="11" t="str">
        <f>CONCATENATE("          ", "6113", " - ", "GROUP INSURANCE")</f>
        <v xml:space="preserve">          6113 - GROUP INSURANCE</v>
      </c>
      <c r="C26" s="11"/>
      <c r="D26" s="6">
        <v>2079.61</v>
      </c>
      <c r="E26" s="2"/>
      <c r="F26" s="7">
        <f t="shared" si="14"/>
        <v>4.0343316167395629E-2</v>
      </c>
      <c r="G26" s="2"/>
      <c r="H26" s="6"/>
      <c r="I26" s="2"/>
      <c r="J26" s="7">
        <f t="shared" si="15"/>
        <v>0</v>
      </c>
      <c r="K26" s="2"/>
      <c r="L26" s="6">
        <f t="shared" si="16"/>
        <v>2079.61</v>
      </c>
      <c r="M26" s="2"/>
      <c r="N26" s="7">
        <f t="shared" si="17"/>
        <v>0</v>
      </c>
      <c r="O26" s="11"/>
      <c r="P26" s="6">
        <v>7599.83</v>
      </c>
      <c r="Q26" s="2"/>
      <c r="R26" s="7">
        <f t="shared" si="18"/>
        <v>2.8478712229778283E-2</v>
      </c>
      <c r="S26" s="2"/>
      <c r="T26" s="6"/>
      <c r="U26" s="2"/>
      <c r="V26" s="7">
        <f t="shared" si="19"/>
        <v>0</v>
      </c>
      <c r="W26" s="2"/>
      <c r="X26" s="6">
        <f t="shared" si="20"/>
        <v>7599.83</v>
      </c>
      <c r="Y26" s="2"/>
      <c r="Z26" s="7">
        <f t="shared" si="21"/>
        <v>0</v>
      </c>
    </row>
    <row r="27" spans="1:26" s="24" customFormat="1" hidden="1" outlineLevel="2" x14ac:dyDescent="0.3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>
        <v>52.78</v>
      </c>
      <c r="E27" s="2"/>
      <c r="F27" s="7">
        <f t="shared" si="14"/>
        <v>1.0239036296782287E-3</v>
      </c>
      <c r="G27" s="2"/>
      <c r="H27" s="6"/>
      <c r="I27" s="2"/>
      <c r="J27" s="7">
        <f t="shared" si="15"/>
        <v>0</v>
      </c>
      <c r="K27" s="2"/>
      <c r="L27" s="6">
        <f t="shared" si="16"/>
        <v>52.78</v>
      </c>
      <c r="M27" s="2"/>
      <c r="N27" s="7">
        <f t="shared" si="17"/>
        <v>0</v>
      </c>
      <c r="O27" s="11"/>
      <c r="P27" s="6">
        <v>276.20999999999998</v>
      </c>
      <c r="Q27" s="2"/>
      <c r="R27" s="7">
        <f t="shared" si="18"/>
        <v>1.0350369817465732E-3</v>
      </c>
      <c r="S27" s="2"/>
      <c r="T27" s="6"/>
      <c r="U27" s="2"/>
      <c r="V27" s="7">
        <f t="shared" si="19"/>
        <v>0</v>
      </c>
      <c r="W27" s="2"/>
      <c r="X27" s="6">
        <f t="shared" si="20"/>
        <v>276.20999999999998</v>
      </c>
      <c r="Y27" s="2"/>
      <c r="Z27" s="7">
        <f t="shared" si="21"/>
        <v>0</v>
      </c>
    </row>
    <row r="28" spans="1:26" s="24" customFormat="1" hidden="1" outlineLevel="2" x14ac:dyDescent="0.3">
      <c r="A28" s="28"/>
      <c r="B28" s="11" t="str">
        <f>CONCATENATE("          ", "6115", " - ", "P.E.R.S.")</f>
        <v xml:space="preserve">          6115 - P.E.R.S.</v>
      </c>
      <c r="C28" s="11"/>
      <c r="D28" s="6">
        <v>408.69</v>
      </c>
      <c r="E28" s="2"/>
      <c r="F28" s="7">
        <f t="shared" si="14"/>
        <v>7.9283663208259813E-3</v>
      </c>
      <c r="G28" s="2"/>
      <c r="H28" s="6"/>
      <c r="I28" s="2"/>
      <c r="J28" s="7">
        <f t="shared" si="15"/>
        <v>0</v>
      </c>
      <c r="K28" s="2"/>
      <c r="L28" s="6">
        <f t="shared" si="16"/>
        <v>408.69</v>
      </c>
      <c r="M28" s="2"/>
      <c r="N28" s="7">
        <f t="shared" si="17"/>
        <v>0</v>
      </c>
      <c r="O28" s="11"/>
      <c r="P28" s="6">
        <v>2493.0100000000002</v>
      </c>
      <c r="Q28" s="2"/>
      <c r="R28" s="7">
        <f t="shared" si="18"/>
        <v>9.3420134892437806E-3</v>
      </c>
      <c r="S28" s="2"/>
      <c r="T28" s="6"/>
      <c r="U28" s="2"/>
      <c r="V28" s="7">
        <f t="shared" si="19"/>
        <v>0</v>
      </c>
      <c r="W28" s="2"/>
      <c r="X28" s="6">
        <f t="shared" si="20"/>
        <v>2493.0100000000002</v>
      </c>
      <c r="Y28" s="2"/>
      <c r="Z28" s="7">
        <f t="shared" si="21"/>
        <v>0</v>
      </c>
    </row>
    <row r="29" spans="1:26" s="24" customFormat="1" hidden="1" outlineLevel="2" x14ac:dyDescent="0.3">
      <c r="A29" s="28"/>
      <c r="B29" s="11" t="str">
        <f>CONCATENATE("          ", "6118", " - ", "VACATION")</f>
        <v xml:space="preserve">          6118 - VACATION</v>
      </c>
      <c r="C29" s="11"/>
      <c r="D29" s="6">
        <v>388.4</v>
      </c>
      <c r="E29" s="2"/>
      <c r="F29" s="7">
        <f t="shared" si="14"/>
        <v>7.5347512271129978E-3</v>
      </c>
      <c r="G29" s="2"/>
      <c r="H29" s="6"/>
      <c r="I29" s="2"/>
      <c r="J29" s="7">
        <f t="shared" si="15"/>
        <v>0</v>
      </c>
      <c r="K29" s="2"/>
      <c r="L29" s="6">
        <f t="shared" si="16"/>
        <v>388.4</v>
      </c>
      <c r="M29" s="2"/>
      <c r="N29" s="7">
        <f t="shared" si="17"/>
        <v>0</v>
      </c>
      <c r="O29" s="11"/>
      <c r="P29" s="6">
        <v>1961.59</v>
      </c>
      <c r="Q29" s="2"/>
      <c r="R29" s="7">
        <f t="shared" si="18"/>
        <v>7.3506324645170717E-3</v>
      </c>
      <c r="S29" s="2"/>
      <c r="T29" s="6"/>
      <c r="U29" s="2"/>
      <c r="V29" s="7">
        <f t="shared" si="19"/>
        <v>0</v>
      </c>
      <c r="W29" s="2"/>
      <c r="X29" s="6">
        <f t="shared" si="20"/>
        <v>1961.59</v>
      </c>
      <c r="Y29" s="2"/>
      <c r="Z29" s="7">
        <f t="shared" si="21"/>
        <v>0</v>
      </c>
    </row>
    <row r="30" spans="1:26" s="24" customFormat="1" hidden="1" outlineLevel="2" x14ac:dyDescent="0.3">
      <c r="A30" s="28"/>
      <c r="B30" s="11" t="str">
        <f>CONCATENATE("          ", "6119", " - ", "SICK LEAVE")</f>
        <v xml:space="preserve">          6119 - SICK LEAVE</v>
      </c>
      <c r="C30" s="11"/>
      <c r="D30" s="6">
        <v>465.33</v>
      </c>
      <c r="E30" s="2"/>
      <c r="F30" s="7">
        <f t="shared" si="14"/>
        <v>9.0271518756758276E-3</v>
      </c>
      <c r="G30" s="2"/>
      <c r="H30" s="6"/>
      <c r="I30" s="2"/>
      <c r="J30" s="7">
        <f t="shared" si="15"/>
        <v>0</v>
      </c>
      <c r="K30" s="2"/>
      <c r="L30" s="6">
        <f t="shared" si="16"/>
        <v>465.33</v>
      </c>
      <c r="M30" s="2"/>
      <c r="N30" s="7">
        <f t="shared" si="17"/>
        <v>0</v>
      </c>
      <c r="O30" s="11"/>
      <c r="P30" s="6">
        <v>2273.37</v>
      </c>
      <c r="Q30" s="2"/>
      <c r="R30" s="7">
        <f t="shared" si="18"/>
        <v>8.5189602954027985E-3</v>
      </c>
      <c r="S30" s="2"/>
      <c r="T30" s="6"/>
      <c r="U30" s="2"/>
      <c r="V30" s="7">
        <f t="shared" si="19"/>
        <v>0</v>
      </c>
      <c r="W30" s="2"/>
      <c r="X30" s="6">
        <f t="shared" si="20"/>
        <v>2273.37</v>
      </c>
      <c r="Y30" s="2"/>
      <c r="Z30" s="7">
        <f t="shared" si="21"/>
        <v>0</v>
      </c>
    </row>
    <row r="31" spans="1:26" s="24" customFormat="1" hidden="1" outlineLevel="2" x14ac:dyDescent="0.3">
      <c r="A31" s="28"/>
      <c r="B31" s="11" t="str">
        <f>CONCATENATE("          ", "6156", " - ", "EMPLOYEE MEALS")</f>
        <v xml:space="preserve">          6156 - EMPLOYEE MEALS</v>
      </c>
      <c r="C31" s="11"/>
      <c r="D31" s="6">
        <v>434.42</v>
      </c>
      <c r="E31" s="2"/>
      <c r="F31" s="7">
        <f t="shared" si="14"/>
        <v>8.4275144904284987E-3</v>
      </c>
      <c r="G31" s="2"/>
      <c r="H31" s="6"/>
      <c r="I31" s="2"/>
      <c r="J31" s="7">
        <f t="shared" si="15"/>
        <v>0</v>
      </c>
      <c r="K31" s="2"/>
      <c r="L31" s="6">
        <f t="shared" si="16"/>
        <v>434.42</v>
      </c>
      <c r="M31" s="2"/>
      <c r="N31" s="7">
        <f t="shared" si="17"/>
        <v>0</v>
      </c>
      <c r="O31" s="11"/>
      <c r="P31" s="6">
        <v>1900.63</v>
      </c>
      <c r="Q31" s="2"/>
      <c r="R31" s="7">
        <f t="shared" si="18"/>
        <v>7.1221981051264958E-3</v>
      </c>
      <c r="S31" s="2"/>
      <c r="T31" s="6"/>
      <c r="U31" s="2"/>
      <c r="V31" s="7">
        <f t="shared" si="19"/>
        <v>0</v>
      </c>
      <c r="W31" s="2"/>
      <c r="X31" s="6">
        <f t="shared" si="20"/>
        <v>1900.63</v>
      </c>
      <c r="Y31" s="2"/>
      <c r="Z31" s="7">
        <f t="shared" si="21"/>
        <v>0</v>
      </c>
    </row>
    <row r="32" spans="1:26" s="29" customFormat="1" outlineLevel="1" collapsed="1" x14ac:dyDescent="0.3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19572.45</v>
      </c>
      <c r="E32" s="1"/>
      <c r="F32" s="5">
        <f t="shared" ref="F32:F36" si="22">IF(D$12=0,0,D32/D$12)</f>
        <v>0.37969500941067919</v>
      </c>
      <c r="G32" s="1"/>
      <c r="H32" s="1">
        <f>SUM(OSRRefH22_1x_0)</f>
        <v>0</v>
      </c>
      <c r="I32" s="1"/>
      <c r="J32" s="5">
        <f t="shared" ref="J32:J36" si="23">IF(H$12=0,0,H32/H$12)</f>
        <v>0</v>
      </c>
      <c r="K32" s="1"/>
      <c r="L32" s="1">
        <f t="shared" ref="L32:L36" si="24">+D32-H32</f>
        <v>19572.45</v>
      </c>
      <c r="M32" s="1"/>
      <c r="N32" s="5">
        <f t="shared" ref="N32:N36" si="25">IF(H32=0,0,L32/H32)</f>
        <v>0</v>
      </c>
      <c r="O32" s="14"/>
      <c r="P32" s="1">
        <f>SUM(OSRRefP22_1x_0)</f>
        <v>103507.42</v>
      </c>
      <c r="Q32" s="1"/>
      <c r="R32" s="5">
        <f t="shared" ref="R32:R36" si="26">IF(P$12=0,0,P32/P$12)</f>
        <v>0.38787157447295495</v>
      </c>
      <c r="S32" s="1"/>
      <c r="T32" s="1">
        <f>SUM(OSRRefT22_1x_0)</f>
        <v>0</v>
      </c>
      <c r="U32" s="1"/>
      <c r="V32" s="5">
        <f t="shared" ref="V32:V36" si="27">IF(T$12=0,0,T32/T$12)</f>
        <v>0</v>
      </c>
      <c r="W32" s="1"/>
      <c r="X32" s="1">
        <f t="shared" ref="X32:X36" si="28">+P32-T32</f>
        <v>103507.42</v>
      </c>
      <c r="Y32" s="1"/>
      <c r="Z32" s="5">
        <f t="shared" ref="Z32:Z36" si="29">IF(T32=0,0,X32/T32)</f>
        <v>0</v>
      </c>
    </row>
    <row r="33" spans="1:26" s="24" customFormat="1" hidden="1" outlineLevel="2" x14ac:dyDescent="0.3">
      <c r="A33" s="28"/>
      <c r="B33" s="11" t="str">
        <f>CONCATENATE("          ", "6002", " - ", "STAFF SALARIES")</f>
        <v xml:space="preserve">          6002 - STAFF SALARIES</v>
      </c>
      <c r="C33" s="11"/>
      <c r="D33" s="6">
        <v>4846.16</v>
      </c>
      <c r="E33" s="2"/>
      <c r="F33" s="7">
        <f t="shared" si="22"/>
        <v>9.4012899090591989E-2</v>
      </c>
      <c r="G33" s="2"/>
      <c r="H33" s="6"/>
      <c r="I33" s="2"/>
      <c r="J33" s="7">
        <f t="shared" si="23"/>
        <v>0</v>
      </c>
      <c r="K33" s="2"/>
      <c r="L33" s="6">
        <f t="shared" si="24"/>
        <v>4846.16</v>
      </c>
      <c r="M33" s="2"/>
      <c r="N33" s="7">
        <f t="shared" si="25"/>
        <v>0</v>
      </c>
      <c r="O33" s="11"/>
      <c r="P33" s="6">
        <v>32038.48</v>
      </c>
      <c r="Q33" s="2"/>
      <c r="R33" s="7">
        <f t="shared" si="26"/>
        <v>0.12005724499094149</v>
      </c>
      <c r="S33" s="2"/>
      <c r="T33" s="6"/>
      <c r="U33" s="2"/>
      <c r="V33" s="7">
        <f t="shared" si="27"/>
        <v>0</v>
      </c>
      <c r="W33" s="2"/>
      <c r="X33" s="6">
        <f t="shared" si="28"/>
        <v>32038.48</v>
      </c>
      <c r="Y33" s="2"/>
      <c r="Z33" s="7">
        <f t="shared" si="29"/>
        <v>0</v>
      </c>
    </row>
    <row r="34" spans="1:26" s="24" customFormat="1" hidden="1" outlineLevel="2" x14ac:dyDescent="0.3">
      <c r="A34" s="28"/>
      <c r="B34" s="11" t="str">
        <f>CONCATENATE("          ", "6004", " - ", "STAFF HOURLY")</f>
        <v xml:space="preserve">          6004 - STAFF HOURLY</v>
      </c>
      <c r="C34" s="11"/>
      <c r="D34" s="6">
        <v>3669.9</v>
      </c>
      <c r="E34" s="2"/>
      <c r="F34" s="7">
        <f t="shared" si="22"/>
        <v>7.1194087354227581E-2</v>
      </c>
      <c r="G34" s="2"/>
      <c r="H34" s="6"/>
      <c r="I34" s="2"/>
      <c r="J34" s="7">
        <f t="shared" si="23"/>
        <v>0</v>
      </c>
      <c r="K34" s="2"/>
      <c r="L34" s="6">
        <f t="shared" si="24"/>
        <v>3669.9</v>
      </c>
      <c r="M34" s="2"/>
      <c r="N34" s="7">
        <f t="shared" si="25"/>
        <v>0</v>
      </c>
      <c r="O34" s="11"/>
      <c r="P34" s="6">
        <v>11078.73</v>
      </c>
      <c r="Q34" s="2"/>
      <c r="R34" s="7">
        <f t="shared" si="26"/>
        <v>4.1515134357138453E-2</v>
      </c>
      <c r="S34" s="2"/>
      <c r="T34" s="6"/>
      <c r="U34" s="2"/>
      <c r="V34" s="7">
        <f t="shared" si="27"/>
        <v>0</v>
      </c>
      <c r="W34" s="2"/>
      <c r="X34" s="6">
        <f t="shared" si="28"/>
        <v>11078.73</v>
      </c>
      <c r="Y34" s="2"/>
      <c r="Z34" s="7">
        <f t="shared" si="29"/>
        <v>0</v>
      </c>
    </row>
    <row r="35" spans="1:26" s="24" customFormat="1" hidden="1" outlineLevel="2" x14ac:dyDescent="0.3">
      <c r="A35" s="28"/>
      <c r="B35" s="11" t="str">
        <f>CONCATENATE("          ", "6005", " - ", "TEMPORARY WAGES-HOURLY")</f>
        <v xml:space="preserve">          6005 - TEMPORARY WAGES-HOURLY</v>
      </c>
      <c r="C35" s="11"/>
      <c r="D35" s="6">
        <v>2434.35</v>
      </c>
      <c r="E35" s="2"/>
      <c r="F35" s="7">
        <f t="shared" si="22"/>
        <v>4.7225081487442137E-2</v>
      </c>
      <c r="G35" s="2"/>
      <c r="H35" s="6"/>
      <c r="I35" s="2"/>
      <c r="J35" s="7">
        <f t="shared" si="23"/>
        <v>0</v>
      </c>
      <c r="K35" s="2"/>
      <c r="L35" s="6">
        <f t="shared" si="24"/>
        <v>2434.35</v>
      </c>
      <c r="M35" s="2"/>
      <c r="N35" s="7">
        <f t="shared" si="25"/>
        <v>0</v>
      </c>
      <c r="O35" s="11"/>
      <c r="P35" s="6">
        <v>11966.15</v>
      </c>
      <c r="Q35" s="2"/>
      <c r="R35" s="7">
        <f t="shared" si="26"/>
        <v>4.4840548058096216E-2</v>
      </c>
      <c r="S35" s="2"/>
      <c r="T35" s="6"/>
      <c r="U35" s="2"/>
      <c r="V35" s="7">
        <f t="shared" si="27"/>
        <v>0</v>
      </c>
      <c r="W35" s="2"/>
      <c r="X35" s="6">
        <f t="shared" si="28"/>
        <v>11966.15</v>
      </c>
      <c r="Y35" s="2"/>
      <c r="Z35" s="7">
        <f t="shared" si="29"/>
        <v>0</v>
      </c>
    </row>
    <row r="36" spans="1:26" s="24" customFormat="1" hidden="1" outlineLevel="2" x14ac:dyDescent="0.3">
      <c r="A36" s="28"/>
      <c r="B36" s="11" t="str">
        <f>CONCATENATE("          ", "6007", " - ", "STUDENT HOURLY")</f>
        <v xml:space="preserve">          6007 - STUDENT HOURLY</v>
      </c>
      <c r="C36" s="11"/>
      <c r="D36" s="6">
        <v>8622.0400000000009</v>
      </c>
      <c r="E36" s="2"/>
      <c r="F36" s="7">
        <f t="shared" si="22"/>
        <v>0.1672629414784175</v>
      </c>
      <c r="G36" s="2"/>
      <c r="H36" s="6"/>
      <c r="I36" s="2"/>
      <c r="J36" s="7">
        <f t="shared" si="23"/>
        <v>0</v>
      </c>
      <c r="K36" s="2"/>
      <c r="L36" s="6">
        <f t="shared" si="24"/>
        <v>8622.0400000000009</v>
      </c>
      <c r="M36" s="2"/>
      <c r="N36" s="7">
        <f t="shared" si="25"/>
        <v>0</v>
      </c>
      <c r="O36" s="11"/>
      <c r="P36" s="6">
        <v>48424.06</v>
      </c>
      <c r="Q36" s="2"/>
      <c r="R36" s="7">
        <f t="shared" si="26"/>
        <v>0.18145864706677875</v>
      </c>
      <c r="S36" s="2"/>
      <c r="T36" s="6"/>
      <c r="U36" s="2"/>
      <c r="V36" s="7">
        <f t="shared" si="27"/>
        <v>0</v>
      </c>
      <c r="W36" s="2"/>
      <c r="X36" s="6">
        <f t="shared" si="28"/>
        <v>48424.06</v>
      </c>
      <c r="Y36" s="2"/>
      <c r="Z36" s="7">
        <f t="shared" si="29"/>
        <v>0</v>
      </c>
    </row>
    <row r="37" spans="1:26" s="29" customFormat="1" outlineLevel="1" collapsed="1" x14ac:dyDescent="0.3">
      <c r="A37" s="27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0</v>
      </c>
      <c r="E37" s="1"/>
      <c r="F37" s="5">
        <f t="shared" ref="F37:F45" si="30">IF(D$12=0,0,D37/D$12)</f>
        <v>0</v>
      </c>
      <c r="G37" s="1"/>
      <c r="H37" s="1">
        <f>SUM(OSRRefH22_2x_0)</f>
        <v>0</v>
      </c>
      <c r="I37" s="1"/>
      <c r="J37" s="5">
        <f t="shared" ref="J37:J45" si="31">IF(H$12=0,0,H37/H$12)</f>
        <v>0</v>
      </c>
      <c r="K37" s="1"/>
      <c r="L37" s="1">
        <f t="shared" ref="L37:L45" si="32">+D37-H37</f>
        <v>0</v>
      </c>
      <c r="M37" s="1"/>
      <c r="N37" s="5">
        <f t="shared" ref="N37:N45" si="33">IF(H37=0,0,L37/H37)</f>
        <v>0</v>
      </c>
      <c r="O37" s="14"/>
      <c r="P37" s="1">
        <f>SUM(OSRRefP22_2x_0)</f>
        <v>218.26</v>
      </c>
      <c r="Q37" s="1"/>
      <c r="R37" s="5">
        <f t="shared" ref="R37:R45" si="34">IF(P$12=0,0,P37/P$12)</f>
        <v>8.1788194357918637E-4</v>
      </c>
      <c r="S37" s="1"/>
      <c r="T37" s="1">
        <f>SUM(OSRRefT22_2x_0)</f>
        <v>0</v>
      </c>
      <c r="U37" s="1"/>
      <c r="V37" s="5">
        <f t="shared" ref="V37:V45" si="35">IF(T$12=0,0,T37/T$12)</f>
        <v>0</v>
      </c>
      <c r="W37" s="1"/>
      <c r="X37" s="1">
        <f t="shared" ref="X37:X45" si="36">+P37-T37</f>
        <v>218.26</v>
      </c>
      <c r="Y37" s="1"/>
      <c r="Z37" s="5">
        <f t="shared" ref="Z37:Z45" si="37">IF(T37=0,0,X37/T37)</f>
        <v>0</v>
      </c>
    </row>
    <row r="38" spans="1:26" s="24" customFormat="1" hidden="1" outlineLevel="2" x14ac:dyDescent="0.3">
      <c r="A38" s="28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30"/>
        <v>0</v>
      </c>
      <c r="G38" s="2"/>
      <c r="H38" s="6"/>
      <c r="I38" s="2"/>
      <c r="J38" s="7">
        <f t="shared" si="31"/>
        <v>0</v>
      </c>
      <c r="K38" s="2"/>
      <c r="L38" s="6">
        <f t="shared" si="32"/>
        <v>0</v>
      </c>
      <c r="M38" s="2"/>
      <c r="N38" s="7">
        <f t="shared" si="33"/>
        <v>0</v>
      </c>
      <c r="O38" s="11"/>
      <c r="P38" s="6">
        <v>218.26</v>
      </c>
      <c r="Q38" s="2"/>
      <c r="R38" s="7">
        <f t="shared" si="34"/>
        <v>8.1788194357918637E-4</v>
      </c>
      <c r="S38" s="2"/>
      <c r="T38" s="6"/>
      <c r="U38" s="2"/>
      <c r="V38" s="7">
        <f t="shared" si="35"/>
        <v>0</v>
      </c>
      <c r="W38" s="2"/>
      <c r="X38" s="6">
        <f t="shared" si="36"/>
        <v>218.26</v>
      </c>
      <c r="Y38" s="2"/>
      <c r="Z38" s="7">
        <f t="shared" si="37"/>
        <v>0</v>
      </c>
    </row>
    <row r="39" spans="1:26" s="29" customFormat="1" outlineLevel="1" collapsed="1" x14ac:dyDescent="0.3">
      <c r="A39" s="27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-3.9</v>
      </c>
      <c r="E39" s="1"/>
      <c r="F39" s="5">
        <f t="shared" si="30"/>
        <v>-7.5657903670805081E-5</v>
      </c>
      <c r="G39" s="1"/>
      <c r="H39" s="1">
        <f>SUM(OSRRefH22_3x_0)</f>
        <v>0</v>
      </c>
      <c r="I39" s="1"/>
      <c r="J39" s="5">
        <f t="shared" si="31"/>
        <v>0</v>
      </c>
      <c r="K39" s="1"/>
      <c r="L39" s="1">
        <f t="shared" si="32"/>
        <v>-3.9</v>
      </c>
      <c r="M39" s="1"/>
      <c r="N39" s="5">
        <f t="shared" si="33"/>
        <v>0</v>
      </c>
      <c r="O39" s="14"/>
      <c r="P39" s="1">
        <f>SUM(OSRRefP22_3x_0)</f>
        <v>-82.66</v>
      </c>
      <c r="Q39" s="1"/>
      <c r="R39" s="5">
        <f t="shared" si="34"/>
        <v>-3.0975039611589634E-4</v>
      </c>
      <c r="S39" s="1"/>
      <c r="T39" s="1">
        <f>SUM(OSRRefT22_3x_0)</f>
        <v>0</v>
      </c>
      <c r="U39" s="1"/>
      <c r="V39" s="5">
        <f t="shared" si="35"/>
        <v>0</v>
      </c>
      <c r="W39" s="1"/>
      <c r="X39" s="1">
        <f t="shared" si="36"/>
        <v>-82.66</v>
      </c>
      <c r="Y39" s="1"/>
      <c r="Z39" s="5">
        <f t="shared" si="37"/>
        <v>0</v>
      </c>
    </row>
    <row r="40" spans="1:26" s="24" customFormat="1" hidden="1" outlineLevel="2" x14ac:dyDescent="0.3">
      <c r="A40" s="28"/>
      <c r="B40" s="11" t="str">
        <f>CONCATENATE("          ", "6272", " - ", "CASH (OVER/SHORT)")</f>
        <v xml:space="preserve">          6272 - CASH (OVER/SHORT)</v>
      </c>
      <c r="C40" s="11"/>
      <c r="D40" s="6">
        <v>-3.9</v>
      </c>
      <c r="E40" s="2"/>
      <c r="F40" s="7">
        <f t="shared" si="30"/>
        <v>-7.5657903670805081E-5</v>
      </c>
      <c r="G40" s="2"/>
      <c r="H40" s="6"/>
      <c r="I40" s="2"/>
      <c r="J40" s="7">
        <f t="shared" si="31"/>
        <v>0</v>
      </c>
      <c r="K40" s="2"/>
      <c r="L40" s="6">
        <f t="shared" si="32"/>
        <v>-3.9</v>
      </c>
      <c r="M40" s="2"/>
      <c r="N40" s="7">
        <f t="shared" si="33"/>
        <v>0</v>
      </c>
      <c r="O40" s="11"/>
      <c r="P40" s="6">
        <v>-82.66</v>
      </c>
      <c r="Q40" s="2"/>
      <c r="R40" s="7">
        <f t="shared" si="34"/>
        <v>-3.0975039611589634E-4</v>
      </c>
      <c r="S40" s="2"/>
      <c r="T40" s="6"/>
      <c r="U40" s="2"/>
      <c r="V40" s="7">
        <f t="shared" si="35"/>
        <v>0</v>
      </c>
      <c r="W40" s="2"/>
      <c r="X40" s="6">
        <f t="shared" si="36"/>
        <v>-82.66</v>
      </c>
      <c r="Y40" s="2"/>
      <c r="Z40" s="7">
        <f t="shared" si="37"/>
        <v>0</v>
      </c>
    </row>
    <row r="41" spans="1:26" s="29" customFormat="1" outlineLevel="1" collapsed="1" x14ac:dyDescent="0.3">
      <c r="A41" s="27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1667.49</v>
      </c>
      <c r="E41" s="1"/>
      <c r="F41" s="5">
        <f t="shared" si="30"/>
        <v>3.2348409690264299E-2</v>
      </c>
      <c r="G41" s="1"/>
      <c r="H41" s="1">
        <f>SUM(OSRRefH22_4x_0)</f>
        <v>0</v>
      </c>
      <c r="I41" s="1"/>
      <c r="J41" s="5">
        <f t="shared" si="31"/>
        <v>0</v>
      </c>
      <c r="K41" s="1"/>
      <c r="L41" s="1">
        <f t="shared" si="32"/>
        <v>1667.49</v>
      </c>
      <c r="M41" s="1"/>
      <c r="N41" s="5">
        <f t="shared" si="33"/>
        <v>0</v>
      </c>
      <c r="O41" s="14"/>
      <c r="P41" s="1">
        <f>SUM(OSRRefP22_4x_0)</f>
        <v>9714.69</v>
      </c>
      <c r="Q41" s="1"/>
      <c r="R41" s="5">
        <f t="shared" si="34"/>
        <v>3.6403690728806407E-2</v>
      </c>
      <c r="S41" s="1"/>
      <c r="T41" s="1">
        <f>SUM(OSRRefT22_4x_0)</f>
        <v>0</v>
      </c>
      <c r="U41" s="1"/>
      <c r="V41" s="5">
        <f t="shared" si="35"/>
        <v>0</v>
      </c>
      <c r="W41" s="1"/>
      <c r="X41" s="1">
        <f t="shared" si="36"/>
        <v>9714.69</v>
      </c>
      <c r="Y41" s="1"/>
      <c r="Z41" s="5">
        <f t="shared" si="37"/>
        <v>0</v>
      </c>
    </row>
    <row r="42" spans="1:26" s="24" customFormat="1" hidden="1" outlineLevel="2" x14ac:dyDescent="0.3">
      <c r="A42" s="28"/>
      <c r="B42" s="11" t="str">
        <f>CONCATENATE("          ", "6381", " - ", "BANK/CREDIT CARD FEES")</f>
        <v xml:space="preserve">          6381 - BANK/CREDIT CARD FEES</v>
      </c>
      <c r="C42" s="11"/>
      <c r="D42" s="6">
        <v>1667.49</v>
      </c>
      <c r="E42" s="2"/>
      <c r="F42" s="7">
        <f t="shared" si="30"/>
        <v>3.2348409690264299E-2</v>
      </c>
      <c r="G42" s="2"/>
      <c r="H42" s="6"/>
      <c r="I42" s="2"/>
      <c r="J42" s="7">
        <f t="shared" si="31"/>
        <v>0</v>
      </c>
      <c r="K42" s="2"/>
      <c r="L42" s="6">
        <f t="shared" si="32"/>
        <v>1667.49</v>
      </c>
      <c r="M42" s="2"/>
      <c r="N42" s="7">
        <f t="shared" si="33"/>
        <v>0</v>
      </c>
      <c r="O42" s="11"/>
      <c r="P42" s="6">
        <v>9714.69</v>
      </c>
      <c r="Q42" s="2"/>
      <c r="R42" s="7">
        <f t="shared" si="34"/>
        <v>3.6403690728806407E-2</v>
      </c>
      <c r="S42" s="2"/>
      <c r="T42" s="6"/>
      <c r="U42" s="2"/>
      <c r="V42" s="7">
        <f t="shared" si="35"/>
        <v>0</v>
      </c>
      <c r="W42" s="2"/>
      <c r="X42" s="6">
        <f t="shared" si="36"/>
        <v>9714.69</v>
      </c>
      <c r="Y42" s="2"/>
      <c r="Z42" s="7">
        <f t="shared" si="37"/>
        <v>0</v>
      </c>
    </row>
    <row r="43" spans="1:26" s="29" customFormat="1" outlineLevel="1" collapsed="1" x14ac:dyDescent="0.3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4626.5</v>
      </c>
      <c r="E43" s="1"/>
      <c r="F43" s="5">
        <f t="shared" si="30"/>
        <v>8.9751613162302485E-2</v>
      </c>
      <c r="G43" s="1"/>
      <c r="H43" s="1">
        <f>SUM(OSRRefH22_5x_0)</f>
        <v>5233.01</v>
      </c>
      <c r="I43" s="1"/>
      <c r="J43" s="5">
        <f t="shared" si="31"/>
        <v>0</v>
      </c>
      <c r="K43" s="1"/>
      <c r="L43" s="1">
        <f t="shared" si="32"/>
        <v>-606.51000000000022</v>
      </c>
      <c r="M43" s="1"/>
      <c r="N43" s="5">
        <f t="shared" si="33"/>
        <v>-0.11590079132277603</v>
      </c>
      <c r="O43" s="14"/>
      <c r="P43" s="1">
        <f>SUM(OSRRefP22_5x_0)</f>
        <v>27759</v>
      </c>
      <c r="Q43" s="1"/>
      <c r="R43" s="5">
        <f t="shared" si="34"/>
        <v>0.10402082320083678</v>
      </c>
      <c r="S43" s="1"/>
      <c r="T43" s="1">
        <f>SUM(OSRRefT22_5x_0)</f>
        <v>31689.18</v>
      </c>
      <c r="U43" s="1"/>
      <c r="V43" s="5">
        <f t="shared" si="35"/>
        <v>0</v>
      </c>
      <c r="W43" s="1"/>
      <c r="X43" s="1">
        <f t="shared" si="36"/>
        <v>-3930.1800000000003</v>
      </c>
      <c r="Y43" s="1"/>
      <c r="Z43" s="5">
        <f t="shared" si="37"/>
        <v>-0.12402277370383204</v>
      </c>
    </row>
    <row r="44" spans="1:26" s="24" customFormat="1" hidden="1" outlineLevel="2" x14ac:dyDescent="0.3">
      <c r="A44" s="28"/>
      <c r="B44" s="11" t="str">
        <f>CONCATENATE("          ", "6321", " - ", "BUILDING DEPRECIATION")</f>
        <v xml:space="preserve">          6321 - BUILDING DEPRECIATION</v>
      </c>
      <c r="C44" s="11"/>
      <c r="D44" s="6">
        <v>4626.5</v>
      </c>
      <c r="E44" s="2"/>
      <c r="F44" s="7">
        <f t="shared" si="30"/>
        <v>8.9751613162302485E-2</v>
      </c>
      <c r="G44" s="2"/>
      <c r="H44" s="6">
        <v>4626.5</v>
      </c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>
        <v>27759</v>
      </c>
      <c r="Q44" s="2"/>
      <c r="R44" s="7">
        <f t="shared" si="34"/>
        <v>0.10402082320083678</v>
      </c>
      <c r="S44" s="2"/>
      <c r="T44" s="6">
        <v>27759</v>
      </c>
      <c r="U44" s="2"/>
      <c r="V44" s="7">
        <f t="shared" si="35"/>
        <v>0</v>
      </c>
      <c r="W44" s="2"/>
      <c r="X44" s="6">
        <f t="shared" si="36"/>
        <v>0</v>
      </c>
      <c r="Y44" s="2"/>
      <c r="Z44" s="7">
        <f t="shared" si="37"/>
        <v>0</v>
      </c>
    </row>
    <row r="45" spans="1:26" s="24" customFormat="1" hidden="1" outlineLevel="2" x14ac:dyDescent="0.3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6"/>
      <c r="E45" s="2"/>
      <c r="F45" s="7">
        <f t="shared" si="30"/>
        <v>0</v>
      </c>
      <c r="G45" s="2"/>
      <c r="H45" s="6">
        <v>606.51</v>
      </c>
      <c r="I45" s="2"/>
      <c r="J45" s="7">
        <f t="shared" si="31"/>
        <v>0</v>
      </c>
      <c r="K45" s="2"/>
      <c r="L45" s="6">
        <f t="shared" si="32"/>
        <v>-606.51</v>
      </c>
      <c r="M45" s="2"/>
      <c r="N45" s="7">
        <f t="shared" si="33"/>
        <v>-1</v>
      </c>
      <c r="O45" s="11"/>
      <c r="P45" s="6"/>
      <c r="Q45" s="2"/>
      <c r="R45" s="7">
        <f t="shared" si="34"/>
        <v>0</v>
      </c>
      <c r="S45" s="2"/>
      <c r="T45" s="6">
        <v>3930.18</v>
      </c>
      <c r="U45" s="2"/>
      <c r="V45" s="7">
        <f t="shared" si="35"/>
        <v>0</v>
      </c>
      <c r="W45" s="2"/>
      <c r="X45" s="6">
        <f t="shared" si="36"/>
        <v>-3930.18</v>
      </c>
      <c r="Y45" s="2"/>
      <c r="Z45" s="7">
        <f t="shared" si="37"/>
        <v>-1</v>
      </c>
    </row>
    <row r="46" spans="1:26" s="29" customFormat="1" outlineLevel="1" collapsed="1" x14ac:dyDescent="0.3">
      <c r="A46" s="27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SUM(OSRRefD22_6x_0)</f>
        <v>173.7</v>
      </c>
      <c r="E46" s="1"/>
      <c r="F46" s="5">
        <f t="shared" ref="F46:F56" si="38">IF(D$12=0,0,D46/D$12)</f>
        <v>3.3696866327227798E-3</v>
      </c>
      <c r="G46" s="1"/>
      <c r="H46" s="1">
        <f>SUM(OSRRefH22_6x_0)</f>
        <v>0</v>
      </c>
      <c r="I46" s="1"/>
      <c r="J46" s="5">
        <f t="shared" ref="J46:J56" si="39">IF(H$12=0,0,H46/H$12)</f>
        <v>0</v>
      </c>
      <c r="K46" s="1"/>
      <c r="L46" s="1">
        <f t="shared" ref="L46:L56" si="40">+D46-H46</f>
        <v>173.7</v>
      </c>
      <c r="M46" s="1"/>
      <c r="N46" s="5">
        <f t="shared" ref="N46:N56" si="41">IF(H46=0,0,L46/H46)</f>
        <v>0</v>
      </c>
      <c r="O46" s="14"/>
      <c r="P46" s="1">
        <f>SUM(OSRRefP22_6x_0)</f>
        <v>246.92</v>
      </c>
      <c r="Q46" s="1"/>
      <c r="R46" s="5">
        <f t="shared" ref="R46:R56" si="42">IF(P$12=0,0,P46/P$12)</f>
        <v>9.2527906858138318E-4</v>
      </c>
      <c r="S46" s="1"/>
      <c r="T46" s="1">
        <f>SUM(OSRRefT22_6x_0)</f>
        <v>0</v>
      </c>
      <c r="U46" s="1"/>
      <c r="V46" s="5">
        <f t="shared" ref="V46:V56" si="43">IF(T$12=0,0,T46/T$12)</f>
        <v>0</v>
      </c>
      <c r="W46" s="1"/>
      <c r="X46" s="1">
        <f t="shared" ref="X46:X56" si="44">+P46-T46</f>
        <v>246.92</v>
      </c>
      <c r="Y46" s="1"/>
      <c r="Z46" s="5">
        <f t="shared" ref="Z46:Z56" si="45">IF(T46=0,0,X46/T46)</f>
        <v>0</v>
      </c>
    </row>
    <row r="47" spans="1:26" s="24" customFormat="1" hidden="1" outlineLevel="2" x14ac:dyDescent="0.3">
      <c r="A47" s="28"/>
      <c r="B47" s="11" t="str">
        <f>CONCATENATE("          ", "6277", " - ", "EMPLOYEE APPRECIATION")</f>
        <v xml:space="preserve">          6277 - EMPLOYEE APPRECIATION</v>
      </c>
      <c r="C47" s="11"/>
      <c r="D47" s="6">
        <v>173.7</v>
      </c>
      <c r="E47" s="2"/>
      <c r="F47" s="7">
        <f t="shared" si="38"/>
        <v>3.3696866327227798E-3</v>
      </c>
      <c r="G47" s="2"/>
      <c r="H47" s="6"/>
      <c r="I47" s="2"/>
      <c r="J47" s="7">
        <f t="shared" si="39"/>
        <v>0</v>
      </c>
      <c r="K47" s="2"/>
      <c r="L47" s="6">
        <f t="shared" si="40"/>
        <v>173.7</v>
      </c>
      <c r="M47" s="2"/>
      <c r="N47" s="7">
        <f t="shared" si="41"/>
        <v>0</v>
      </c>
      <c r="O47" s="11"/>
      <c r="P47" s="6">
        <v>246.92</v>
      </c>
      <c r="Q47" s="2"/>
      <c r="R47" s="7">
        <f t="shared" si="42"/>
        <v>9.2527906858138318E-4</v>
      </c>
      <c r="S47" s="2"/>
      <c r="T47" s="6"/>
      <c r="U47" s="2"/>
      <c r="V47" s="7">
        <f t="shared" si="43"/>
        <v>0</v>
      </c>
      <c r="W47" s="2"/>
      <c r="X47" s="6">
        <f t="shared" si="44"/>
        <v>246.92</v>
      </c>
      <c r="Y47" s="2"/>
      <c r="Z47" s="7">
        <f t="shared" si="45"/>
        <v>0</v>
      </c>
    </row>
    <row r="48" spans="1:26" s="29" customFormat="1" outlineLevel="1" collapsed="1" x14ac:dyDescent="0.3">
      <c r="A48" s="27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SUM(OSRRefD22_7x_0)</f>
        <v>0</v>
      </c>
      <c r="E48" s="1"/>
      <c r="F48" s="5">
        <f t="shared" si="38"/>
        <v>0</v>
      </c>
      <c r="G48" s="1"/>
      <c r="H48" s="1">
        <f>SUM(OSRRefH22_7x_0)</f>
        <v>0</v>
      </c>
      <c r="I48" s="1"/>
      <c r="J48" s="5">
        <f t="shared" si="39"/>
        <v>0</v>
      </c>
      <c r="K48" s="1"/>
      <c r="L48" s="1">
        <f t="shared" si="40"/>
        <v>0</v>
      </c>
      <c r="M48" s="1"/>
      <c r="N48" s="5">
        <f t="shared" si="41"/>
        <v>0</v>
      </c>
      <c r="O48" s="14"/>
      <c r="P48" s="1">
        <f>SUM(OSRRefP22_7x_0)</f>
        <v>0</v>
      </c>
      <c r="Q48" s="1"/>
      <c r="R48" s="5">
        <f t="shared" si="42"/>
        <v>0</v>
      </c>
      <c r="S48" s="1"/>
      <c r="T48" s="1">
        <f>SUM(OSRRefT22_7x_0)</f>
        <v>96.3</v>
      </c>
      <c r="U48" s="1"/>
      <c r="V48" s="5">
        <f t="shared" si="43"/>
        <v>0</v>
      </c>
      <c r="W48" s="1"/>
      <c r="X48" s="1">
        <f t="shared" si="44"/>
        <v>-96.3</v>
      </c>
      <c r="Y48" s="1"/>
      <c r="Z48" s="5">
        <f t="shared" si="45"/>
        <v>-1</v>
      </c>
    </row>
    <row r="49" spans="1:26" s="24" customFormat="1" hidden="1" outlineLevel="2" x14ac:dyDescent="0.3">
      <c r="A49" s="28"/>
      <c r="B49" s="11" t="str">
        <f>CONCATENATE("          ", "6351", " - ", "EQUIPMENT RENTAL")</f>
        <v xml:space="preserve">          6351 - EQUIPMENT RENTAL</v>
      </c>
      <c r="C49" s="11"/>
      <c r="D49" s="6"/>
      <c r="E49" s="2"/>
      <c r="F49" s="7">
        <f t="shared" si="38"/>
        <v>0</v>
      </c>
      <c r="G49" s="2"/>
      <c r="H49" s="6"/>
      <c r="I49" s="2"/>
      <c r="J49" s="7">
        <f t="shared" si="39"/>
        <v>0</v>
      </c>
      <c r="K49" s="2"/>
      <c r="L49" s="6">
        <f t="shared" si="40"/>
        <v>0</v>
      </c>
      <c r="M49" s="2"/>
      <c r="N49" s="7">
        <f t="shared" si="41"/>
        <v>0</v>
      </c>
      <c r="O49" s="11"/>
      <c r="P49" s="6"/>
      <c r="Q49" s="2"/>
      <c r="R49" s="7">
        <f t="shared" si="42"/>
        <v>0</v>
      </c>
      <c r="S49" s="2"/>
      <c r="T49" s="6">
        <v>96.3</v>
      </c>
      <c r="U49" s="2"/>
      <c r="V49" s="7">
        <f t="shared" si="43"/>
        <v>0</v>
      </c>
      <c r="W49" s="2"/>
      <c r="X49" s="6">
        <f t="shared" si="44"/>
        <v>-96.3</v>
      </c>
      <c r="Y49" s="2"/>
      <c r="Z49" s="7">
        <f t="shared" si="45"/>
        <v>-1</v>
      </c>
    </row>
    <row r="50" spans="1:26" s="29" customFormat="1" outlineLevel="1" collapsed="1" x14ac:dyDescent="0.3">
      <c r="A50" s="27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SUM(OSRRefD22_8x_0)</f>
        <v>6</v>
      </c>
      <c r="E50" s="1"/>
      <c r="F50" s="5">
        <f t="shared" si="38"/>
        <v>1.1639677487816166E-4</v>
      </c>
      <c r="G50" s="1"/>
      <c r="H50" s="1">
        <f>SUM(OSRRefH22_8x_0)</f>
        <v>0</v>
      </c>
      <c r="I50" s="1"/>
      <c r="J50" s="5">
        <f t="shared" si="39"/>
        <v>0</v>
      </c>
      <c r="K50" s="1"/>
      <c r="L50" s="1">
        <f t="shared" si="40"/>
        <v>6</v>
      </c>
      <c r="M50" s="1"/>
      <c r="N50" s="5">
        <f t="shared" si="41"/>
        <v>0</v>
      </c>
      <c r="O50" s="14"/>
      <c r="P50" s="1">
        <f>SUM(OSRRefP22_8x_0)</f>
        <v>1893.3</v>
      </c>
      <c r="Q50" s="1"/>
      <c r="R50" s="5">
        <f t="shared" si="42"/>
        <v>7.0947305222142099E-3</v>
      </c>
      <c r="S50" s="1"/>
      <c r="T50" s="1">
        <f>SUM(OSRRefT22_8x_0)</f>
        <v>0</v>
      </c>
      <c r="U50" s="1"/>
      <c r="V50" s="5">
        <f t="shared" si="43"/>
        <v>0</v>
      </c>
      <c r="W50" s="1"/>
      <c r="X50" s="1">
        <f t="shared" si="44"/>
        <v>1893.3</v>
      </c>
      <c r="Y50" s="1"/>
      <c r="Z50" s="5">
        <f t="shared" si="45"/>
        <v>0</v>
      </c>
    </row>
    <row r="51" spans="1:26" s="24" customFormat="1" hidden="1" outlineLevel="2" x14ac:dyDescent="0.3">
      <c r="A51" s="28"/>
      <c r="B51" s="11" t="str">
        <f>CONCATENATE("          ", "6279", " - ", "GENERAL EXPENSE")</f>
        <v xml:space="preserve">          6279 - GENERAL EXPENSE</v>
      </c>
      <c r="C51" s="11"/>
      <c r="D51" s="6">
        <v>6</v>
      </c>
      <c r="E51" s="2"/>
      <c r="F51" s="7">
        <f t="shared" si="38"/>
        <v>1.1639677487816166E-4</v>
      </c>
      <c r="G51" s="2"/>
      <c r="H51" s="6"/>
      <c r="I51" s="2"/>
      <c r="J51" s="7">
        <f t="shared" si="39"/>
        <v>0</v>
      </c>
      <c r="K51" s="2"/>
      <c r="L51" s="6">
        <f t="shared" si="40"/>
        <v>6</v>
      </c>
      <c r="M51" s="2"/>
      <c r="N51" s="7">
        <f t="shared" si="41"/>
        <v>0</v>
      </c>
      <c r="O51" s="11"/>
      <c r="P51" s="6">
        <v>1893.3</v>
      </c>
      <c r="Q51" s="2"/>
      <c r="R51" s="7">
        <f t="shared" si="42"/>
        <v>7.0947305222142099E-3</v>
      </c>
      <c r="S51" s="2"/>
      <c r="T51" s="6">
        <v>0</v>
      </c>
      <c r="U51" s="2"/>
      <c r="V51" s="7">
        <f t="shared" si="43"/>
        <v>0</v>
      </c>
      <c r="W51" s="2"/>
      <c r="X51" s="6">
        <f t="shared" si="44"/>
        <v>1893.3</v>
      </c>
      <c r="Y51" s="2"/>
      <c r="Z51" s="7">
        <f t="shared" si="45"/>
        <v>0</v>
      </c>
    </row>
    <row r="52" spans="1:26" s="29" customFormat="1" outlineLevel="1" collapsed="1" x14ac:dyDescent="0.3">
      <c r="A52" s="27"/>
      <c r="B52" s="14" t="str">
        <f>CONCATENATE("     ","Rent                                              ")</f>
        <v xml:space="preserve">     Rent                                              </v>
      </c>
      <c r="C52" s="14"/>
      <c r="D52" s="1">
        <f>SUM(OSRRefD22_9x_0)</f>
        <v>1850</v>
      </c>
      <c r="E52" s="1"/>
      <c r="F52" s="5">
        <f t="shared" si="38"/>
        <v>3.588900558743318E-2</v>
      </c>
      <c r="G52" s="1"/>
      <c r="H52" s="1">
        <f>SUM(OSRRefH22_9x_0)</f>
        <v>5550</v>
      </c>
      <c r="I52" s="1"/>
      <c r="J52" s="5">
        <f t="shared" si="39"/>
        <v>0</v>
      </c>
      <c r="K52" s="1"/>
      <c r="L52" s="1">
        <f t="shared" si="40"/>
        <v>-3700</v>
      </c>
      <c r="M52" s="1"/>
      <c r="N52" s="5">
        <f t="shared" si="41"/>
        <v>-0.66666666666666663</v>
      </c>
      <c r="O52" s="14"/>
      <c r="P52" s="1">
        <f>SUM(OSRRefP22_9x_0)</f>
        <v>11100</v>
      </c>
      <c r="Q52" s="1"/>
      <c r="R52" s="5">
        <f t="shared" si="42"/>
        <v>4.1594839062260462E-2</v>
      </c>
      <c r="S52" s="1"/>
      <c r="T52" s="1">
        <f>SUM(OSRRefT22_9x_0)</f>
        <v>11100</v>
      </c>
      <c r="U52" s="1"/>
      <c r="V52" s="5">
        <f t="shared" si="43"/>
        <v>0</v>
      </c>
      <c r="W52" s="1"/>
      <c r="X52" s="1">
        <f t="shared" si="44"/>
        <v>0</v>
      </c>
      <c r="Y52" s="1"/>
      <c r="Z52" s="5">
        <f t="shared" si="45"/>
        <v>0</v>
      </c>
    </row>
    <row r="53" spans="1:26" s="24" customFormat="1" hidden="1" outlineLevel="2" x14ac:dyDescent="0.3">
      <c r="A53" s="28"/>
      <c r="B53" s="11" t="str">
        <f>CONCATENATE("          ", "6273", " - ", "RENT")</f>
        <v xml:space="preserve">          6273 - RENT</v>
      </c>
      <c r="C53" s="11"/>
      <c r="D53" s="6">
        <v>1850</v>
      </c>
      <c r="E53" s="2"/>
      <c r="F53" s="7">
        <f t="shared" si="38"/>
        <v>3.588900558743318E-2</v>
      </c>
      <c r="G53" s="2"/>
      <c r="H53" s="6">
        <v>5550</v>
      </c>
      <c r="I53" s="2"/>
      <c r="J53" s="7">
        <f t="shared" si="39"/>
        <v>0</v>
      </c>
      <c r="K53" s="2"/>
      <c r="L53" s="6">
        <f t="shared" si="40"/>
        <v>-3700</v>
      </c>
      <c r="M53" s="2"/>
      <c r="N53" s="7">
        <f t="shared" si="41"/>
        <v>-0.66666666666666663</v>
      </c>
      <c r="O53" s="11"/>
      <c r="P53" s="6">
        <v>11100</v>
      </c>
      <c r="Q53" s="2"/>
      <c r="R53" s="7">
        <f t="shared" si="42"/>
        <v>4.1594839062260462E-2</v>
      </c>
      <c r="S53" s="2"/>
      <c r="T53" s="6">
        <v>11100</v>
      </c>
      <c r="U53" s="2"/>
      <c r="V53" s="7">
        <f t="shared" si="43"/>
        <v>0</v>
      </c>
      <c r="W53" s="2"/>
      <c r="X53" s="6">
        <f t="shared" si="44"/>
        <v>0</v>
      </c>
      <c r="Y53" s="2"/>
      <c r="Z53" s="7">
        <f t="shared" si="45"/>
        <v>0</v>
      </c>
    </row>
    <row r="54" spans="1:26" s="29" customFormat="1" outlineLevel="1" collapsed="1" x14ac:dyDescent="0.3">
      <c r="A54" s="27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SUM(OSRRefD22_10x_0)</f>
        <v>493.99</v>
      </c>
      <c r="E54" s="1"/>
      <c r="F54" s="5">
        <f t="shared" si="38"/>
        <v>9.5831404703438459E-3</v>
      </c>
      <c r="G54" s="1"/>
      <c r="H54" s="1">
        <f>SUM(OSRRefH22_10x_0)</f>
        <v>72.349999999999994</v>
      </c>
      <c r="I54" s="1"/>
      <c r="J54" s="5">
        <f t="shared" si="39"/>
        <v>0</v>
      </c>
      <c r="K54" s="1"/>
      <c r="L54" s="1">
        <f t="shared" si="40"/>
        <v>421.64</v>
      </c>
      <c r="M54" s="1"/>
      <c r="N54" s="5">
        <f t="shared" si="41"/>
        <v>5.8277816171389087</v>
      </c>
      <c r="O54" s="14"/>
      <c r="P54" s="1">
        <f>SUM(OSRRefP22_10x_0)</f>
        <v>3675.98</v>
      </c>
      <c r="Q54" s="1"/>
      <c r="R54" s="5">
        <f t="shared" si="42"/>
        <v>1.3774936621269208E-2</v>
      </c>
      <c r="S54" s="1"/>
      <c r="T54" s="1">
        <f>SUM(OSRRefT22_10x_0)</f>
        <v>765.3</v>
      </c>
      <c r="U54" s="1"/>
      <c r="V54" s="5">
        <f t="shared" si="43"/>
        <v>0</v>
      </c>
      <c r="W54" s="1"/>
      <c r="X54" s="1">
        <f t="shared" si="44"/>
        <v>2910.6800000000003</v>
      </c>
      <c r="Y54" s="1"/>
      <c r="Z54" s="5">
        <f t="shared" si="45"/>
        <v>3.8033189598850132</v>
      </c>
    </row>
    <row r="55" spans="1:26" s="24" customFormat="1" hidden="1" outlineLevel="2" x14ac:dyDescent="0.3">
      <c r="A55" s="28"/>
      <c r="B55" s="11" t="str">
        <f>CONCATENATE("          ", "6373", " - ", "MAINTENANCE CONTRACTS")</f>
        <v xml:space="preserve">          6373 - MAINTENANCE CONTRACTS</v>
      </c>
      <c r="C55" s="11"/>
      <c r="D55" s="6">
        <v>74.89</v>
      </c>
      <c r="E55" s="2"/>
      <c r="F55" s="7">
        <f t="shared" si="38"/>
        <v>1.4528257451042544E-3</v>
      </c>
      <c r="G55" s="2"/>
      <c r="H55" s="6">
        <v>72.349999999999994</v>
      </c>
      <c r="I55" s="2"/>
      <c r="J55" s="7">
        <f t="shared" si="39"/>
        <v>0</v>
      </c>
      <c r="K55" s="2"/>
      <c r="L55" s="6">
        <f t="shared" si="40"/>
        <v>2.5400000000000063</v>
      </c>
      <c r="M55" s="2"/>
      <c r="N55" s="7">
        <f t="shared" si="41"/>
        <v>3.5107118175535683E-2</v>
      </c>
      <c r="O55" s="11"/>
      <c r="P55" s="6">
        <v>146.75</v>
      </c>
      <c r="Q55" s="2"/>
      <c r="R55" s="7">
        <f t="shared" si="42"/>
        <v>5.499137506654705E-4</v>
      </c>
      <c r="S55" s="2"/>
      <c r="T55" s="6">
        <v>223.3</v>
      </c>
      <c r="U55" s="2"/>
      <c r="V55" s="7">
        <f t="shared" si="43"/>
        <v>0</v>
      </c>
      <c r="W55" s="2"/>
      <c r="X55" s="6">
        <f t="shared" si="44"/>
        <v>-76.550000000000011</v>
      </c>
      <c r="Y55" s="2"/>
      <c r="Z55" s="7">
        <f t="shared" si="45"/>
        <v>-0.34281236005373938</v>
      </c>
    </row>
    <row r="56" spans="1:26" s="24" customFormat="1" hidden="1" outlineLevel="2" x14ac:dyDescent="0.3">
      <c r="A56" s="28"/>
      <c r="B56" s="11" t="str">
        <f>CONCATENATE("          ", "6375", " - ", "OUTSIDE REPAIRS &amp; MAINTENANCE")</f>
        <v xml:space="preserve">          6375 - OUTSIDE REPAIRS &amp; MAINTENANCE</v>
      </c>
      <c r="C56" s="11"/>
      <c r="D56" s="6">
        <v>419.1</v>
      </c>
      <c r="E56" s="2"/>
      <c r="F56" s="7">
        <f t="shared" si="38"/>
        <v>8.1303147252395919E-3</v>
      </c>
      <c r="G56" s="2"/>
      <c r="H56" s="6"/>
      <c r="I56" s="2"/>
      <c r="J56" s="7">
        <f t="shared" si="39"/>
        <v>0</v>
      </c>
      <c r="K56" s="2"/>
      <c r="L56" s="6">
        <f t="shared" si="40"/>
        <v>419.1</v>
      </c>
      <c r="M56" s="2"/>
      <c r="N56" s="7">
        <f t="shared" si="41"/>
        <v>0</v>
      </c>
      <c r="O56" s="11"/>
      <c r="P56" s="6">
        <v>3529.23</v>
      </c>
      <c r="Q56" s="2"/>
      <c r="R56" s="7">
        <f t="shared" si="42"/>
        <v>1.3225022870603738E-2</v>
      </c>
      <c r="S56" s="2"/>
      <c r="T56" s="6">
        <v>542</v>
      </c>
      <c r="U56" s="2"/>
      <c r="V56" s="7">
        <f t="shared" si="43"/>
        <v>0</v>
      </c>
      <c r="W56" s="2"/>
      <c r="X56" s="6">
        <f t="shared" si="44"/>
        <v>2987.23</v>
      </c>
      <c r="Y56" s="2"/>
      <c r="Z56" s="7">
        <f t="shared" si="45"/>
        <v>5.5114944649446498</v>
      </c>
    </row>
    <row r="57" spans="1:26" s="29" customFormat="1" outlineLevel="1" collapsed="1" x14ac:dyDescent="0.3">
      <c r="A57" s="27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SUM(OSRRefD22_11x_0)</f>
        <v>851.3</v>
      </c>
      <c r="E57" s="1"/>
      <c r="F57" s="5">
        <f t="shared" ref="F57:F61" si="46">IF(D$12=0,0,D57/D$12)</f>
        <v>1.6514762408963168E-2</v>
      </c>
      <c r="G57" s="1"/>
      <c r="H57" s="1">
        <f>SUM(OSRRefH22_11x_0)</f>
        <v>115</v>
      </c>
      <c r="I57" s="1"/>
      <c r="J57" s="5">
        <f t="shared" ref="J57:J61" si="47">IF(H$12=0,0,H57/H$12)</f>
        <v>0</v>
      </c>
      <c r="K57" s="1"/>
      <c r="L57" s="1">
        <f t="shared" ref="L57:L61" si="48">+D57-H57</f>
        <v>736.3</v>
      </c>
      <c r="M57" s="1"/>
      <c r="N57" s="5">
        <f t="shared" ref="N57:N61" si="49">IF(H57=0,0,L57/H57)</f>
        <v>6.4026086956521739</v>
      </c>
      <c r="O57" s="14"/>
      <c r="P57" s="1">
        <f>SUM(OSRRefP22_11x_0)</f>
        <v>4851.2999999999993</v>
      </c>
      <c r="Q57" s="1"/>
      <c r="R57" s="5">
        <f t="shared" ref="R57:R61" si="50">IF(P$12=0,0,P57/P$12)</f>
        <v>1.8179193039886861E-2</v>
      </c>
      <c r="S57" s="1"/>
      <c r="T57" s="1">
        <f>SUM(OSRRefT22_11x_0)</f>
        <v>345</v>
      </c>
      <c r="U57" s="1"/>
      <c r="V57" s="5">
        <f t="shared" ref="V57:V61" si="51">IF(T$12=0,0,T57/T$12)</f>
        <v>0</v>
      </c>
      <c r="W57" s="1"/>
      <c r="X57" s="1">
        <f t="shared" ref="X57:X61" si="52">+P57-T57</f>
        <v>4506.2999999999993</v>
      </c>
      <c r="Y57" s="1"/>
      <c r="Z57" s="5">
        <f t="shared" ref="Z57:Z61" si="53">IF(T57=0,0,X57/T57)</f>
        <v>13.061739130434781</v>
      </c>
    </row>
    <row r="58" spans="1:26" s="24" customFormat="1" hidden="1" outlineLevel="2" x14ac:dyDescent="0.3">
      <c r="A58" s="28"/>
      <c r="B58" s="11" t="str">
        <f>CONCATENATE("          ", "6282", " - ", "JANITORIAL/EXTERMINATOR EXPENS")</f>
        <v xml:space="preserve">          6282 - JANITORIAL/EXTERMINATOR EXPENS</v>
      </c>
      <c r="C58" s="11"/>
      <c r="D58" s="6">
        <v>388</v>
      </c>
      <c r="E58" s="2"/>
      <c r="F58" s="7">
        <f t="shared" si="46"/>
        <v>7.5269914421211203E-3</v>
      </c>
      <c r="G58" s="2"/>
      <c r="H58" s="6"/>
      <c r="I58" s="2"/>
      <c r="J58" s="7">
        <f t="shared" si="47"/>
        <v>0</v>
      </c>
      <c r="K58" s="2"/>
      <c r="L58" s="6">
        <f t="shared" si="48"/>
        <v>388</v>
      </c>
      <c r="M58" s="2"/>
      <c r="N58" s="7">
        <f t="shared" si="49"/>
        <v>0</v>
      </c>
      <c r="O58" s="11"/>
      <c r="P58" s="6">
        <v>451.86</v>
      </c>
      <c r="Q58" s="2"/>
      <c r="R58" s="7">
        <f t="shared" si="50"/>
        <v>1.693247205285857E-3</v>
      </c>
      <c r="S58" s="2"/>
      <c r="T58" s="6"/>
      <c r="U58" s="2"/>
      <c r="V58" s="7">
        <f t="shared" si="51"/>
        <v>0</v>
      </c>
      <c r="W58" s="2"/>
      <c r="X58" s="6">
        <f t="shared" si="52"/>
        <v>451.86</v>
      </c>
      <c r="Y58" s="2"/>
      <c r="Z58" s="7">
        <f t="shared" si="53"/>
        <v>0</v>
      </c>
    </row>
    <row r="59" spans="1:26" s="24" customFormat="1" hidden="1" outlineLevel="2" x14ac:dyDescent="0.3">
      <c r="A59" s="28"/>
      <c r="B59" s="11" t="str">
        <f>CONCATENATE("          ", "6284", " - ", "TRASH REMOVAL EXPENSE")</f>
        <v xml:space="preserve">          6284 - TRASH REMOVAL EXPENSE</v>
      </c>
      <c r="C59" s="11"/>
      <c r="D59" s="6"/>
      <c r="E59" s="2"/>
      <c r="F59" s="7">
        <f t="shared" si="46"/>
        <v>0</v>
      </c>
      <c r="G59" s="2"/>
      <c r="H59" s="6">
        <v>115</v>
      </c>
      <c r="I59" s="2"/>
      <c r="J59" s="7">
        <f t="shared" si="47"/>
        <v>0</v>
      </c>
      <c r="K59" s="2"/>
      <c r="L59" s="6">
        <f t="shared" si="48"/>
        <v>-115</v>
      </c>
      <c r="M59" s="2"/>
      <c r="N59" s="7">
        <f t="shared" si="49"/>
        <v>-1</v>
      </c>
      <c r="O59" s="11"/>
      <c r="P59" s="6"/>
      <c r="Q59" s="2"/>
      <c r="R59" s="7">
        <f t="shared" si="50"/>
        <v>0</v>
      </c>
      <c r="S59" s="2"/>
      <c r="T59" s="6">
        <v>345</v>
      </c>
      <c r="U59" s="2"/>
      <c r="V59" s="7">
        <f t="shared" si="51"/>
        <v>0</v>
      </c>
      <c r="W59" s="2"/>
      <c r="X59" s="6">
        <f t="shared" si="52"/>
        <v>-345</v>
      </c>
      <c r="Y59" s="2"/>
      <c r="Z59" s="7">
        <f t="shared" si="53"/>
        <v>-1</v>
      </c>
    </row>
    <row r="60" spans="1:26" s="24" customFormat="1" hidden="1" outlineLevel="2" x14ac:dyDescent="0.3">
      <c r="A60" s="28"/>
      <c r="B60" s="11" t="str">
        <f>CONCATENATE("          ", "6285", " - ", "JANITORIAL SERVICES")</f>
        <v xml:space="preserve">          6285 - JANITORIAL SERVICES</v>
      </c>
      <c r="C60" s="11"/>
      <c r="D60" s="6"/>
      <c r="E60" s="2"/>
      <c r="F60" s="7">
        <f t="shared" si="46"/>
        <v>0</v>
      </c>
      <c r="G60" s="2"/>
      <c r="H60" s="6"/>
      <c r="I60" s="2"/>
      <c r="J60" s="7">
        <f t="shared" si="47"/>
        <v>0</v>
      </c>
      <c r="K60" s="2"/>
      <c r="L60" s="6">
        <f t="shared" si="48"/>
        <v>0</v>
      </c>
      <c r="M60" s="2"/>
      <c r="N60" s="7">
        <f t="shared" si="49"/>
        <v>0</v>
      </c>
      <c r="O60" s="11"/>
      <c r="P60" s="6">
        <v>3660</v>
      </c>
      <c r="Q60" s="2"/>
      <c r="R60" s="7">
        <f t="shared" si="50"/>
        <v>1.3715055042150747E-2</v>
      </c>
      <c r="S60" s="2"/>
      <c r="T60" s="6"/>
      <c r="U60" s="2"/>
      <c r="V60" s="7">
        <f t="shared" si="51"/>
        <v>0</v>
      </c>
      <c r="W60" s="2"/>
      <c r="X60" s="6">
        <f t="shared" si="52"/>
        <v>3660</v>
      </c>
      <c r="Y60" s="2"/>
      <c r="Z60" s="7">
        <f t="shared" si="53"/>
        <v>0</v>
      </c>
    </row>
    <row r="61" spans="1:26" s="24" customFormat="1" hidden="1" outlineLevel="2" x14ac:dyDescent="0.3">
      <c r="A61" s="28"/>
      <c r="B61" s="11" t="str">
        <f>CONCATENATE("          ", "6286", " - ", "LAUNDRY EXPENSE")</f>
        <v xml:space="preserve">          6286 - LAUNDRY EXPENSE</v>
      </c>
      <c r="C61" s="11"/>
      <c r="D61" s="6">
        <v>463.3</v>
      </c>
      <c r="E61" s="2"/>
      <c r="F61" s="7">
        <f t="shared" si="46"/>
        <v>8.98777096684205E-3</v>
      </c>
      <c r="G61" s="2"/>
      <c r="H61" s="6"/>
      <c r="I61" s="2"/>
      <c r="J61" s="7">
        <f t="shared" si="47"/>
        <v>0</v>
      </c>
      <c r="K61" s="2"/>
      <c r="L61" s="6">
        <f t="shared" si="48"/>
        <v>463.3</v>
      </c>
      <c r="M61" s="2"/>
      <c r="N61" s="7">
        <f t="shared" si="49"/>
        <v>0</v>
      </c>
      <c r="O61" s="11"/>
      <c r="P61" s="6">
        <v>739.44</v>
      </c>
      <c r="Q61" s="2"/>
      <c r="R61" s="7">
        <f t="shared" si="50"/>
        <v>2.7708907924502593E-3</v>
      </c>
      <c r="S61" s="2"/>
      <c r="T61" s="6"/>
      <c r="U61" s="2"/>
      <c r="V61" s="7">
        <f t="shared" si="51"/>
        <v>0</v>
      </c>
      <c r="W61" s="2"/>
      <c r="X61" s="6">
        <f t="shared" si="52"/>
        <v>739.44</v>
      </c>
      <c r="Y61" s="2"/>
      <c r="Z61" s="7">
        <f t="shared" si="53"/>
        <v>0</v>
      </c>
    </row>
    <row r="62" spans="1:26" s="29" customFormat="1" outlineLevel="1" collapsed="1" x14ac:dyDescent="0.3">
      <c r="A62" s="27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1">
        <f>SUM(OSRRefD22_12x_0)</f>
        <v>17.95</v>
      </c>
      <c r="E62" s="1"/>
      <c r="F62" s="5">
        <f t="shared" ref="F62:F72" si="54">IF(D$12=0,0,D62/D$12)</f>
        <v>3.4822035151050028E-4</v>
      </c>
      <c r="G62" s="1"/>
      <c r="H62" s="1">
        <f>SUM(OSRRefH22_12x_0)</f>
        <v>0</v>
      </c>
      <c r="I62" s="1"/>
      <c r="J62" s="5">
        <f t="shared" ref="J62:J72" si="55">IF(H$12=0,0,H62/H$12)</f>
        <v>0</v>
      </c>
      <c r="K62" s="1"/>
      <c r="L62" s="1">
        <f t="shared" ref="L62:L72" si="56">+D62-H62</f>
        <v>17.95</v>
      </c>
      <c r="M62" s="1"/>
      <c r="N62" s="5">
        <f t="shared" ref="N62:N72" si="57">IF(H62=0,0,L62/H62)</f>
        <v>0</v>
      </c>
      <c r="O62" s="14"/>
      <c r="P62" s="1">
        <f>SUM(OSRRefP22_12x_0)</f>
        <v>235.89</v>
      </c>
      <c r="Q62" s="1"/>
      <c r="R62" s="5">
        <f t="shared" ref="R62:R72" si="58">IF(P$12=0,0,P62/P$12)</f>
        <v>8.8394653931501076E-4</v>
      </c>
      <c r="S62" s="1"/>
      <c r="T62" s="1">
        <f>SUM(OSRRefT22_12x_0)</f>
        <v>0</v>
      </c>
      <c r="U62" s="1"/>
      <c r="V62" s="5">
        <f t="shared" ref="V62:V72" si="59">IF(T$12=0,0,T62/T$12)</f>
        <v>0</v>
      </c>
      <c r="W62" s="1"/>
      <c r="X62" s="1">
        <f t="shared" ref="X62:X72" si="60">+P62-T62</f>
        <v>235.89</v>
      </c>
      <c r="Y62" s="1"/>
      <c r="Z62" s="5">
        <f t="shared" ref="Z62:Z72" si="61">IF(T62=0,0,X62/T62)</f>
        <v>0</v>
      </c>
    </row>
    <row r="63" spans="1:26" s="24" customFormat="1" hidden="1" outlineLevel="2" x14ac:dyDescent="0.3">
      <c r="A63" s="28"/>
      <c r="B63" s="11" t="str">
        <f>CONCATENATE("          ", "6275", " - ", "SUBSCRIPTIONS")</f>
        <v xml:space="preserve">          6275 - SUBSCRIPTIONS</v>
      </c>
      <c r="C63" s="11"/>
      <c r="D63" s="6">
        <v>17.95</v>
      </c>
      <c r="E63" s="2"/>
      <c r="F63" s="7">
        <f t="shared" si="54"/>
        <v>3.4822035151050028E-4</v>
      </c>
      <c r="G63" s="2"/>
      <c r="H63" s="6"/>
      <c r="I63" s="2"/>
      <c r="J63" s="7">
        <f t="shared" si="55"/>
        <v>0</v>
      </c>
      <c r="K63" s="2"/>
      <c r="L63" s="6">
        <f t="shared" si="56"/>
        <v>17.95</v>
      </c>
      <c r="M63" s="2"/>
      <c r="N63" s="7">
        <f t="shared" si="57"/>
        <v>0</v>
      </c>
      <c r="O63" s="11"/>
      <c r="P63" s="6">
        <v>235.89</v>
      </c>
      <c r="Q63" s="2"/>
      <c r="R63" s="7">
        <f t="shared" si="58"/>
        <v>8.8394653931501076E-4</v>
      </c>
      <c r="S63" s="2"/>
      <c r="T63" s="6"/>
      <c r="U63" s="2"/>
      <c r="V63" s="7">
        <f t="shared" si="59"/>
        <v>0</v>
      </c>
      <c r="W63" s="2"/>
      <c r="X63" s="6">
        <f t="shared" si="60"/>
        <v>235.89</v>
      </c>
      <c r="Y63" s="2"/>
      <c r="Z63" s="7">
        <f t="shared" si="61"/>
        <v>0</v>
      </c>
    </row>
    <row r="64" spans="1:26" s="29" customFormat="1" outlineLevel="1" collapsed="1" x14ac:dyDescent="0.3">
      <c r="A64" s="27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SUM(OSRRefD22_13x_0)</f>
        <v>574.30999999999995</v>
      </c>
      <c r="E64" s="1"/>
      <c r="F64" s="5">
        <f t="shared" si="54"/>
        <v>1.1141305296712836E-2</v>
      </c>
      <c r="G64" s="1"/>
      <c r="H64" s="1">
        <f>SUM(OSRRefH22_13x_0)</f>
        <v>0</v>
      </c>
      <c r="I64" s="1"/>
      <c r="J64" s="5">
        <f t="shared" si="55"/>
        <v>0</v>
      </c>
      <c r="K64" s="1"/>
      <c r="L64" s="1">
        <f t="shared" si="56"/>
        <v>574.30999999999995</v>
      </c>
      <c r="M64" s="1"/>
      <c r="N64" s="5">
        <f t="shared" si="57"/>
        <v>0</v>
      </c>
      <c r="O64" s="14"/>
      <c r="P64" s="1">
        <f>SUM(OSRRefP22_13x_0)</f>
        <v>5364.869999999999</v>
      </c>
      <c r="Q64" s="1"/>
      <c r="R64" s="5">
        <f t="shared" si="58"/>
        <v>2.0103685066662096E-2</v>
      </c>
      <c r="S64" s="1"/>
      <c r="T64" s="1">
        <f>SUM(OSRRefT22_13x_0)</f>
        <v>72</v>
      </c>
      <c r="U64" s="1"/>
      <c r="V64" s="5">
        <f t="shared" si="59"/>
        <v>0</v>
      </c>
      <c r="W64" s="1"/>
      <c r="X64" s="1">
        <f t="shared" si="60"/>
        <v>5292.869999999999</v>
      </c>
      <c r="Y64" s="1"/>
      <c r="Z64" s="5">
        <f t="shared" si="61"/>
        <v>73.512083333333322</v>
      </c>
    </row>
    <row r="65" spans="1:26" s="24" customFormat="1" hidden="1" outlineLevel="2" x14ac:dyDescent="0.3">
      <c r="A65" s="28"/>
      <c r="B65" s="11" t="str">
        <f>CONCATENATE("          ", "6235", " - ", "COVID-19 EXPENSES")</f>
        <v xml:space="preserve">          6235 - COVID-19 EXPENSES</v>
      </c>
      <c r="C65" s="11"/>
      <c r="D65" s="6"/>
      <c r="E65" s="2"/>
      <c r="F65" s="7">
        <f t="shared" si="54"/>
        <v>0</v>
      </c>
      <c r="G65" s="2"/>
      <c r="H65" s="6"/>
      <c r="I65" s="2"/>
      <c r="J65" s="7">
        <f t="shared" si="55"/>
        <v>0</v>
      </c>
      <c r="K65" s="2"/>
      <c r="L65" s="6">
        <f t="shared" si="56"/>
        <v>0</v>
      </c>
      <c r="M65" s="2"/>
      <c r="N65" s="7">
        <f t="shared" si="57"/>
        <v>0</v>
      </c>
      <c r="O65" s="11"/>
      <c r="P65" s="6">
        <v>193.5</v>
      </c>
      <c r="Q65" s="2"/>
      <c r="R65" s="7">
        <f t="shared" si="58"/>
        <v>7.2509922149075672E-4</v>
      </c>
      <c r="S65" s="2"/>
      <c r="T65" s="6"/>
      <c r="U65" s="2"/>
      <c r="V65" s="7">
        <f t="shared" si="59"/>
        <v>0</v>
      </c>
      <c r="W65" s="2"/>
      <c r="X65" s="6">
        <f t="shared" si="60"/>
        <v>193.5</v>
      </c>
      <c r="Y65" s="2"/>
      <c r="Z65" s="7">
        <f t="shared" si="61"/>
        <v>0</v>
      </c>
    </row>
    <row r="66" spans="1:26" s="24" customFormat="1" hidden="1" outlineLevel="2" x14ac:dyDescent="0.3">
      <c r="A66" s="28"/>
      <c r="B66" s="11" t="str">
        <f>CONCATENATE("          ", "6237", " - ", "JANITORIAL SUPPLIES")</f>
        <v xml:space="preserve">          6237 - JANITORIAL SUPPLIES</v>
      </c>
      <c r="C66" s="11"/>
      <c r="D66" s="6"/>
      <c r="E66" s="2"/>
      <c r="F66" s="7">
        <f t="shared" si="54"/>
        <v>0</v>
      </c>
      <c r="G66" s="2"/>
      <c r="H66" s="6"/>
      <c r="I66" s="2"/>
      <c r="J66" s="7">
        <f t="shared" si="55"/>
        <v>0</v>
      </c>
      <c r="K66" s="2"/>
      <c r="L66" s="6">
        <f t="shared" si="56"/>
        <v>0</v>
      </c>
      <c r="M66" s="2"/>
      <c r="N66" s="7">
        <f t="shared" si="57"/>
        <v>0</v>
      </c>
      <c r="O66" s="11"/>
      <c r="P66" s="6">
        <v>48.12</v>
      </c>
      <c r="Q66" s="2"/>
      <c r="R66" s="7">
        <f t="shared" si="58"/>
        <v>1.803192482590967E-4</v>
      </c>
      <c r="S66" s="2"/>
      <c r="T66" s="6">
        <v>72</v>
      </c>
      <c r="U66" s="2"/>
      <c r="V66" s="7">
        <f t="shared" si="59"/>
        <v>0</v>
      </c>
      <c r="W66" s="2"/>
      <c r="X66" s="6">
        <f t="shared" si="60"/>
        <v>-23.880000000000003</v>
      </c>
      <c r="Y66" s="2"/>
      <c r="Z66" s="7">
        <f t="shared" si="61"/>
        <v>-0.33166666666666672</v>
      </c>
    </row>
    <row r="67" spans="1:26" s="24" customFormat="1" hidden="1" outlineLevel="2" x14ac:dyDescent="0.3">
      <c r="A67" s="28"/>
      <c r="B67" s="11" t="str">
        <f>CONCATENATE("          ", "6239", " - ", "KITCHEN SUPPLIES")</f>
        <v xml:space="preserve">          6239 - KITCHEN SUPPLIES</v>
      </c>
      <c r="C67" s="11"/>
      <c r="D67" s="6">
        <v>454.42</v>
      </c>
      <c r="E67" s="2"/>
      <c r="F67" s="7">
        <f t="shared" si="54"/>
        <v>8.8155037400223703E-3</v>
      </c>
      <c r="G67" s="2"/>
      <c r="H67" s="6"/>
      <c r="I67" s="2"/>
      <c r="J67" s="7">
        <f t="shared" si="55"/>
        <v>0</v>
      </c>
      <c r="K67" s="2"/>
      <c r="L67" s="6">
        <f t="shared" si="56"/>
        <v>454.42</v>
      </c>
      <c r="M67" s="2"/>
      <c r="N67" s="7">
        <f t="shared" si="57"/>
        <v>0</v>
      </c>
      <c r="O67" s="11"/>
      <c r="P67" s="6">
        <v>1329.28</v>
      </c>
      <c r="Q67" s="2"/>
      <c r="R67" s="7">
        <f t="shared" si="58"/>
        <v>4.981188078259602E-3</v>
      </c>
      <c r="S67" s="2"/>
      <c r="T67" s="6"/>
      <c r="U67" s="2"/>
      <c r="V67" s="7">
        <f t="shared" si="59"/>
        <v>0</v>
      </c>
      <c r="W67" s="2"/>
      <c r="X67" s="6">
        <f t="shared" si="60"/>
        <v>1329.28</v>
      </c>
      <c r="Y67" s="2"/>
      <c r="Z67" s="7">
        <f t="shared" si="61"/>
        <v>0</v>
      </c>
    </row>
    <row r="68" spans="1:26" s="24" customFormat="1" hidden="1" outlineLevel="2" x14ac:dyDescent="0.3">
      <c r="A68" s="28"/>
      <c r="B68" s="11" t="str">
        <f>CONCATENATE("          ", "6241", " - ", "OFFICE EXPENSE")</f>
        <v xml:space="preserve">          6241 - OFFICE EXPENSE</v>
      </c>
      <c r="C68" s="11"/>
      <c r="D68" s="6">
        <v>53.22</v>
      </c>
      <c r="E68" s="2"/>
      <c r="F68" s="7">
        <f t="shared" si="54"/>
        <v>1.032439393169294E-3</v>
      </c>
      <c r="G68" s="2"/>
      <c r="H68" s="6"/>
      <c r="I68" s="2"/>
      <c r="J68" s="7">
        <f t="shared" si="55"/>
        <v>0</v>
      </c>
      <c r="K68" s="2"/>
      <c r="L68" s="6">
        <f t="shared" si="56"/>
        <v>53.22</v>
      </c>
      <c r="M68" s="2"/>
      <c r="N68" s="7">
        <f t="shared" si="57"/>
        <v>0</v>
      </c>
      <c r="O68" s="11"/>
      <c r="P68" s="6">
        <v>1795.83</v>
      </c>
      <c r="Q68" s="2"/>
      <c r="R68" s="7">
        <f t="shared" si="58"/>
        <v>6.7294828678539824E-3</v>
      </c>
      <c r="S68" s="2"/>
      <c r="T68" s="6"/>
      <c r="U68" s="2"/>
      <c r="V68" s="7">
        <f t="shared" si="59"/>
        <v>0</v>
      </c>
      <c r="W68" s="2"/>
      <c r="X68" s="6">
        <f t="shared" si="60"/>
        <v>1795.83</v>
      </c>
      <c r="Y68" s="2"/>
      <c r="Z68" s="7">
        <f t="shared" si="61"/>
        <v>0</v>
      </c>
    </row>
    <row r="69" spans="1:26" s="24" customFormat="1" hidden="1" outlineLevel="2" x14ac:dyDescent="0.3">
      <c r="A69" s="28"/>
      <c r="B69" s="11" t="str">
        <f>CONCATENATE("          ", "6243", " - ", "PAPER SUPPLIES")</f>
        <v xml:space="preserve">          6243 - PAPER SUPPLIES</v>
      </c>
      <c r="C69" s="11"/>
      <c r="D69" s="6">
        <v>66.67</v>
      </c>
      <c r="E69" s="2"/>
      <c r="F69" s="7">
        <f t="shared" si="54"/>
        <v>1.2933621635211731E-3</v>
      </c>
      <c r="G69" s="2"/>
      <c r="H69" s="6"/>
      <c r="I69" s="2"/>
      <c r="J69" s="7">
        <f t="shared" si="55"/>
        <v>0</v>
      </c>
      <c r="K69" s="2"/>
      <c r="L69" s="6">
        <f t="shared" si="56"/>
        <v>66.67</v>
      </c>
      <c r="M69" s="2"/>
      <c r="N69" s="7">
        <f t="shared" si="57"/>
        <v>0</v>
      </c>
      <c r="O69" s="11"/>
      <c r="P69" s="6">
        <v>511.58</v>
      </c>
      <c r="Q69" s="2"/>
      <c r="R69" s="7">
        <f t="shared" si="58"/>
        <v>1.9170349340064149E-3</v>
      </c>
      <c r="S69" s="2"/>
      <c r="T69" s="6"/>
      <c r="U69" s="2"/>
      <c r="V69" s="7">
        <f t="shared" si="59"/>
        <v>0</v>
      </c>
      <c r="W69" s="2"/>
      <c r="X69" s="6">
        <f t="shared" si="60"/>
        <v>511.58</v>
      </c>
      <c r="Y69" s="2"/>
      <c r="Z69" s="7">
        <f t="shared" si="61"/>
        <v>0</v>
      </c>
    </row>
    <row r="70" spans="1:26" s="24" customFormat="1" hidden="1" outlineLevel="2" x14ac:dyDescent="0.3">
      <c r="A70" s="28"/>
      <c r="B70" s="11" t="str">
        <f>CONCATENATE("          ", "6245", " - ", "PRINTING")</f>
        <v xml:space="preserve">          6245 - PRINTING</v>
      </c>
      <c r="C70" s="11"/>
      <c r="D70" s="6"/>
      <c r="E70" s="2"/>
      <c r="F70" s="7">
        <f t="shared" si="54"/>
        <v>0</v>
      </c>
      <c r="G70" s="2"/>
      <c r="H70" s="6"/>
      <c r="I70" s="2"/>
      <c r="J70" s="7">
        <f t="shared" si="55"/>
        <v>0</v>
      </c>
      <c r="K70" s="2"/>
      <c r="L70" s="6">
        <f t="shared" si="56"/>
        <v>0</v>
      </c>
      <c r="M70" s="2"/>
      <c r="N70" s="7">
        <f t="shared" si="57"/>
        <v>0</v>
      </c>
      <c r="O70" s="11"/>
      <c r="P70" s="6">
        <v>733</v>
      </c>
      <c r="Q70" s="2"/>
      <c r="R70" s="7">
        <f t="shared" si="58"/>
        <v>2.7467582912285514E-3</v>
      </c>
      <c r="S70" s="2"/>
      <c r="T70" s="6"/>
      <c r="U70" s="2"/>
      <c r="V70" s="7">
        <f t="shared" si="59"/>
        <v>0</v>
      </c>
      <c r="W70" s="2"/>
      <c r="X70" s="6">
        <f t="shared" si="60"/>
        <v>733</v>
      </c>
      <c r="Y70" s="2"/>
      <c r="Z70" s="7">
        <f t="shared" si="61"/>
        <v>0</v>
      </c>
    </row>
    <row r="71" spans="1:26" s="24" customFormat="1" hidden="1" outlineLevel="2" x14ac:dyDescent="0.3">
      <c r="A71" s="28"/>
      <c r="B71" s="11" t="str">
        <f>CONCATENATE("          ", "6247", " - ", "STORE SUPPLIES")</f>
        <v xml:space="preserve">          6247 - STORE SUPPLIES</v>
      </c>
      <c r="C71" s="11"/>
      <c r="D71" s="6">
        <v>0</v>
      </c>
      <c r="E71" s="2"/>
      <c r="F71" s="7">
        <f t="shared" si="54"/>
        <v>0</v>
      </c>
      <c r="G71" s="2"/>
      <c r="H71" s="6"/>
      <c r="I71" s="2"/>
      <c r="J71" s="7">
        <f t="shared" si="55"/>
        <v>0</v>
      </c>
      <c r="K71" s="2"/>
      <c r="L71" s="6">
        <f t="shared" si="56"/>
        <v>0</v>
      </c>
      <c r="M71" s="2"/>
      <c r="N71" s="7">
        <f t="shared" si="57"/>
        <v>0</v>
      </c>
      <c r="O71" s="11"/>
      <c r="P71" s="6">
        <v>500.61</v>
      </c>
      <c r="Q71" s="2"/>
      <c r="R71" s="7">
        <f t="shared" si="58"/>
        <v>1.8759272417079469E-3</v>
      </c>
      <c r="S71" s="2"/>
      <c r="T71" s="6"/>
      <c r="U71" s="2"/>
      <c r="V71" s="7">
        <f t="shared" si="59"/>
        <v>0</v>
      </c>
      <c r="W71" s="2"/>
      <c r="X71" s="6">
        <f t="shared" si="60"/>
        <v>500.61</v>
      </c>
      <c r="Y71" s="2"/>
      <c r="Z71" s="7">
        <f t="shared" si="61"/>
        <v>0</v>
      </c>
    </row>
    <row r="72" spans="1:26" s="24" customFormat="1" hidden="1" outlineLevel="2" x14ac:dyDescent="0.3">
      <c r="A72" s="28"/>
      <c r="B72" s="11" t="str">
        <f>CONCATENATE("          ", "6248", " - ", "UNIFORMS")</f>
        <v xml:space="preserve">          6248 - UNIFORMS</v>
      </c>
      <c r="C72" s="11"/>
      <c r="D72" s="6"/>
      <c r="E72" s="2"/>
      <c r="F72" s="7">
        <f t="shared" si="54"/>
        <v>0</v>
      </c>
      <c r="G72" s="2"/>
      <c r="H72" s="6"/>
      <c r="I72" s="2"/>
      <c r="J72" s="7">
        <f t="shared" si="55"/>
        <v>0</v>
      </c>
      <c r="K72" s="2"/>
      <c r="L72" s="6">
        <f t="shared" si="56"/>
        <v>0</v>
      </c>
      <c r="M72" s="2"/>
      <c r="N72" s="7">
        <f t="shared" si="57"/>
        <v>0</v>
      </c>
      <c r="O72" s="11"/>
      <c r="P72" s="6">
        <v>252.95</v>
      </c>
      <c r="Q72" s="2"/>
      <c r="R72" s="7">
        <f t="shared" si="58"/>
        <v>9.4787518385574621E-4</v>
      </c>
      <c r="S72" s="2"/>
      <c r="T72" s="6"/>
      <c r="U72" s="2"/>
      <c r="V72" s="7">
        <f t="shared" si="59"/>
        <v>0</v>
      </c>
      <c r="W72" s="2"/>
      <c r="X72" s="6">
        <f t="shared" si="60"/>
        <v>252.95</v>
      </c>
      <c r="Y72" s="2"/>
      <c r="Z72" s="7">
        <f t="shared" si="61"/>
        <v>0</v>
      </c>
    </row>
    <row r="73" spans="1:26" s="29" customFormat="1" outlineLevel="1" collapsed="1" x14ac:dyDescent="0.3">
      <c r="A73" s="27"/>
      <c r="B73" s="14" t="str">
        <f>CONCATENATE("     ","Telephone/Data Lines                              ")</f>
        <v xml:space="preserve">     Telephone/Data Lines                              </v>
      </c>
      <c r="C73" s="14"/>
      <c r="D73" s="1">
        <f>SUM(OSRRefD22_14x_0)</f>
        <v>0</v>
      </c>
      <c r="E73" s="1"/>
      <c r="F73" s="5">
        <f t="shared" ref="F73:F76" si="62">IF(D$12=0,0,D73/D$12)</f>
        <v>0</v>
      </c>
      <c r="G73" s="1"/>
      <c r="H73" s="1">
        <f>SUM(OSRRefH22_14x_0)</f>
        <v>0</v>
      </c>
      <c r="I73" s="1"/>
      <c r="J73" s="5">
        <f t="shared" ref="J73:J76" si="63">IF(H$12=0,0,H73/H$12)</f>
        <v>0</v>
      </c>
      <c r="K73" s="1"/>
      <c r="L73" s="1">
        <f t="shared" ref="L73:L76" si="64">+D73-H73</f>
        <v>0</v>
      </c>
      <c r="M73" s="1"/>
      <c r="N73" s="5">
        <f t="shared" ref="N73:N76" si="65">IF(H73=0,0,L73/H73)</f>
        <v>0</v>
      </c>
      <c r="O73" s="14"/>
      <c r="P73" s="1">
        <f>SUM(OSRRefP22_14x_0)</f>
        <v>600</v>
      </c>
      <c r="Q73" s="1"/>
      <c r="R73" s="5">
        <f t="shared" ref="R73:R76" si="66">IF(P$12=0,0,P73/P$12)</f>
        <v>2.248369679041106E-3</v>
      </c>
      <c r="S73" s="1"/>
      <c r="T73" s="1">
        <f>SUM(OSRRefT22_14x_0)</f>
        <v>77.430000000000007</v>
      </c>
      <c r="U73" s="1"/>
      <c r="V73" s="5">
        <f t="shared" ref="V73:V76" si="67">IF(T$12=0,0,T73/T$12)</f>
        <v>0</v>
      </c>
      <c r="W73" s="1"/>
      <c r="X73" s="1">
        <f t="shared" ref="X73:X76" si="68">+P73-T73</f>
        <v>522.56999999999994</v>
      </c>
      <c r="Y73" s="1"/>
      <c r="Z73" s="5">
        <f t="shared" ref="Z73:Z76" si="69">IF(T73=0,0,X73/T73)</f>
        <v>6.7489345215032923</v>
      </c>
    </row>
    <row r="74" spans="1:26" s="24" customFormat="1" hidden="1" outlineLevel="2" x14ac:dyDescent="0.3">
      <c r="A74" s="28"/>
      <c r="B74" s="11" t="str">
        <f>CONCATENATE("          ", "6309", " - ", "TELEPHONE")</f>
        <v xml:space="preserve">          6309 - TELEPHONE</v>
      </c>
      <c r="C74" s="11"/>
      <c r="D74" s="6">
        <v>0</v>
      </c>
      <c r="E74" s="2"/>
      <c r="F74" s="7">
        <f t="shared" si="62"/>
        <v>0</v>
      </c>
      <c r="G74" s="2"/>
      <c r="H74" s="6"/>
      <c r="I74" s="2"/>
      <c r="J74" s="7">
        <f t="shared" si="63"/>
        <v>0</v>
      </c>
      <c r="K74" s="2"/>
      <c r="L74" s="6">
        <f t="shared" si="64"/>
        <v>0</v>
      </c>
      <c r="M74" s="2"/>
      <c r="N74" s="7">
        <f t="shared" si="65"/>
        <v>0</v>
      </c>
      <c r="O74" s="11"/>
      <c r="P74" s="6">
        <v>600</v>
      </c>
      <c r="Q74" s="2"/>
      <c r="R74" s="7">
        <f t="shared" si="66"/>
        <v>2.248369679041106E-3</v>
      </c>
      <c r="S74" s="2"/>
      <c r="T74" s="6">
        <v>77.430000000000007</v>
      </c>
      <c r="U74" s="2"/>
      <c r="V74" s="7">
        <f t="shared" si="67"/>
        <v>0</v>
      </c>
      <c r="W74" s="2"/>
      <c r="X74" s="6">
        <f t="shared" si="68"/>
        <v>522.56999999999994</v>
      </c>
      <c r="Y74" s="2"/>
      <c r="Z74" s="7">
        <f t="shared" si="69"/>
        <v>6.7489345215032923</v>
      </c>
    </row>
    <row r="75" spans="1:26" s="29" customFormat="1" outlineLevel="1" collapsed="1" x14ac:dyDescent="0.3">
      <c r="A75" s="27"/>
      <c r="B75" s="14" t="str">
        <f>CONCATENATE("     ","Utilities                                         ")</f>
        <v xml:space="preserve">     Utilities                                         </v>
      </c>
      <c r="C75" s="14"/>
      <c r="D75" s="1">
        <f>SUM(OSRRefD22_15x_0)</f>
        <v>200</v>
      </c>
      <c r="E75" s="1"/>
      <c r="F75" s="5">
        <f t="shared" si="62"/>
        <v>3.8798924959387222E-3</v>
      </c>
      <c r="G75" s="1"/>
      <c r="H75" s="1">
        <f>SUM(OSRRefH22_15x_0)</f>
        <v>348</v>
      </c>
      <c r="I75" s="1"/>
      <c r="J75" s="5">
        <f t="shared" si="63"/>
        <v>0</v>
      </c>
      <c r="K75" s="1"/>
      <c r="L75" s="1">
        <f t="shared" si="64"/>
        <v>-148</v>
      </c>
      <c r="M75" s="1"/>
      <c r="N75" s="5">
        <f t="shared" si="65"/>
        <v>-0.42528735632183906</v>
      </c>
      <c r="O75" s="14"/>
      <c r="P75" s="1">
        <f>SUM(OSRRefP22_15x_0)</f>
        <v>1200</v>
      </c>
      <c r="Q75" s="1"/>
      <c r="R75" s="5">
        <f t="shared" si="66"/>
        <v>4.4967393580822119E-3</v>
      </c>
      <c r="S75" s="1"/>
      <c r="T75" s="1">
        <f>SUM(OSRRefT22_15x_0)</f>
        <v>1044</v>
      </c>
      <c r="U75" s="1"/>
      <c r="V75" s="5">
        <f t="shared" si="67"/>
        <v>0</v>
      </c>
      <c r="W75" s="1"/>
      <c r="X75" s="1">
        <f t="shared" si="68"/>
        <v>156</v>
      </c>
      <c r="Y75" s="1"/>
      <c r="Z75" s="5">
        <f t="shared" si="69"/>
        <v>0.14942528735632185</v>
      </c>
    </row>
    <row r="76" spans="1:26" s="24" customFormat="1" hidden="1" outlineLevel="2" x14ac:dyDescent="0.3">
      <c r="A76" s="28"/>
      <c r="B76" s="11" t="str">
        <f>CONCATENATE("          ", "6274", " - ", "UTILITIES")</f>
        <v xml:space="preserve">          6274 - UTILITIES</v>
      </c>
      <c r="C76" s="11"/>
      <c r="D76" s="6">
        <v>200</v>
      </c>
      <c r="E76" s="2"/>
      <c r="F76" s="7">
        <f t="shared" si="62"/>
        <v>3.8798924959387222E-3</v>
      </c>
      <c r="G76" s="2"/>
      <c r="H76" s="6">
        <v>348</v>
      </c>
      <c r="I76" s="2"/>
      <c r="J76" s="7">
        <f t="shared" si="63"/>
        <v>0</v>
      </c>
      <c r="K76" s="2"/>
      <c r="L76" s="6">
        <f t="shared" si="64"/>
        <v>-148</v>
      </c>
      <c r="M76" s="2"/>
      <c r="N76" s="7">
        <f t="shared" si="65"/>
        <v>-0.42528735632183906</v>
      </c>
      <c r="O76" s="11"/>
      <c r="P76" s="6">
        <v>1200</v>
      </c>
      <c r="Q76" s="2"/>
      <c r="R76" s="7">
        <f t="shared" si="66"/>
        <v>4.4967393580822119E-3</v>
      </c>
      <c r="S76" s="2"/>
      <c r="T76" s="6">
        <v>1044</v>
      </c>
      <c r="U76" s="2"/>
      <c r="V76" s="7">
        <f t="shared" si="67"/>
        <v>0</v>
      </c>
      <c r="W76" s="2"/>
      <c r="X76" s="6">
        <f t="shared" si="68"/>
        <v>156</v>
      </c>
      <c r="Y76" s="2"/>
      <c r="Z76" s="7">
        <f t="shared" si="69"/>
        <v>0.14942528735632185</v>
      </c>
    </row>
    <row r="77" spans="1:26" s="53" customFormat="1" x14ac:dyDescent="0.3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collapsed="1" x14ac:dyDescent="0.3">
      <c r="A78" s="10"/>
      <c r="B78" s="25" t="s">
        <v>292</v>
      </c>
      <c r="C78" s="10"/>
      <c r="D78" s="4">
        <f>SUM(OSRRefD25x_0)</f>
        <v>0</v>
      </c>
      <c r="E78" s="4"/>
      <c r="F78" s="12">
        <f t="shared" ref="F78:F79" si="70">IF(D$12=0,0,D78/D$12)</f>
        <v>0</v>
      </c>
      <c r="G78" s="4"/>
      <c r="H78" s="4">
        <f>SUM(OSRRefH25x_0)</f>
        <v>0</v>
      </c>
      <c r="I78" s="4"/>
      <c r="J78" s="12">
        <f t="shared" ref="J78:J79" si="71">IF(H$12=0,0,H78/H$12)</f>
        <v>0</v>
      </c>
      <c r="K78" s="4"/>
      <c r="L78" s="4">
        <f t="shared" ref="L78:L79" si="72">+D78-H78</f>
        <v>0</v>
      </c>
      <c r="M78" s="4"/>
      <c r="N78" s="12">
        <f t="shared" ref="N78:N79" si="73">IF(H78=0,0,L78/H78)</f>
        <v>0</v>
      </c>
      <c r="O78" s="10"/>
      <c r="P78" s="4">
        <f>SUM(OSRRefP25x_0)</f>
        <v>192</v>
      </c>
      <c r="Q78" s="4"/>
      <c r="R78" s="12">
        <f t="shared" ref="R78:R79" si="74">IF(P$12=0,0,P78/P$12)</f>
        <v>7.1947829729315392E-4</v>
      </c>
      <c r="S78" s="4"/>
      <c r="T78" s="4">
        <f>SUM(OSRRefT25x_0)</f>
        <v>0</v>
      </c>
      <c r="U78" s="4"/>
      <c r="V78" s="12">
        <f t="shared" ref="V78:V79" si="75">IF(T$12=0,0,T78/T$12)</f>
        <v>0</v>
      </c>
      <c r="W78" s="4"/>
      <c r="X78" s="4">
        <f t="shared" ref="X78:X79" si="76">+P78-T78</f>
        <v>192</v>
      </c>
      <c r="Y78" s="4"/>
      <c r="Z78" s="12">
        <f t="shared" ref="Z78:Z79" si="77">IF(T78=0,0,X78/T78)</f>
        <v>0</v>
      </c>
    </row>
    <row r="79" spans="1:26" s="24" customFormat="1" hidden="1" outlineLevel="1" x14ac:dyDescent="0.3">
      <c r="A79" s="44"/>
      <c r="B79" s="11" t="str">
        <f>CONCATENATE("          ", "9150", " - ", "MISC. INCOME")</f>
        <v xml:space="preserve">          9150 - MISC. INCOME</v>
      </c>
      <c r="C79" s="11"/>
      <c r="D79" s="2">
        <f>0</f>
        <v>0</v>
      </c>
      <c r="E79" s="2"/>
      <c r="F79" s="19">
        <f t="shared" si="70"/>
        <v>0</v>
      </c>
      <c r="G79" s="2"/>
      <c r="H79" s="2">
        <f>0</f>
        <v>0</v>
      </c>
      <c r="I79" s="2"/>
      <c r="J79" s="19">
        <f t="shared" si="71"/>
        <v>0</v>
      </c>
      <c r="K79" s="2"/>
      <c r="L79" s="2">
        <f t="shared" si="72"/>
        <v>0</v>
      </c>
      <c r="M79" s="2"/>
      <c r="N79" s="19">
        <f t="shared" si="73"/>
        <v>0</v>
      </c>
      <c r="O79" s="11"/>
      <c r="P79" s="2">
        <f>--192</f>
        <v>192</v>
      </c>
      <c r="Q79" s="2"/>
      <c r="R79" s="19">
        <f t="shared" si="74"/>
        <v>7.1947829729315392E-4</v>
      </c>
      <c r="S79" s="2"/>
      <c r="T79" s="2">
        <f>0</f>
        <v>0</v>
      </c>
      <c r="U79" s="2"/>
      <c r="V79" s="19">
        <f t="shared" si="75"/>
        <v>0</v>
      </c>
      <c r="W79" s="2"/>
      <c r="X79" s="2">
        <f t="shared" si="76"/>
        <v>192</v>
      </c>
      <c r="Y79" s="2"/>
      <c r="Z79" s="19">
        <f t="shared" si="77"/>
        <v>0</v>
      </c>
    </row>
    <row r="80" spans="1:26" x14ac:dyDescent="0.3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3">
      <c r="A81" s="10"/>
      <c r="B81" s="26" t="s">
        <v>276</v>
      </c>
      <c r="C81" s="26"/>
      <c r="D81" s="20">
        <f>+D20-D22+D78</f>
        <v>-6088.9399999999878</v>
      </c>
      <c r="E81" s="13"/>
      <c r="F81" s="21">
        <f>IF(D$12=0,0,D81/D$12)</f>
        <v>-0.11812216307110537</v>
      </c>
      <c r="G81" s="13"/>
      <c r="H81" s="20">
        <f>+H20-H22+H78</f>
        <v>-11318.36</v>
      </c>
      <c r="I81" s="13"/>
      <c r="J81" s="21">
        <f>IF(H$12=0,0,H81/H$12)</f>
        <v>0</v>
      </c>
      <c r="K81" s="15"/>
      <c r="L81" s="20">
        <f>+D81-H81</f>
        <v>5229.4200000000128</v>
      </c>
      <c r="M81" s="15"/>
      <c r="N81" s="21">
        <f>IF(H81=0,0,L81/H81)</f>
        <v>-0.46202983471103698</v>
      </c>
      <c r="O81" s="25"/>
      <c r="P81" s="20">
        <f>+P20-P22+P78</f>
        <v>-40455.019999999931</v>
      </c>
      <c r="Q81" s="13"/>
      <c r="R81" s="21">
        <f>IF(P$12=0,0,P81/P$12)</f>
        <v>-0.15159640055500229</v>
      </c>
      <c r="S81" s="13"/>
      <c r="T81" s="20">
        <f>+T20-T22+T78</f>
        <v>-45190.04</v>
      </c>
      <c r="U81" s="13"/>
      <c r="V81" s="21">
        <f>IF(T$12=0,0,T81/T$12)</f>
        <v>0</v>
      </c>
      <c r="W81" s="15"/>
      <c r="X81" s="20">
        <f>+P81-T81</f>
        <v>4735.0200000000696</v>
      </c>
      <c r="Y81" s="15"/>
      <c r="Z81" s="21">
        <f>IF(T81=0,0,X81/T81)</f>
        <v>-0.10478016837338647</v>
      </c>
    </row>
    <row r="82" spans="1:26" x14ac:dyDescent="0.3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3">
      <c r="A83" s="51"/>
      <c r="B83" s="10" t="s">
        <v>127</v>
      </c>
      <c r="C83" s="10"/>
      <c r="D83" s="4">
        <v>6475.95</v>
      </c>
      <c r="E83" s="4"/>
      <c r="F83" s="12">
        <f>IF(D$12=0,0,D83/D$12)</f>
        <v>0.12562994904537184</v>
      </c>
      <c r="G83" s="4"/>
      <c r="H83" s="4"/>
      <c r="I83" s="4"/>
      <c r="J83" s="12">
        <f>IF(H$12=0,0,H83/H$12)</f>
        <v>0</v>
      </c>
      <c r="K83" s="4"/>
      <c r="L83" s="4">
        <f>+D83-H83</f>
        <v>6475.95</v>
      </c>
      <c r="M83" s="4"/>
      <c r="N83" s="12">
        <f>IF(H83=0,0,L83/H83)</f>
        <v>0</v>
      </c>
      <c r="O83" s="10"/>
      <c r="P83" s="4">
        <v>32122.16</v>
      </c>
      <c r="Q83" s="4"/>
      <c r="R83" s="12">
        <f>IF(P$12=0,0,P83/P$12)</f>
        <v>0.12037081761551176</v>
      </c>
      <c r="S83" s="4"/>
      <c r="T83" s="4"/>
      <c r="U83" s="4"/>
      <c r="V83" s="12">
        <f>IF(T$12=0,0,T83/T$12)</f>
        <v>0</v>
      </c>
      <c r="W83" s="4"/>
      <c r="X83" s="4">
        <f>+P83-T83</f>
        <v>32122.16</v>
      </c>
      <c r="Y83" s="4"/>
      <c r="Z83" s="12">
        <f>IF(T83=0,0,X83/T83)</f>
        <v>0</v>
      </c>
    </row>
    <row r="84" spans="1:26" x14ac:dyDescent="0.3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" thickBot="1" x14ac:dyDescent="0.35">
      <c r="A85" s="10"/>
      <c r="B85" s="26" t="s">
        <v>125</v>
      </c>
      <c r="C85" s="26"/>
      <c r="D85" s="32">
        <f>+D81-D83</f>
        <v>-12564.889999999989</v>
      </c>
      <c r="E85" s="13"/>
      <c r="F85" s="35">
        <f>IF(D$12=0,0,D85/D$12)</f>
        <v>-0.24375211211647721</v>
      </c>
      <c r="G85" s="13"/>
      <c r="H85" s="32">
        <f>+H81-H83</f>
        <v>-11318.36</v>
      </c>
      <c r="I85" s="13"/>
      <c r="J85" s="35">
        <f>IF(H$12=0,0,H85/H$12)</f>
        <v>0</v>
      </c>
      <c r="K85" s="15"/>
      <c r="L85" s="32">
        <f>D85-H85</f>
        <v>-1246.5299999999879</v>
      </c>
      <c r="M85" s="15"/>
      <c r="N85" s="35">
        <f>IF(H85=0,0,L85/H85)</f>
        <v>0.11013344689513214</v>
      </c>
      <c r="O85" s="25"/>
      <c r="P85" s="32">
        <f>+P81-P83</f>
        <v>-72577.179999999935</v>
      </c>
      <c r="Q85" s="13"/>
      <c r="R85" s="35">
        <f>IF(P$12=0,0,P85/P$12)</f>
        <v>-0.27196721817051406</v>
      </c>
      <c r="S85" s="13"/>
      <c r="T85" s="32">
        <f>+T81-T83</f>
        <v>-45190.04</v>
      </c>
      <c r="U85" s="13"/>
      <c r="V85" s="35">
        <f>IF(T$12=0,0,T85/T$12)</f>
        <v>0</v>
      </c>
      <c r="W85" s="15"/>
      <c r="X85" s="32">
        <f>P85-T85</f>
        <v>-27387.139999999934</v>
      </c>
      <c r="Y85" s="15"/>
      <c r="Z85" s="35">
        <f>IF(T85=0,0,X85/T85)</f>
        <v>0.60604372113855032</v>
      </c>
    </row>
    <row r="86" spans="1:26" ht="15" thickTop="1" x14ac:dyDescent="0.3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3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" thickBot="1" x14ac:dyDescent="0.35">
      <c r="A88" s="10"/>
      <c r="B88" s="26" t="s">
        <v>293</v>
      </c>
      <c r="C88" s="26"/>
      <c r="D88" s="31">
        <f>SUM(D85:D87)</f>
        <v>-12564.889999999989</v>
      </c>
      <c r="E88" s="13"/>
      <c r="F88" s="33">
        <f>IF(D$12=0,0,D88/D$12)</f>
        <v>-0.24375211211647721</v>
      </c>
      <c r="G88" s="13"/>
      <c r="H88" s="31">
        <f>SUM(H85:H87)</f>
        <v>-11318.36</v>
      </c>
      <c r="I88" s="13"/>
      <c r="J88" s="33">
        <f>IF(H$12=0,0,H88/H$12)</f>
        <v>0</v>
      </c>
      <c r="K88" s="15"/>
      <c r="L88" s="31">
        <f>+D88-H88</f>
        <v>-1246.5299999999879</v>
      </c>
      <c r="M88" s="15"/>
      <c r="N88" s="33">
        <f>IF(H88=0,0,L88/H88)</f>
        <v>0.11013344689513214</v>
      </c>
      <c r="O88" s="25"/>
      <c r="P88" s="31">
        <f>SUM(P85:P87)</f>
        <v>-72577.179999999935</v>
      </c>
      <c r="Q88" s="13"/>
      <c r="R88" s="33">
        <f>IF(P$12=0,0,P88/P$12)</f>
        <v>-0.27196721817051406</v>
      </c>
      <c r="S88" s="13"/>
      <c r="T88" s="31">
        <f>SUM(T85:T87)</f>
        <v>-45190.04</v>
      </c>
      <c r="U88" s="13"/>
      <c r="V88" s="33">
        <f>IF(T$12=0,0,T88/T$12)</f>
        <v>0</v>
      </c>
      <c r="W88" s="15"/>
      <c r="X88" s="31">
        <f>+P88-T88</f>
        <v>-27387.139999999934</v>
      </c>
      <c r="Y88" s="15"/>
      <c r="Z88" s="33">
        <f>IF(T88=0,0,X88/T88)</f>
        <v>0.60604372113855032</v>
      </c>
    </row>
    <row r="89" spans="1:26" ht="15" thickTop="1" x14ac:dyDescent="0.3">
      <c r="A89" s="9"/>
      <c r="C89" s="9"/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3">
      <c r="A90" s="9"/>
      <c r="B90" s="60">
        <v>44575.854680405093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3">
      <c r="A91" s="9"/>
      <c r="B91" s="57" t="s">
        <v>56</v>
      </c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3">
      <c r="A92" s="9"/>
      <c r="B92" s="59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3"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","406", " - ", "OPA! Greek")</f>
        <v>Department 406 - OPA! Greek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22">
        <f>SUM(OSRRefD22x_0)</f>
        <v>0</v>
      </c>
      <c r="E18" s="22"/>
      <c r="F18" s="34">
        <f t="shared" ref="F18:F28" si="0">IF(D$12=0,0,D18/D$12)</f>
        <v>0</v>
      </c>
      <c r="G18" s="22"/>
      <c r="H18" s="22">
        <f>SUM(OSRRefH22x_0)</f>
        <v>188.84</v>
      </c>
      <c r="I18" s="22"/>
      <c r="J18" s="34">
        <f t="shared" ref="J18:J28" si="1">IF(H$12=0,0,H18/H$12)</f>
        <v>0</v>
      </c>
      <c r="K18" s="4"/>
      <c r="L18" s="22">
        <f t="shared" ref="L18:L28" si="2">+D18-H18</f>
        <v>-188.84</v>
      </c>
      <c r="M18" s="4"/>
      <c r="N18" s="34">
        <f t="shared" ref="N18:N28" si="3">IF(H18=0,0,L18/H18)</f>
        <v>-1</v>
      </c>
      <c r="O18" s="10"/>
      <c r="P18" s="22">
        <f>SUM(OSRRefP22x_0)</f>
        <v>69.290000000000006</v>
      </c>
      <c r="Q18" s="22"/>
      <c r="R18" s="34">
        <f t="shared" ref="R18:R28" si="4">IF(P$12=0,0,P18/P$12)</f>
        <v>0</v>
      </c>
      <c r="S18" s="22"/>
      <c r="T18" s="22">
        <f>SUM(OSRRefT22x_0)</f>
        <v>1744.5</v>
      </c>
      <c r="U18" s="22"/>
      <c r="V18" s="34">
        <f t="shared" ref="V18:V28" si="5">IF(T$12=0,0,T18/T$12)</f>
        <v>0</v>
      </c>
      <c r="W18" s="4"/>
      <c r="X18" s="22">
        <f t="shared" ref="X18:X28" si="6">+P18-T18</f>
        <v>-1675.21</v>
      </c>
      <c r="Y18" s="4"/>
      <c r="Z18" s="34">
        <f t="shared" ref="Z18:Z28" si="7">IF(T18=0,0,X18/T18)</f>
        <v>-0.96028088277443391</v>
      </c>
    </row>
    <row r="19" spans="1:26" s="29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660.8</v>
      </c>
      <c r="U19" s="1"/>
      <c r="V19" s="5">
        <f t="shared" si="5"/>
        <v>0</v>
      </c>
      <c r="W19" s="1"/>
      <c r="X19" s="1">
        <f t="shared" si="6"/>
        <v>-660.8</v>
      </c>
      <c r="Y19" s="1"/>
      <c r="Z19" s="5">
        <f t="shared" si="7"/>
        <v>-1</v>
      </c>
    </row>
    <row r="20" spans="1:26" s="24" customFormat="1" hidden="1" outlineLevel="2" x14ac:dyDescent="0.3">
      <c r="A20" s="28"/>
      <c r="B20" s="11" t="str">
        <f>CONCATENATE("          ", "6113", " - ", "GROUP INSURANCE")</f>
        <v xml:space="preserve">          6113 - GROUP INSURANCE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/>
      <c r="Q20" s="2"/>
      <c r="R20" s="7">
        <f t="shared" si="4"/>
        <v>0</v>
      </c>
      <c r="S20" s="2"/>
      <c r="T20" s="6">
        <v>660.8</v>
      </c>
      <c r="U20" s="2"/>
      <c r="V20" s="7">
        <f t="shared" si="5"/>
        <v>0</v>
      </c>
      <c r="W20" s="2"/>
      <c r="X20" s="6">
        <f t="shared" si="6"/>
        <v>-660.8</v>
      </c>
      <c r="Y20" s="2"/>
      <c r="Z20" s="7">
        <f t="shared" si="7"/>
        <v>-1</v>
      </c>
    </row>
    <row r="21" spans="1:26" s="29" customFormat="1" outlineLevel="1" collapsed="1" x14ac:dyDescent="0.3">
      <c r="A21" s="27"/>
      <c r="B21" s="14" t="str">
        <f>CONCATENATE("     ","Depreciation                                      ")</f>
        <v xml:space="preserve">     Depreciation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119.55</v>
      </c>
      <c r="I21" s="1"/>
      <c r="J21" s="5">
        <f t="shared" si="1"/>
        <v>0</v>
      </c>
      <c r="K21" s="1"/>
      <c r="L21" s="1">
        <f t="shared" si="2"/>
        <v>-119.55</v>
      </c>
      <c r="M21" s="1"/>
      <c r="N21" s="5">
        <f t="shared" si="3"/>
        <v>-1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717.3</v>
      </c>
      <c r="U21" s="1"/>
      <c r="V21" s="5">
        <f t="shared" si="5"/>
        <v>0</v>
      </c>
      <c r="W21" s="1"/>
      <c r="X21" s="1">
        <f t="shared" si="6"/>
        <v>-717.3</v>
      </c>
      <c r="Y21" s="1"/>
      <c r="Z21" s="5">
        <f t="shared" si="7"/>
        <v>-1</v>
      </c>
    </row>
    <row r="22" spans="1:26" s="24" customFormat="1" hidden="1" outlineLevel="2" x14ac:dyDescent="0.3">
      <c r="A22" s="28"/>
      <c r="B22" s="11" t="str">
        <f>CONCATENATE("          ", "6322", " - ", "EQUIPMENT DEPRECIATION EXPENSE")</f>
        <v xml:space="preserve">          6322 - EQUIPMENT DEPRECIATION EXPENSE</v>
      </c>
      <c r="C22" s="11"/>
      <c r="D22" s="6"/>
      <c r="E22" s="2"/>
      <c r="F22" s="7">
        <f t="shared" si="0"/>
        <v>0</v>
      </c>
      <c r="G22" s="2"/>
      <c r="H22" s="6">
        <v>119.55</v>
      </c>
      <c r="I22" s="2"/>
      <c r="J22" s="7">
        <f t="shared" si="1"/>
        <v>0</v>
      </c>
      <c r="K22" s="2"/>
      <c r="L22" s="6">
        <f t="shared" si="2"/>
        <v>-119.55</v>
      </c>
      <c r="M22" s="2"/>
      <c r="N22" s="7">
        <f t="shared" si="3"/>
        <v>-1</v>
      </c>
      <c r="O22" s="11"/>
      <c r="P22" s="6"/>
      <c r="Q22" s="2"/>
      <c r="R22" s="7">
        <f t="shared" si="4"/>
        <v>0</v>
      </c>
      <c r="S22" s="2"/>
      <c r="T22" s="6">
        <v>717.3</v>
      </c>
      <c r="U22" s="2"/>
      <c r="V22" s="7">
        <f t="shared" si="5"/>
        <v>0</v>
      </c>
      <c r="W22" s="2"/>
      <c r="X22" s="6">
        <f t="shared" si="6"/>
        <v>-717.3</v>
      </c>
      <c r="Y22" s="2"/>
      <c r="Z22" s="7">
        <f t="shared" si="7"/>
        <v>-1</v>
      </c>
    </row>
    <row r="23" spans="1:26" s="29" customFormat="1" outlineLevel="1" collapsed="1" x14ac:dyDescent="0.3">
      <c r="A23" s="27"/>
      <c r="B23" s="14" t="str">
        <f>CONCATENATE("     ","Equipment Rental                                  ")</f>
        <v xml:space="preserve">     Equipment Rental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64.02</v>
      </c>
      <c r="U23" s="1"/>
      <c r="V23" s="5">
        <f t="shared" si="5"/>
        <v>0</v>
      </c>
      <c r="W23" s="1"/>
      <c r="X23" s="1">
        <f t="shared" si="6"/>
        <v>-64.02</v>
      </c>
      <c r="Y23" s="1"/>
      <c r="Z23" s="5">
        <f t="shared" si="7"/>
        <v>-1</v>
      </c>
    </row>
    <row r="24" spans="1:26" s="24" customFormat="1" hidden="1" outlineLevel="2" x14ac:dyDescent="0.3">
      <c r="A24" s="28"/>
      <c r="B24" s="11" t="str">
        <f>CONCATENATE("          ", "6351", " - ", "EQUIPMENT RENTAL")</f>
        <v xml:space="preserve">          6351 - EQUIPMENT RENTAL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64.02</v>
      </c>
      <c r="U24" s="2"/>
      <c r="V24" s="7">
        <f t="shared" si="5"/>
        <v>0</v>
      </c>
      <c r="W24" s="2"/>
      <c r="X24" s="6">
        <f t="shared" si="6"/>
        <v>-64.02</v>
      </c>
      <c r="Y24" s="2"/>
      <c r="Z24" s="7">
        <f t="shared" si="7"/>
        <v>-1</v>
      </c>
    </row>
    <row r="25" spans="1:26" s="29" customFormat="1" outlineLevel="1" collapsed="1" x14ac:dyDescent="0.3">
      <c r="A25" s="27"/>
      <c r="B25" s="14" t="str">
        <f>CONCATENATE("     ","Repair and Maintenance                            ")</f>
        <v xml:space="preserve">     Repair and Maintenance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69.290000000000006</v>
      </c>
      <c r="I25" s="1"/>
      <c r="J25" s="5">
        <f t="shared" si="1"/>
        <v>0</v>
      </c>
      <c r="K25" s="1"/>
      <c r="L25" s="1">
        <f t="shared" si="2"/>
        <v>-69.290000000000006</v>
      </c>
      <c r="M25" s="1"/>
      <c r="N25" s="5">
        <f t="shared" si="3"/>
        <v>-1</v>
      </c>
      <c r="O25" s="14"/>
      <c r="P25" s="1">
        <f>SUM(OSRRefP22_3x_0)</f>
        <v>69.290000000000006</v>
      </c>
      <c r="Q25" s="1"/>
      <c r="R25" s="5">
        <f t="shared" si="4"/>
        <v>0</v>
      </c>
      <c r="S25" s="1"/>
      <c r="T25" s="1">
        <f>SUM(OSRRefT22_3x_0)</f>
        <v>217.18</v>
      </c>
      <c r="U25" s="1"/>
      <c r="V25" s="5">
        <f t="shared" si="5"/>
        <v>0</v>
      </c>
      <c r="W25" s="1"/>
      <c r="X25" s="1">
        <f t="shared" si="6"/>
        <v>-147.88999999999999</v>
      </c>
      <c r="Y25" s="1"/>
      <c r="Z25" s="5">
        <f t="shared" si="7"/>
        <v>-0.68095588912422866</v>
      </c>
    </row>
    <row r="26" spans="1:26" s="24" customFormat="1" hidden="1" outlineLevel="2" x14ac:dyDescent="0.3">
      <c r="A26" s="28"/>
      <c r="B26" s="11" t="str">
        <f>CONCATENATE("          ", "6373", " - ", "MAINTENANCE CONTRACTS")</f>
        <v xml:space="preserve">          6373 - MAINTENANCE CONTRACTS</v>
      </c>
      <c r="C26" s="11"/>
      <c r="D26" s="6"/>
      <c r="E26" s="2"/>
      <c r="F26" s="7">
        <f t="shared" si="0"/>
        <v>0</v>
      </c>
      <c r="G26" s="2"/>
      <c r="H26" s="6">
        <v>69.290000000000006</v>
      </c>
      <c r="I26" s="2"/>
      <c r="J26" s="7">
        <f t="shared" si="1"/>
        <v>0</v>
      </c>
      <c r="K26" s="2"/>
      <c r="L26" s="6">
        <f t="shared" si="2"/>
        <v>-69.290000000000006</v>
      </c>
      <c r="M26" s="2"/>
      <c r="N26" s="7">
        <f t="shared" si="3"/>
        <v>-1</v>
      </c>
      <c r="O26" s="11"/>
      <c r="P26" s="6">
        <v>69.290000000000006</v>
      </c>
      <c r="Q26" s="2"/>
      <c r="R26" s="7">
        <f t="shared" si="4"/>
        <v>0</v>
      </c>
      <c r="S26" s="2"/>
      <c r="T26" s="6">
        <v>217.18</v>
      </c>
      <c r="U26" s="2"/>
      <c r="V26" s="7">
        <f t="shared" si="5"/>
        <v>0</v>
      </c>
      <c r="W26" s="2"/>
      <c r="X26" s="6">
        <f t="shared" si="6"/>
        <v>-147.88999999999999</v>
      </c>
      <c r="Y26" s="2"/>
      <c r="Z26" s="7">
        <f t="shared" si="7"/>
        <v>-0.68095588912422866</v>
      </c>
    </row>
    <row r="27" spans="1:26" s="29" customFormat="1" outlineLevel="1" collapsed="1" x14ac:dyDescent="0.3">
      <c r="A27" s="27"/>
      <c r="B27" s="14" t="str">
        <f>CONCATENATE("     ","Telephone/Data Lines                              ")</f>
        <v xml:space="preserve">     Telephone/Data Lines                              </v>
      </c>
      <c r="C27" s="14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4"/>
      <c r="P27" s="1">
        <f>SUM(OSRRefP22_4x_0)</f>
        <v>0</v>
      </c>
      <c r="Q27" s="1"/>
      <c r="R27" s="5">
        <f t="shared" si="4"/>
        <v>0</v>
      </c>
      <c r="S27" s="1"/>
      <c r="T27" s="1">
        <f>SUM(OSRRefT22_4x_0)</f>
        <v>85.2</v>
      </c>
      <c r="U27" s="1"/>
      <c r="V27" s="5">
        <f t="shared" si="5"/>
        <v>0</v>
      </c>
      <c r="W27" s="1"/>
      <c r="X27" s="1">
        <f t="shared" si="6"/>
        <v>-85.2</v>
      </c>
      <c r="Y27" s="1"/>
      <c r="Z27" s="5">
        <f t="shared" si="7"/>
        <v>-1</v>
      </c>
    </row>
    <row r="28" spans="1:26" s="24" customFormat="1" hidden="1" outlineLevel="2" x14ac:dyDescent="0.3">
      <c r="A28" s="28"/>
      <c r="B28" s="11" t="str">
        <f>CONCATENATE("          ", "6309", " - ", "TELEPHONE")</f>
        <v xml:space="preserve">          6309 - TELEPHONE</v>
      </c>
      <c r="C28" s="11"/>
      <c r="D28" s="6"/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1"/>
      <c r="P28" s="6"/>
      <c r="Q28" s="2"/>
      <c r="R28" s="7">
        <f t="shared" si="4"/>
        <v>0</v>
      </c>
      <c r="S28" s="2"/>
      <c r="T28" s="6">
        <v>85.2</v>
      </c>
      <c r="U28" s="2"/>
      <c r="V28" s="7">
        <f t="shared" si="5"/>
        <v>0</v>
      </c>
      <c r="W28" s="2"/>
      <c r="X28" s="6">
        <f t="shared" si="6"/>
        <v>-85.2</v>
      </c>
      <c r="Y28" s="2"/>
      <c r="Z28" s="7">
        <f t="shared" si="7"/>
        <v>-1</v>
      </c>
    </row>
    <row r="29" spans="1:26" s="53" customFormat="1" x14ac:dyDescent="0.3">
      <c r="A29" s="37"/>
      <c r="B29" s="37"/>
      <c r="C29" s="37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3">
      <c r="A30" s="10"/>
      <c r="B30" s="25" t="s">
        <v>292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3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">
      <c r="A32" s="10"/>
      <c r="B32" s="26" t="s">
        <v>276</v>
      </c>
      <c r="C32" s="26"/>
      <c r="D32" s="20">
        <f>+D16-D18+D30</f>
        <v>0</v>
      </c>
      <c r="E32" s="13"/>
      <c r="F32" s="21">
        <f>IF(D$12=0,0,D32/D$12)</f>
        <v>0</v>
      </c>
      <c r="G32" s="13"/>
      <c r="H32" s="20">
        <f>+H16-H18+H30</f>
        <v>-188.84</v>
      </c>
      <c r="I32" s="13"/>
      <c r="J32" s="21">
        <f>IF(H$12=0,0,H32/H$12)</f>
        <v>0</v>
      </c>
      <c r="K32" s="15"/>
      <c r="L32" s="20">
        <f>+D32-H32</f>
        <v>188.84</v>
      </c>
      <c r="M32" s="15"/>
      <c r="N32" s="21">
        <f>IF(H32=0,0,L32/H32)</f>
        <v>-1</v>
      </c>
      <c r="O32" s="25"/>
      <c r="P32" s="20">
        <f>+P16-P18+P30</f>
        <v>-69.290000000000006</v>
      </c>
      <c r="Q32" s="13"/>
      <c r="R32" s="21">
        <f>IF(P$12=0,0,P32/P$12)</f>
        <v>0</v>
      </c>
      <c r="S32" s="13"/>
      <c r="T32" s="20">
        <f>+T16-T18+T30</f>
        <v>-1744.5</v>
      </c>
      <c r="U32" s="13"/>
      <c r="V32" s="21">
        <f>IF(T$12=0,0,T32/T$12)</f>
        <v>0</v>
      </c>
      <c r="W32" s="15"/>
      <c r="X32" s="20">
        <f>+P32-T32</f>
        <v>1675.21</v>
      </c>
      <c r="Y32" s="15"/>
      <c r="Z32" s="21">
        <f>IF(T32=0,0,X32/T32)</f>
        <v>-0.96028088277443391</v>
      </c>
    </row>
    <row r="33" spans="1:26" x14ac:dyDescent="0.3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3">
      <c r="A34" s="51"/>
      <c r="B34" s="10" t="s">
        <v>127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3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125</v>
      </c>
      <c r="C36" s="26"/>
      <c r="D36" s="32">
        <f>+D32-D34</f>
        <v>0</v>
      </c>
      <c r="E36" s="13"/>
      <c r="F36" s="35">
        <f>IF(D$12=0,0,D36/D$12)</f>
        <v>0</v>
      </c>
      <c r="G36" s="13"/>
      <c r="H36" s="32">
        <f>+H32-H34</f>
        <v>-188.84</v>
      </c>
      <c r="I36" s="13"/>
      <c r="J36" s="35">
        <f>IF(H$12=0,0,H36/H$12)</f>
        <v>0</v>
      </c>
      <c r="K36" s="15"/>
      <c r="L36" s="32">
        <f>D36-H36</f>
        <v>188.84</v>
      </c>
      <c r="M36" s="15"/>
      <c r="N36" s="35">
        <f>IF(H36=0,0,L36/H36)</f>
        <v>-1</v>
      </c>
      <c r="O36" s="25"/>
      <c r="P36" s="32">
        <f>+P32-P34</f>
        <v>-69.290000000000006</v>
      </c>
      <c r="Q36" s="13"/>
      <c r="R36" s="35">
        <f>IF(P$12=0,0,P36/P$12)</f>
        <v>0</v>
      </c>
      <c r="S36" s="13"/>
      <c r="T36" s="32">
        <f>+T32-T34</f>
        <v>-1744.5</v>
      </c>
      <c r="U36" s="13"/>
      <c r="V36" s="35">
        <f>IF(T$12=0,0,T36/T$12)</f>
        <v>0</v>
      </c>
      <c r="W36" s="15"/>
      <c r="X36" s="32">
        <f>P36-T36</f>
        <v>1675.21</v>
      </c>
      <c r="Y36" s="15"/>
      <c r="Z36" s="35">
        <f>IF(T36=0,0,X36/T36)</f>
        <v>-0.96028088277443391</v>
      </c>
    </row>
    <row r="37" spans="1:26" ht="15" thickTop="1" x14ac:dyDescent="0.3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3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" thickBot="1" x14ac:dyDescent="0.35">
      <c r="A39" s="10"/>
      <c r="B39" s="26" t="s">
        <v>293</v>
      </c>
      <c r="C39" s="26"/>
      <c r="D39" s="31">
        <f>SUM(D36:D38)</f>
        <v>0</v>
      </c>
      <c r="E39" s="13"/>
      <c r="F39" s="33">
        <f>IF(D$12=0,0,D39/D$12)</f>
        <v>0</v>
      </c>
      <c r="G39" s="13"/>
      <c r="H39" s="31">
        <f>SUM(H36:H38)</f>
        <v>-188.84</v>
      </c>
      <c r="I39" s="13"/>
      <c r="J39" s="33">
        <f>IF(H$12=0,0,H39/H$12)</f>
        <v>0</v>
      </c>
      <c r="K39" s="15"/>
      <c r="L39" s="31">
        <f>+D39-H39</f>
        <v>188.84</v>
      </c>
      <c r="M39" s="15"/>
      <c r="N39" s="33">
        <f>IF(H39=0,0,L39/H39)</f>
        <v>-1</v>
      </c>
      <c r="O39" s="25"/>
      <c r="P39" s="31">
        <f>SUM(P36:P38)</f>
        <v>-69.290000000000006</v>
      </c>
      <c r="Q39" s="13"/>
      <c r="R39" s="33">
        <f>IF(P$12=0,0,P39/P$12)</f>
        <v>0</v>
      </c>
      <c r="S39" s="13"/>
      <c r="T39" s="31">
        <f>SUM(T36:T38)</f>
        <v>-1744.5</v>
      </c>
      <c r="U39" s="13"/>
      <c r="V39" s="33">
        <f>IF(T$12=0,0,T39/T$12)</f>
        <v>0</v>
      </c>
      <c r="W39" s="15"/>
      <c r="X39" s="31">
        <f>+P39-T39</f>
        <v>1675.21</v>
      </c>
      <c r="Y39" s="15"/>
      <c r="Z39" s="33">
        <f>IF(T39=0,0,X39/T39)</f>
        <v>-0.96028088277443391</v>
      </c>
    </row>
    <row r="40" spans="1:26" ht="15" thickTop="1" x14ac:dyDescent="0.3">
      <c r="A40" s="9"/>
      <c r="C40" s="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A41" s="9"/>
      <c r="B41" s="60">
        <v>44575.854680405093</v>
      </c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3">
      <c r="A42" s="9"/>
      <c r="B42" s="57" t="s">
        <v>56</v>
      </c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3">
      <c r="A43" s="9"/>
      <c r="B43" s="59"/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3"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","411", " - ", "University Dining")</f>
        <v>Department 411 - University Dining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22">
        <f>SUM(OSRRefD22x_0)</f>
        <v>45301.119999999995</v>
      </c>
      <c r="E18" s="22"/>
      <c r="F18" s="34">
        <f t="shared" ref="F18:F27" si="0">IF(D$12=0,0,D18/D$12)</f>
        <v>0</v>
      </c>
      <c r="G18" s="22"/>
      <c r="H18" s="22">
        <f>SUM(OSRRefH22x_0)</f>
        <v>33196.869999999995</v>
      </c>
      <c r="I18" s="22"/>
      <c r="J18" s="34">
        <f t="shared" ref="J18:J27" si="1">IF(H$12=0,0,H18/H$12)</f>
        <v>0</v>
      </c>
      <c r="K18" s="4"/>
      <c r="L18" s="22">
        <f t="shared" ref="L18:L27" si="2">+D18-H18</f>
        <v>12104.25</v>
      </c>
      <c r="M18" s="4"/>
      <c r="N18" s="34">
        <f t="shared" ref="N18:N27" si="3">IF(H18=0,0,L18/H18)</f>
        <v>0.36462021871339079</v>
      </c>
      <c r="O18" s="10"/>
      <c r="P18" s="22">
        <f>SUM(OSRRefP22x_0)</f>
        <v>295185.68000000005</v>
      </c>
      <c r="Q18" s="22"/>
      <c r="R18" s="34">
        <f t="shared" ref="R18:R27" si="4">IF(P$12=0,0,P18/P$12)</f>
        <v>0</v>
      </c>
      <c r="S18" s="22"/>
      <c r="T18" s="22">
        <f>SUM(OSRRefT22x_0)</f>
        <v>152396.26000000004</v>
      </c>
      <c r="U18" s="22"/>
      <c r="V18" s="34">
        <f t="shared" ref="V18:V27" si="5">IF(T$12=0,0,T18/T$12)</f>
        <v>0</v>
      </c>
      <c r="W18" s="4"/>
      <c r="X18" s="22">
        <f t="shared" ref="X18:X27" si="6">+P18-T18</f>
        <v>142789.42000000001</v>
      </c>
      <c r="Y18" s="4"/>
      <c r="Z18" s="34">
        <f t="shared" ref="Z18:Z27" si="7">IF(T18=0,0,X18/T18)</f>
        <v>0.93696144511682888</v>
      </c>
    </row>
    <row r="19" spans="1:26" s="29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9492.89</v>
      </c>
      <c r="E19" s="1"/>
      <c r="F19" s="5">
        <f t="shared" si="0"/>
        <v>0</v>
      </c>
      <c r="G19" s="1"/>
      <c r="H19" s="1">
        <f>SUM(OSRRefH22_0x_0)</f>
        <v>5004.6100000000006</v>
      </c>
      <c r="I19" s="1"/>
      <c r="J19" s="5">
        <f t="shared" si="1"/>
        <v>0</v>
      </c>
      <c r="K19" s="1"/>
      <c r="L19" s="1">
        <f t="shared" si="2"/>
        <v>4488.2799999999988</v>
      </c>
      <c r="M19" s="1"/>
      <c r="N19" s="5">
        <f t="shared" si="3"/>
        <v>0.8968291235480883</v>
      </c>
      <c r="O19" s="14"/>
      <c r="P19" s="1">
        <f>SUM(OSRRefP22_0x_0)</f>
        <v>58965.929999999993</v>
      </c>
      <c r="Q19" s="1"/>
      <c r="R19" s="5">
        <f t="shared" si="4"/>
        <v>0</v>
      </c>
      <c r="S19" s="1"/>
      <c r="T19" s="1">
        <f>SUM(OSRRefT22_0x_0)</f>
        <v>36199.509999999995</v>
      </c>
      <c r="U19" s="1"/>
      <c r="V19" s="5">
        <f t="shared" si="5"/>
        <v>0</v>
      </c>
      <c r="W19" s="1"/>
      <c r="X19" s="1">
        <f t="shared" si="6"/>
        <v>22766.42</v>
      </c>
      <c r="Y19" s="1"/>
      <c r="Z19" s="5">
        <f t="shared" si="7"/>
        <v>0.62891514277403204</v>
      </c>
    </row>
    <row r="20" spans="1:26" s="24" customFormat="1" hidden="1" outlineLevel="2" x14ac:dyDescent="0.3">
      <c r="A20" s="28"/>
      <c r="B20" s="11" t="str">
        <f>CONCATENATE("          ", "6111", " - ", "F.I.C.A.")</f>
        <v xml:space="preserve">          6111 - F.I.C.A.</v>
      </c>
      <c r="C20" s="11"/>
      <c r="D20" s="6">
        <v>1254.71</v>
      </c>
      <c r="E20" s="2"/>
      <c r="F20" s="7">
        <f t="shared" si="0"/>
        <v>0</v>
      </c>
      <c r="G20" s="2"/>
      <c r="H20" s="6">
        <v>160.5</v>
      </c>
      <c r="I20" s="2"/>
      <c r="J20" s="7">
        <f t="shared" si="1"/>
        <v>0</v>
      </c>
      <c r="K20" s="2"/>
      <c r="L20" s="6">
        <f t="shared" si="2"/>
        <v>1094.21</v>
      </c>
      <c r="M20" s="2"/>
      <c r="N20" s="7">
        <f t="shared" si="3"/>
        <v>6.8175077881619943</v>
      </c>
      <c r="O20" s="11"/>
      <c r="P20" s="6">
        <v>8813.17</v>
      </c>
      <c r="Q20" s="2"/>
      <c r="R20" s="7">
        <f t="shared" si="4"/>
        <v>0</v>
      </c>
      <c r="S20" s="2"/>
      <c r="T20" s="6">
        <v>5336.09</v>
      </c>
      <c r="U20" s="2"/>
      <c r="V20" s="7">
        <f t="shared" si="5"/>
        <v>0</v>
      </c>
      <c r="W20" s="2"/>
      <c r="X20" s="6">
        <f t="shared" si="6"/>
        <v>3477.08</v>
      </c>
      <c r="Y20" s="2"/>
      <c r="Z20" s="7">
        <f t="shared" si="7"/>
        <v>0.65161569613705916</v>
      </c>
    </row>
    <row r="21" spans="1:26" s="24" customFormat="1" hidden="1" outlineLevel="2" x14ac:dyDescent="0.3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230.98</v>
      </c>
      <c r="E21" s="2"/>
      <c r="F21" s="7">
        <f t="shared" si="0"/>
        <v>0</v>
      </c>
      <c r="G21" s="2"/>
      <c r="H21" s="6">
        <v>94.86</v>
      </c>
      <c r="I21" s="2"/>
      <c r="J21" s="7">
        <f t="shared" si="1"/>
        <v>0</v>
      </c>
      <c r="K21" s="2"/>
      <c r="L21" s="6">
        <f t="shared" si="2"/>
        <v>136.12</v>
      </c>
      <c r="M21" s="2"/>
      <c r="N21" s="7">
        <f t="shared" si="3"/>
        <v>1.434956778410289</v>
      </c>
      <c r="O21" s="11"/>
      <c r="P21" s="6">
        <v>1471.08</v>
      </c>
      <c r="Q21" s="2"/>
      <c r="R21" s="7">
        <f t="shared" si="4"/>
        <v>0</v>
      </c>
      <c r="S21" s="2"/>
      <c r="T21" s="6">
        <v>425.07</v>
      </c>
      <c r="U21" s="2"/>
      <c r="V21" s="7">
        <f t="shared" si="5"/>
        <v>0</v>
      </c>
      <c r="W21" s="2"/>
      <c r="X21" s="6">
        <f t="shared" si="6"/>
        <v>1046.01</v>
      </c>
      <c r="Y21" s="2"/>
      <c r="Z21" s="7">
        <f t="shared" si="7"/>
        <v>2.4607946926388595</v>
      </c>
    </row>
    <row r="22" spans="1:26" s="24" customFormat="1" hidden="1" outlineLevel="2" x14ac:dyDescent="0.3">
      <c r="A22" s="28"/>
      <c r="B22" s="11" t="str">
        <f>CONCATENATE("          ", "6113", " - ", "GROUP INSURANCE")</f>
        <v xml:space="preserve">          6113 - GROUP INSURANCE</v>
      </c>
      <c r="C22" s="11"/>
      <c r="D22" s="6">
        <v>3318.36</v>
      </c>
      <c r="E22" s="2"/>
      <c r="F22" s="7">
        <f t="shared" si="0"/>
        <v>0</v>
      </c>
      <c r="G22" s="2"/>
      <c r="H22" s="6">
        <v>1950.75</v>
      </c>
      <c r="I22" s="2"/>
      <c r="J22" s="7">
        <f t="shared" si="1"/>
        <v>0</v>
      </c>
      <c r="K22" s="2"/>
      <c r="L22" s="6">
        <f t="shared" si="2"/>
        <v>1367.6100000000001</v>
      </c>
      <c r="M22" s="2"/>
      <c r="N22" s="7">
        <f t="shared" si="3"/>
        <v>0.70106881968473667</v>
      </c>
      <c r="O22" s="11"/>
      <c r="P22" s="6">
        <v>19928.91</v>
      </c>
      <c r="Q22" s="2"/>
      <c r="R22" s="7">
        <f t="shared" si="4"/>
        <v>0</v>
      </c>
      <c r="S22" s="2"/>
      <c r="T22" s="6">
        <v>10570.47</v>
      </c>
      <c r="U22" s="2"/>
      <c r="V22" s="7">
        <f t="shared" si="5"/>
        <v>0</v>
      </c>
      <c r="W22" s="2"/>
      <c r="X22" s="6">
        <f t="shared" si="6"/>
        <v>9358.44</v>
      </c>
      <c r="Y22" s="2"/>
      <c r="Z22" s="7">
        <f t="shared" si="7"/>
        <v>0.88533811646975025</v>
      </c>
    </row>
    <row r="23" spans="1:26" s="24" customFormat="1" hidden="1" outlineLevel="2" x14ac:dyDescent="0.3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46.55</v>
      </c>
      <c r="E23" s="2"/>
      <c r="F23" s="7">
        <f t="shared" si="0"/>
        <v>0</v>
      </c>
      <c r="G23" s="2"/>
      <c r="H23" s="6"/>
      <c r="I23" s="2"/>
      <c r="J23" s="7">
        <f t="shared" si="1"/>
        <v>0</v>
      </c>
      <c r="K23" s="2"/>
      <c r="L23" s="6">
        <f t="shared" si="2"/>
        <v>46.55</v>
      </c>
      <c r="M23" s="2"/>
      <c r="N23" s="7">
        <f t="shared" si="3"/>
        <v>0</v>
      </c>
      <c r="O23" s="11"/>
      <c r="P23" s="6">
        <v>296.48</v>
      </c>
      <c r="Q23" s="2"/>
      <c r="R23" s="7">
        <f t="shared" si="4"/>
        <v>0</v>
      </c>
      <c r="S23" s="2"/>
      <c r="T23" s="6">
        <v>195.27</v>
      </c>
      <c r="U23" s="2"/>
      <c r="V23" s="7">
        <f t="shared" si="5"/>
        <v>0</v>
      </c>
      <c r="W23" s="2"/>
      <c r="X23" s="6">
        <f t="shared" si="6"/>
        <v>101.21000000000001</v>
      </c>
      <c r="Y23" s="2"/>
      <c r="Z23" s="7">
        <f t="shared" si="7"/>
        <v>0.51830798381727861</v>
      </c>
    </row>
    <row r="24" spans="1:26" s="24" customFormat="1" hidden="1" outlineLevel="2" x14ac:dyDescent="0.3">
      <c r="A24" s="28"/>
      <c r="B24" s="11" t="str">
        <f>CONCATENATE("          ", "6115", " - ", "P.E.R.S.")</f>
        <v xml:space="preserve">          6115 - P.E.R.S.</v>
      </c>
      <c r="C24" s="11"/>
      <c r="D24" s="6">
        <v>1948.13</v>
      </c>
      <c r="E24" s="2"/>
      <c r="F24" s="7">
        <f t="shared" si="0"/>
        <v>0</v>
      </c>
      <c r="G24" s="2"/>
      <c r="H24" s="6">
        <v>1221.05</v>
      </c>
      <c r="I24" s="2"/>
      <c r="J24" s="7">
        <f t="shared" si="1"/>
        <v>0</v>
      </c>
      <c r="K24" s="2"/>
      <c r="L24" s="6">
        <f t="shared" si="2"/>
        <v>727.08000000000015</v>
      </c>
      <c r="M24" s="2"/>
      <c r="N24" s="7">
        <f t="shared" si="3"/>
        <v>0.5954547315834734</v>
      </c>
      <c r="O24" s="11"/>
      <c r="P24" s="6">
        <v>12325.7</v>
      </c>
      <c r="Q24" s="2"/>
      <c r="R24" s="7">
        <f t="shared" si="4"/>
        <v>0</v>
      </c>
      <c r="S24" s="2"/>
      <c r="T24" s="6">
        <v>8987.2099999999991</v>
      </c>
      <c r="U24" s="2"/>
      <c r="V24" s="7">
        <f t="shared" si="5"/>
        <v>0</v>
      </c>
      <c r="W24" s="2"/>
      <c r="X24" s="6">
        <f t="shared" si="6"/>
        <v>3338.4900000000016</v>
      </c>
      <c r="Y24" s="2"/>
      <c r="Z24" s="7">
        <f t="shared" si="7"/>
        <v>0.3714712352331816</v>
      </c>
    </row>
    <row r="25" spans="1:26" s="24" customFormat="1" hidden="1" outlineLevel="2" x14ac:dyDescent="0.3">
      <c r="A25" s="28"/>
      <c r="B25" s="11" t="str">
        <f>CONCATENATE("          ", "6118", " - ", "VACATION")</f>
        <v xml:space="preserve">          6118 - VACATION</v>
      </c>
      <c r="C25" s="11"/>
      <c r="D25" s="6">
        <v>1579.7</v>
      </c>
      <c r="E25" s="2"/>
      <c r="F25" s="7">
        <f t="shared" si="0"/>
        <v>0</v>
      </c>
      <c r="G25" s="2"/>
      <c r="H25" s="6">
        <v>1022.52</v>
      </c>
      <c r="I25" s="2"/>
      <c r="J25" s="7">
        <f t="shared" si="1"/>
        <v>0</v>
      </c>
      <c r="K25" s="2"/>
      <c r="L25" s="6">
        <f t="shared" si="2"/>
        <v>557.18000000000006</v>
      </c>
      <c r="M25" s="2"/>
      <c r="N25" s="7">
        <f t="shared" si="3"/>
        <v>0.54490865704338309</v>
      </c>
      <c r="O25" s="11"/>
      <c r="P25" s="6">
        <v>9994.6299999999992</v>
      </c>
      <c r="Q25" s="2"/>
      <c r="R25" s="7">
        <f t="shared" si="4"/>
        <v>0</v>
      </c>
      <c r="S25" s="2"/>
      <c r="T25" s="6">
        <v>6838.52</v>
      </c>
      <c r="U25" s="2"/>
      <c r="V25" s="7">
        <f t="shared" si="5"/>
        <v>0</v>
      </c>
      <c r="W25" s="2"/>
      <c r="X25" s="6">
        <f t="shared" si="6"/>
        <v>3156.1099999999988</v>
      </c>
      <c r="Y25" s="2"/>
      <c r="Z25" s="7">
        <f t="shared" si="7"/>
        <v>0.46151945157724167</v>
      </c>
    </row>
    <row r="26" spans="1:26" s="24" customFormat="1" hidden="1" outlineLevel="2" x14ac:dyDescent="0.3">
      <c r="A26" s="28"/>
      <c r="B26" s="11" t="str">
        <f>CONCATENATE("          ", "6119", " - ", "SICK LEAVE")</f>
        <v xml:space="preserve">          6119 - SICK LEAVE</v>
      </c>
      <c r="C26" s="11"/>
      <c r="D26" s="6">
        <v>825.9</v>
      </c>
      <c r="E26" s="2"/>
      <c r="F26" s="7">
        <f t="shared" si="0"/>
        <v>0</v>
      </c>
      <c r="G26" s="2"/>
      <c r="H26" s="6">
        <v>510.58</v>
      </c>
      <c r="I26" s="2"/>
      <c r="J26" s="7">
        <f t="shared" si="1"/>
        <v>0</v>
      </c>
      <c r="K26" s="2"/>
      <c r="L26" s="6">
        <f t="shared" si="2"/>
        <v>315.32</v>
      </c>
      <c r="M26" s="2"/>
      <c r="N26" s="7">
        <f t="shared" si="3"/>
        <v>0.61757217282306398</v>
      </c>
      <c r="O26" s="11"/>
      <c r="P26" s="6">
        <v>4374.75</v>
      </c>
      <c r="Q26" s="2"/>
      <c r="R26" s="7">
        <f t="shared" si="4"/>
        <v>0</v>
      </c>
      <c r="S26" s="2"/>
      <c r="T26" s="6">
        <v>3414.71</v>
      </c>
      <c r="U26" s="2"/>
      <c r="V26" s="7">
        <f t="shared" si="5"/>
        <v>0</v>
      </c>
      <c r="W26" s="2"/>
      <c r="X26" s="6">
        <f t="shared" si="6"/>
        <v>960.04</v>
      </c>
      <c r="Y26" s="2"/>
      <c r="Z26" s="7">
        <f t="shared" si="7"/>
        <v>0.28114832591933137</v>
      </c>
    </row>
    <row r="27" spans="1:26" s="24" customFormat="1" hidden="1" outlineLevel="2" x14ac:dyDescent="0.3">
      <c r="A27" s="28"/>
      <c r="B27" s="11" t="str">
        <f>CONCATENATE("          ", "6156", " - ", "EMPLOYEE MEALS")</f>
        <v xml:space="preserve">          6156 - EMPLOYEE MEALS</v>
      </c>
      <c r="C27" s="11"/>
      <c r="D27" s="6">
        <v>288.56</v>
      </c>
      <c r="E27" s="2"/>
      <c r="F27" s="7">
        <f t="shared" si="0"/>
        <v>0</v>
      </c>
      <c r="G27" s="2"/>
      <c r="H27" s="6">
        <v>44.35</v>
      </c>
      <c r="I27" s="2"/>
      <c r="J27" s="7">
        <f t="shared" si="1"/>
        <v>0</v>
      </c>
      <c r="K27" s="2"/>
      <c r="L27" s="6">
        <f t="shared" si="2"/>
        <v>244.21</v>
      </c>
      <c r="M27" s="2"/>
      <c r="N27" s="7">
        <f t="shared" si="3"/>
        <v>5.5064261555806091</v>
      </c>
      <c r="O27" s="11"/>
      <c r="P27" s="6">
        <v>1761.21</v>
      </c>
      <c r="Q27" s="2"/>
      <c r="R27" s="7">
        <f t="shared" si="4"/>
        <v>0</v>
      </c>
      <c r="S27" s="2"/>
      <c r="T27" s="6">
        <v>432.17</v>
      </c>
      <c r="U27" s="2"/>
      <c r="V27" s="7">
        <f t="shared" si="5"/>
        <v>0</v>
      </c>
      <c r="W27" s="2"/>
      <c r="X27" s="6">
        <f t="shared" si="6"/>
        <v>1329.04</v>
      </c>
      <c r="Y27" s="2"/>
      <c r="Z27" s="7">
        <f t="shared" si="7"/>
        <v>3.0752713052733878</v>
      </c>
    </row>
    <row r="28" spans="1:26" s="29" customFormat="1" outlineLevel="1" collapsed="1" x14ac:dyDescent="0.3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15747.88</v>
      </c>
      <c r="E28" s="1"/>
      <c r="F28" s="5">
        <f t="shared" ref="F28:F33" si="8">IF(D$12=0,0,D28/D$12)</f>
        <v>0</v>
      </c>
      <c r="G28" s="1"/>
      <c r="H28" s="1">
        <f>SUM(OSRRefH22_1x_0)</f>
        <v>8855.42</v>
      </c>
      <c r="I28" s="1"/>
      <c r="J28" s="5">
        <f t="shared" ref="J28:J33" si="9">IF(H$12=0,0,H28/H$12)</f>
        <v>0</v>
      </c>
      <c r="K28" s="1"/>
      <c r="L28" s="1">
        <f t="shared" ref="L28:L33" si="10">+D28-H28</f>
        <v>6892.4599999999991</v>
      </c>
      <c r="M28" s="1"/>
      <c r="N28" s="5">
        <f t="shared" ref="N28:N33" si="11">IF(H28=0,0,L28/H28)</f>
        <v>0.77833236594085875</v>
      </c>
      <c r="O28" s="14"/>
      <c r="P28" s="1">
        <f>SUM(OSRRefP22_1x_0)</f>
        <v>103849.13999999998</v>
      </c>
      <c r="Q28" s="1"/>
      <c r="R28" s="5">
        <f t="shared" ref="R28:R33" si="12">IF(P$12=0,0,P28/P$12)</f>
        <v>0</v>
      </c>
      <c r="S28" s="1"/>
      <c r="T28" s="1">
        <f>SUM(OSRRefT22_1x_0)</f>
        <v>65064.800000000003</v>
      </c>
      <c r="U28" s="1"/>
      <c r="V28" s="5">
        <f t="shared" ref="V28:V33" si="13">IF(T$12=0,0,T28/T$12)</f>
        <v>0</v>
      </c>
      <c r="W28" s="1"/>
      <c r="X28" s="1">
        <f t="shared" ref="X28:X33" si="14">+P28-T28</f>
        <v>38784.339999999982</v>
      </c>
      <c r="Y28" s="1"/>
      <c r="Z28" s="5">
        <f t="shared" ref="Z28:Z33" si="15">IF(T28=0,0,X28/T28)</f>
        <v>0.5960879000627064</v>
      </c>
    </row>
    <row r="29" spans="1:26" s="24" customFormat="1" hidden="1" outlineLevel="2" x14ac:dyDescent="0.3">
      <c r="A29" s="28"/>
      <c r="B29" s="11" t="str">
        <f>CONCATENATE("          ", "6001", " - ", "ADMINISTRATIVE SALARIES")</f>
        <v xml:space="preserve">          6001 - ADMINISTRATIVE SALARIES</v>
      </c>
      <c r="C29" s="11"/>
      <c r="D29" s="6">
        <v>10936.46</v>
      </c>
      <c r="E29" s="2"/>
      <c r="F29" s="7">
        <f t="shared" si="8"/>
        <v>0</v>
      </c>
      <c r="G29" s="2"/>
      <c r="H29" s="6">
        <v>8855.42</v>
      </c>
      <c r="I29" s="2"/>
      <c r="J29" s="7">
        <f t="shared" si="9"/>
        <v>0</v>
      </c>
      <c r="K29" s="2"/>
      <c r="L29" s="6">
        <f t="shared" si="10"/>
        <v>2081.0399999999991</v>
      </c>
      <c r="M29" s="2"/>
      <c r="N29" s="7">
        <f t="shared" si="11"/>
        <v>0.2350018406806226</v>
      </c>
      <c r="O29" s="11"/>
      <c r="P29" s="6">
        <v>63869.77</v>
      </c>
      <c r="Q29" s="2"/>
      <c r="R29" s="7">
        <f t="shared" si="12"/>
        <v>0</v>
      </c>
      <c r="S29" s="2"/>
      <c r="T29" s="6">
        <v>62679.8</v>
      </c>
      <c r="U29" s="2"/>
      <c r="V29" s="7">
        <f t="shared" si="13"/>
        <v>0</v>
      </c>
      <c r="W29" s="2"/>
      <c r="X29" s="6">
        <f t="shared" si="14"/>
        <v>1189.9699999999939</v>
      </c>
      <c r="Y29" s="2"/>
      <c r="Z29" s="7">
        <f t="shared" si="15"/>
        <v>1.8984904227518178E-2</v>
      </c>
    </row>
    <row r="30" spans="1:26" s="24" customFormat="1" hidden="1" outlineLevel="2" x14ac:dyDescent="0.3">
      <c r="A30" s="28"/>
      <c r="B30" s="11" t="str">
        <f>CONCATENATE("          ", "6002", " - ", "STAFF SALARIES")</f>
        <v xml:space="preserve">          6002 - STAFF SALARIES</v>
      </c>
      <c r="C30" s="11"/>
      <c r="D30" s="6">
        <v>4475.5</v>
      </c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4475.5</v>
      </c>
      <c r="M30" s="2"/>
      <c r="N30" s="7">
        <f t="shared" si="11"/>
        <v>0</v>
      </c>
      <c r="O30" s="11"/>
      <c r="P30" s="6">
        <v>36972.129999999997</v>
      </c>
      <c r="Q30" s="2"/>
      <c r="R30" s="7">
        <f t="shared" si="12"/>
        <v>0</v>
      </c>
      <c r="S30" s="2"/>
      <c r="T30" s="6">
        <v>2080</v>
      </c>
      <c r="U30" s="2"/>
      <c r="V30" s="7">
        <f t="shared" si="13"/>
        <v>0</v>
      </c>
      <c r="W30" s="2"/>
      <c r="X30" s="6">
        <f t="shared" si="14"/>
        <v>34892.129999999997</v>
      </c>
      <c r="Y30" s="2"/>
      <c r="Z30" s="7">
        <f t="shared" si="15"/>
        <v>16.775062499999997</v>
      </c>
    </row>
    <row r="31" spans="1:26" s="24" customFormat="1" hidden="1" outlineLevel="2" x14ac:dyDescent="0.3">
      <c r="A31" s="28"/>
      <c r="B31" s="11" t="str">
        <f>CONCATENATE("          ", "6004", " - ", "STAFF HOURLY")</f>
        <v xml:space="preserve">          6004 - STAFF HOURLY</v>
      </c>
      <c r="C31" s="11"/>
      <c r="D31" s="6">
        <v>335.92</v>
      </c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335.92</v>
      </c>
      <c r="M31" s="2"/>
      <c r="N31" s="7">
        <f t="shared" si="11"/>
        <v>0</v>
      </c>
      <c r="O31" s="11"/>
      <c r="P31" s="6">
        <v>1380.76</v>
      </c>
      <c r="Q31" s="2"/>
      <c r="R31" s="7">
        <f t="shared" si="12"/>
        <v>0</v>
      </c>
      <c r="S31" s="2"/>
      <c r="T31" s="6"/>
      <c r="U31" s="2"/>
      <c r="V31" s="7">
        <f t="shared" si="13"/>
        <v>0</v>
      </c>
      <c r="W31" s="2"/>
      <c r="X31" s="6">
        <f t="shared" si="14"/>
        <v>1380.76</v>
      </c>
      <c r="Y31" s="2"/>
      <c r="Z31" s="7">
        <f t="shared" si="15"/>
        <v>0</v>
      </c>
    </row>
    <row r="32" spans="1:26" s="24" customFormat="1" hidden="1" outlineLevel="2" x14ac:dyDescent="0.3">
      <c r="A32" s="28"/>
      <c r="B32" s="11" t="str">
        <f>CONCATENATE("          ", "6005", " - ", "TEMPORARY WAGES-HOURLY")</f>
        <v xml:space="preserve">          6005 - TEMPORARY WAGES-HOURLY</v>
      </c>
      <c r="C32" s="11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>
        <v>1626.48</v>
      </c>
      <c r="Q32" s="2"/>
      <c r="R32" s="7">
        <f t="shared" si="12"/>
        <v>0</v>
      </c>
      <c r="S32" s="2"/>
      <c r="T32" s="6">
        <v>305</v>
      </c>
      <c r="U32" s="2"/>
      <c r="V32" s="7">
        <f t="shared" si="13"/>
        <v>0</v>
      </c>
      <c r="W32" s="2"/>
      <c r="X32" s="6">
        <f t="shared" si="14"/>
        <v>1321.48</v>
      </c>
      <c r="Y32" s="2"/>
      <c r="Z32" s="7">
        <f t="shared" si="15"/>
        <v>4.3327213114754102</v>
      </c>
    </row>
    <row r="33" spans="1:26" s="24" customFormat="1" hidden="1" outlineLevel="2" x14ac:dyDescent="0.3">
      <c r="A33" s="28"/>
      <c r="B33" s="11" t="str">
        <f>CONCATENATE("          ", "6007", " - ", "STUDENT HOURLY")</f>
        <v xml:space="preserve">          6007 - STUDENT HOURLY</v>
      </c>
      <c r="C33" s="11"/>
      <c r="D33" s="6"/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>
        <v>0</v>
      </c>
      <c r="Q33" s="2"/>
      <c r="R33" s="7">
        <f t="shared" si="12"/>
        <v>0</v>
      </c>
      <c r="S33" s="2"/>
      <c r="T33" s="6"/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9" customFormat="1" outlineLevel="1" collapsed="1" x14ac:dyDescent="0.3">
      <c r="A34" s="27"/>
      <c r="B34" s="14" t="str">
        <f>CONCATENATE("     ","Bank/card Fees                                    ")</f>
        <v xml:space="preserve">     Bank/card Fees                                    </v>
      </c>
      <c r="C34" s="14"/>
      <c r="D34" s="1">
        <f>SUM(OSRRefD22_2x_0)</f>
        <v>267</v>
      </c>
      <c r="E34" s="1"/>
      <c r="F34" s="5">
        <f t="shared" ref="F34:F38" si="16">IF(D$12=0,0,D34/D$12)</f>
        <v>0</v>
      </c>
      <c r="G34" s="1"/>
      <c r="H34" s="1">
        <f>SUM(OSRRefH22_2x_0)</f>
        <v>361.96</v>
      </c>
      <c r="I34" s="1"/>
      <c r="J34" s="5">
        <f t="shared" ref="J34:J38" si="17">IF(H$12=0,0,H34/H$12)</f>
        <v>0</v>
      </c>
      <c r="K34" s="1"/>
      <c r="L34" s="1">
        <f t="shared" ref="L34:L38" si="18">+D34-H34</f>
        <v>-94.95999999999998</v>
      </c>
      <c r="M34" s="1"/>
      <c r="N34" s="5">
        <f t="shared" ref="N34:N38" si="19">IF(H34=0,0,L34/H34)</f>
        <v>-0.26234943087633988</v>
      </c>
      <c r="O34" s="14"/>
      <c r="P34" s="1">
        <f>SUM(OSRRefP22_2x_0)</f>
        <v>1406.39</v>
      </c>
      <c r="Q34" s="1"/>
      <c r="R34" s="5">
        <f t="shared" ref="R34:R38" si="20">IF(P$12=0,0,P34/P$12)</f>
        <v>0</v>
      </c>
      <c r="S34" s="1"/>
      <c r="T34" s="1">
        <f>SUM(OSRRefT22_2x_0)</f>
        <v>2187.91</v>
      </c>
      <c r="U34" s="1"/>
      <c r="V34" s="5">
        <f t="shared" ref="V34:V38" si="21">IF(T$12=0,0,T34/T$12)</f>
        <v>0</v>
      </c>
      <c r="W34" s="1"/>
      <c r="X34" s="1">
        <f t="shared" ref="X34:X38" si="22">+P34-T34</f>
        <v>-781.51999999999975</v>
      </c>
      <c r="Y34" s="1"/>
      <c r="Z34" s="5">
        <f t="shared" ref="Z34:Z38" si="23">IF(T34=0,0,X34/T34)</f>
        <v>-0.35719933635295775</v>
      </c>
    </row>
    <row r="35" spans="1:26" s="24" customFormat="1" hidden="1" outlineLevel="2" x14ac:dyDescent="0.3">
      <c r="A35" s="28"/>
      <c r="B35" s="11" t="str">
        <f>CONCATENATE("          ", "6381", " - ", "BANK/CREDIT CARD FEES")</f>
        <v xml:space="preserve">          6381 - BANK/CREDIT CARD FEES</v>
      </c>
      <c r="C35" s="11"/>
      <c r="D35" s="6">
        <v>267</v>
      </c>
      <c r="E35" s="2"/>
      <c r="F35" s="7">
        <f t="shared" si="16"/>
        <v>0</v>
      </c>
      <c r="G35" s="2"/>
      <c r="H35" s="6">
        <v>361.96</v>
      </c>
      <c r="I35" s="2"/>
      <c r="J35" s="7">
        <f t="shared" si="17"/>
        <v>0</v>
      </c>
      <c r="K35" s="2"/>
      <c r="L35" s="6">
        <f t="shared" si="18"/>
        <v>-94.95999999999998</v>
      </c>
      <c r="M35" s="2"/>
      <c r="N35" s="7">
        <f t="shared" si="19"/>
        <v>-0.26234943087633988</v>
      </c>
      <c r="O35" s="11"/>
      <c r="P35" s="6">
        <v>1406.39</v>
      </c>
      <c r="Q35" s="2"/>
      <c r="R35" s="7">
        <f t="shared" si="20"/>
        <v>0</v>
      </c>
      <c r="S35" s="2"/>
      <c r="T35" s="6">
        <v>2187.91</v>
      </c>
      <c r="U35" s="2"/>
      <c r="V35" s="7">
        <f t="shared" si="21"/>
        <v>0</v>
      </c>
      <c r="W35" s="2"/>
      <c r="X35" s="6">
        <f t="shared" si="22"/>
        <v>-781.51999999999975</v>
      </c>
      <c r="Y35" s="2"/>
      <c r="Z35" s="7">
        <f t="shared" si="23"/>
        <v>-0.35719933635295775</v>
      </c>
    </row>
    <row r="36" spans="1:26" s="29" customFormat="1" outlineLevel="1" collapsed="1" x14ac:dyDescent="0.3">
      <c r="A36" s="27"/>
      <c r="B36" s="14" t="str">
        <f>CONCATENATE("     ","Depreciation                                      ")</f>
        <v xml:space="preserve">     Depreciation                                      </v>
      </c>
      <c r="C36" s="14"/>
      <c r="D36" s="1">
        <f>SUM(OSRRefD22_3x_0)</f>
        <v>5331.53</v>
      </c>
      <c r="E36" s="1"/>
      <c r="F36" s="5">
        <f t="shared" si="16"/>
        <v>0</v>
      </c>
      <c r="G36" s="1"/>
      <c r="H36" s="1">
        <f>SUM(OSRRefH22_3x_0)</f>
        <v>6779.8600000000006</v>
      </c>
      <c r="I36" s="1"/>
      <c r="J36" s="5">
        <f t="shared" si="17"/>
        <v>0</v>
      </c>
      <c r="K36" s="1"/>
      <c r="L36" s="1">
        <f t="shared" si="18"/>
        <v>-1448.3300000000008</v>
      </c>
      <c r="M36" s="1"/>
      <c r="N36" s="5">
        <f t="shared" si="19"/>
        <v>-0.21362240518240799</v>
      </c>
      <c r="O36" s="14"/>
      <c r="P36" s="1">
        <f>SUM(OSRRefP22_3x_0)</f>
        <v>31989.18</v>
      </c>
      <c r="Q36" s="1"/>
      <c r="R36" s="5">
        <f t="shared" si="20"/>
        <v>0</v>
      </c>
      <c r="S36" s="1"/>
      <c r="T36" s="1">
        <f>SUM(OSRRefT22_3x_0)</f>
        <v>41463.350000000006</v>
      </c>
      <c r="U36" s="1"/>
      <c r="V36" s="5">
        <f t="shared" si="21"/>
        <v>0</v>
      </c>
      <c r="W36" s="1"/>
      <c r="X36" s="1">
        <f t="shared" si="22"/>
        <v>-9474.1700000000055</v>
      </c>
      <c r="Y36" s="1"/>
      <c r="Z36" s="5">
        <f t="shared" si="23"/>
        <v>-0.22849504441874582</v>
      </c>
    </row>
    <row r="37" spans="1:26" s="24" customFormat="1" hidden="1" outlineLevel="2" x14ac:dyDescent="0.3">
      <c r="A37" s="28"/>
      <c r="B37" s="11" t="str">
        <f>CONCATENATE("          ", "6321", " - ", "BUILDING DEPRECIATION")</f>
        <v xml:space="preserve">          6321 - BUILDING DEPRECIATION</v>
      </c>
      <c r="C37" s="11"/>
      <c r="D37" s="6">
        <v>1822.68</v>
      </c>
      <c r="E37" s="2"/>
      <c r="F37" s="7">
        <f t="shared" si="16"/>
        <v>0</v>
      </c>
      <c r="G37" s="2"/>
      <c r="H37" s="6">
        <v>1822.68</v>
      </c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>
        <v>10936.08</v>
      </c>
      <c r="Q37" s="2"/>
      <c r="R37" s="7">
        <f t="shared" si="20"/>
        <v>0</v>
      </c>
      <c r="S37" s="2"/>
      <c r="T37" s="6">
        <v>11720.27</v>
      </c>
      <c r="U37" s="2"/>
      <c r="V37" s="7">
        <f t="shared" si="21"/>
        <v>0</v>
      </c>
      <c r="W37" s="2"/>
      <c r="X37" s="6">
        <f t="shared" si="22"/>
        <v>-784.19000000000051</v>
      </c>
      <c r="Y37" s="2"/>
      <c r="Z37" s="7">
        <f t="shared" si="23"/>
        <v>-6.6908868140409777E-2</v>
      </c>
    </row>
    <row r="38" spans="1:26" s="24" customFormat="1" hidden="1" outlineLevel="2" x14ac:dyDescent="0.3">
      <c r="A38" s="28"/>
      <c r="B38" s="11" t="str">
        <f>CONCATENATE("          ", "6322", " - ", "EQUIPMENT DEPRECIATION EXPENSE")</f>
        <v xml:space="preserve">          6322 - EQUIPMENT DEPRECIATION EXPENSE</v>
      </c>
      <c r="C38" s="11"/>
      <c r="D38" s="6">
        <v>3508.85</v>
      </c>
      <c r="E38" s="2"/>
      <c r="F38" s="7">
        <f t="shared" si="16"/>
        <v>0</v>
      </c>
      <c r="G38" s="2"/>
      <c r="H38" s="6">
        <v>4957.18</v>
      </c>
      <c r="I38" s="2"/>
      <c r="J38" s="7">
        <f t="shared" si="17"/>
        <v>0</v>
      </c>
      <c r="K38" s="2"/>
      <c r="L38" s="6">
        <f t="shared" si="18"/>
        <v>-1448.3300000000004</v>
      </c>
      <c r="M38" s="2"/>
      <c r="N38" s="7">
        <f t="shared" si="19"/>
        <v>-0.29216812784688073</v>
      </c>
      <c r="O38" s="11"/>
      <c r="P38" s="6">
        <v>21053.1</v>
      </c>
      <c r="Q38" s="2"/>
      <c r="R38" s="7">
        <f t="shared" si="20"/>
        <v>0</v>
      </c>
      <c r="S38" s="2"/>
      <c r="T38" s="6">
        <v>29743.08</v>
      </c>
      <c r="U38" s="2"/>
      <c r="V38" s="7">
        <f t="shared" si="21"/>
        <v>0</v>
      </c>
      <c r="W38" s="2"/>
      <c r="X38" s="6">
        <f t="shared" si="22"/>
        <v>-8689.9800000000032</v>
      </c>
      <c r="Y38" s="2"/>
      <c r="Z38" s="7">
        <f t="shared" si="23"/>
        <v>-0.29216812784688079</v>
      </c>
    </row>
    <row r="39" spans="1:26" s="29" customFormat="1" outlineLevel="1" collapsed="1" x14ac:dyDescent="0.3">
      <c r="A39" s="27"/>
      <c r="B39" s="14" t="str">
        <f>CONCATENATE("     ","Employees' Appreciation                           ")</f>
        <v xml:space="preserve">     Employees' Appreciation                           </v>
      </c>
      <c r="C39" s="14"/>
      <c r="D39" s="1">
        <f>SUM(OSRRefD22_4x_0)</f>
        <v>0</v>
      </c>
      <c r="E39" s="1"/>
      <c r="F39" s="5">
        <f t="shared" ref="F39:F52" si="24">IF(D$12=0,0,D39/D$12)</f>
        <v>0</v>
      </c>
      <c r="G39" s="1"/>
      <c r="H39" s="1">
        <f>SUM(OSRRefH22_4x_0)</f>
        <v>0</v>
      </c>
      <c r="I39" s="1"/>
      <c r="J39" s="5">
        <f t="shared" ref="J39:J52" si="25">IF(H$12=0,0,H39/H$12)</f>
        <v>0</v>
      </c>
      <c r="K39" s="1"/>
      <c r="L39" s="1">
        <f t="shared" ref="L39:L52" si="26">+D39-H39</f>
        <v>0</v>
      </c>
      <c r="M39" s="1"/>
      <c r="N39" s="5">
        <f t="shared" ref="N39:N52" si="27">IF(H39=0,0,L39/H39)</f>
        <v>0</v>
      </c>
      <c r="O39" s="14"/>
      <c r="P39" s="1">
        <f>SUM(OSRRefP22_4x_0)</f>
        <v>18</v>
      </c>
      <c r="Q39" s="1"/>
      <c r="R39" s="5">
        <f t="shared" ref="R39:R52" si="28">IF(P$12=0,0,P39/P$12)</f>
        <v>0</v>
      </c>
      <c r="S39" s="1"/>
      <c r="T39" s="1">
        <f>SUM(OSRRefT22_4x_0)</f>
        <v>0</v>
      </c>
      <c r="U39" s="1"/>
      <c r="V39" s="5">
        <f t="shared" ref="V39:V52" si="29">IF(T$12=0,0,T39/T$12)</f>
        <v>0</v>
      </c>
      <c r="W39" s="1"/>
      <c r="X39" s="1">
        <f t="shared" ref="X39:X52" si="30">+P39-T39</f>
        <v>18</v>
      </c>
      <c r="Y39" s="1"/>
      <c r="Z39" s="5">
        <f t="shared" ref="Z39:Z52" si="31">IF(T39=0,0,X39/T39)</f>
        <v>0</v>
      </c>
    </row>
    <row r="40" spans="1:26" s="24" customFormat="1" hidden="1" outlineLevel="2" x14ac:dyDescent="0.3">
      <c r="A40" s="28"/>
      <c r="B40" s="11" t="str">
        <f>CONCATENATE("          ", "6277", " - ", "EMPLOYEE APPRECIATION")</f>
        <v xml:space="preserve">          6277 - EMPLOYEE APPRECIATION</v>
      </c>
      <c r="C40" s="11"/>
      <c r="D40" s="6"/>
      <c r="E40" s="2"/>
      <c r="F40" s="7">
        <f t="shared" si="24"/>
        <v>0</v>
      </c>
      <c r="G40" s="2"/>
      <c r="H40" s="6"/>
      <c r="I40" s="2"/>
      <c r="J40" s="7">
        <f t="shared" si="25"/>
        <v>0</v>
      </c>
      <c r="K40" s="2"/>
      <c r="L40" s="6">
        <f t="shared" si="26"/>
        <v>0</v>
      </c>
      <c r="M40" s="2"/>
      <c r="N40" s="7">
        <f t="shared" si="27"/>
        <v>0</v>
      </c>
      <c r="O40" s="11"/>
      <c r="P40" s="6">
        <v>18</v>
      </c>
      <c r="Q40" s="2"/>
      <c r="R40" s="7">
        <f t="shared" si="28"/>
        <v>0</v>
      </c>
      <c r="S40" s="2"/>
      <c r="T40" s="6"/>
      <c r="U40" s="2"/>
      <c r="V40" s="7">
        <f t="shared" si="29"/>
        <v>0</v>
      </c>
      <c r="W40" s="2"/>
      <c r="X40" s="6">
        <f t="shared" si="30"/>
        <v>18</v>
      </c>
      <c r="Y40" s="2"/>
      <c r="Z40" s="7">
        <f t="shared" si="31"/>
        <v>0</v>
      </c>
    </row>
    <row r="41" spans="1:26" s="29" customFormat="1" outlineLevel="1" collapsed="1" x14ac:dyDescent="0.3">
      <c r="A41" s="27"/>
      <c r="B41" s="14" t="str">
        <f>CONCATENATE("     ","Equipment Rental                                  ")</f>
        <v xml:space="preserve">     Equipment Rental                                  </v>
      </c>
      <c r="C41" s="14"/>
      <c r="D41" s="1">
        <f>SUM(OSRRefD22_5x_0)</f>
        <v>91.26</v>
      </c>
      <c r="E41" s="1"/>
      <c r="F41" s="5">
        <f t="shared" si="24"/>
        <v>0</v>
      </c>
      <c r="G41" s="1"/>
      <c r="H41" s="1">
        <f>SUM(OSRRefH22_5x_0)</f>
        <v>91.26</v>
      </c>
      <c r="I41" s="1"/>
      <c r="J41" s="5">
        <f t="shared" si="25"/>
        <v>0</v>
      </c>
      <c r="K41" s="1"/>
      <c r="L41" s="1">
        <f t="shared" si="26"/>
        <v>0</v>
      </c>
      <c r="M41" s="1"/>
      <c r="N41" s="5">
        <f t="shared" si="27"/>
        <v>0</v>
      </c>
      <c r="O41" s="14"/>
      <c r="P41" s="1">
        <f>SUM(OSRRefP22_5x_0)</f>
        <v>547.55999999999995</v>
      </c>
      <c r="Q41" s="1"/>
      <c r="R41" s="5">
        <f t="shared" si="28"/>
        <v>0</v>
      </c>
      <c r="S41" s="1"/>
      <c r="T41" s="1">
        <f>SUM(OSRRefT22_5x_0)</f>
        <v>2836.97</v>
      </c>
      <c r="U41" s="1"/>
      <c r="V41" s="5">
        <f t="shared" si="29"/>
        <v>0</v>
      </c>
      <c r="W41" s="1"/>
      <c r="X41" s="1">
        <f t="shared" si="30"/>
        <v>-2289.41</v>
      </c>
      <c r="Y41" s="1"/>
      <c r="Z41" s="5">
        <f t="shared" si="31"/>
        <v>-0.80699126180396696</v>
      </c>
    </row>
    <row r="42" spans="1:26" s="24" customFormat="1" hidden="1" outlineLevel="2" x14ac:dyDescent="0.3">
      <c r="A42" s="28"/>
      <c r="B42" s="11" t="str">
        <f>CONCATENATE("          ", "6351", " - ", "EQUIPMENT RENTAL")</f>
        <v xml:space="preserve">          6351 - EQUIPMENT RENTAL</v>
      </c>
      <c r="C42" s="11"/>
      <c r="D42" s="6">
        <v>91.26</v>
      </c>
      <c r="E42" s="2"/>
      <c r="F42" s="7">
        <f t="shared" si="24"/>
        <v>0</v>
      </c>
      <c r="G42" s="2"/>
      <c r="H42" s="6">
        <v>91.26</v>
      </c>
      <c r="I42" s="2"/>
      <c r="J42" s="7">
        <f t="shared" si="25"/>
        <v>0</v>
      </c>
      <c r="K42" s="2"/>
      <c r="L42" s="6">
        <f t="shared" si="26"/>
        <v>0</v>
      </c>
      <c r="M42" s="2"/>
      <c r="N42" s="7">
        <f t="shared" si="27"/>
        <v>0</v>
      </c>
      <c r="O42" s="11"/>
      <c r="P42" s="6">
        <v>547.55999999999995</v>
      </c>
      <c r="Q42" s="2"/>
      <c r="R42" s="7">
        <f t="shared" si="28"/>
        <v>0</v>
      </c>
      <c r="S42" s="2"/>
      <c r="T42" s="6">
        <v>2836.97</v>
      </c>
      <c r="U42" s="2"/>
      <c r="V42" s="7">
        <f t="shared" si="29"/>
        <v>0</v>
      </c>
      <c r="W42" s="2"/>
      <c r="X42" s="6">
        <f t="shared" si="30"/>
        <v>-2289.41</v>
      </c>
      <c r="Y42" s="2"/>
      <c r="Z42" s="7">
        <f t="shared" si="31"/>
        <v>-0.80699126180396696</v>
      </c>
    </row>
    <row r="43" spans="1:26" s="29" customFormat="1" outlineLevel="1" collapsed="1" x14ac:dyDescent="0.3">
      <c r="A43" s="27"/>
      <c r="B43" s="14" t="str">
        <f>CONCATENATE("     ","Freight out/Postage                               ")</f>
        <v xml:space="preserve">     Freight out/Postage                               </v>
      </c>
      <c r="C43" s="14"/>
      <c r="D43" s="1">
        <f>SUM(OSRRefD22_6x_0)</f>
        <v>0</v>
      </c>
      <c r="E43" s="1"/>
      <c r="F43" s="5">
        <f t="shared" si="24"/>
        <v>0</v>
      </c>
      <c r="G43" s="1"/>
      <c r="H43" s="1">
        <f>SUM(OSRRefH22_6x_0)</f>
        <v>0</v>
      </c>
      <c r="I43" s="1"/>
      <c r="J43" s="5">
        <f t="shared" si="25"/>
        <v>0</v>
      </c>
      <c r="K43" s="1"/>
      <c r="L43" s="1">
        <f t="shared" si="26"/>
        <v>0</v>
      </c>
      <c r="M43" s="1"/>
      <c r="N43" s="5">
        <f t="shared" si="27"/>
        <v>0</v>
      </c>
      <c r="O43" s="14"/>
      <c r="P43" s="1">
        <f>SUM(OSRRefP22_6x_0)</f>
        <v>0</v>
      </c>
      <c r="Q43" s="1"/>
      <c r="R43" s="5">
        <f t="shared" si="28"/>
        <v>0</v>
      </c>
      <c r="S43" s="1"/>
      <c r="T43" s="1">
        <f>SUM(OSRRefT22_6x_0)</f>
        <v>-5.41</v>
      </c>
      <c r="U43" s="1"/>
      <c r="V43" s="5">
        <f t="shared" si="29"/>
        <v>0</v>
      </c>
      <c r="W43" s="1"/>
      <c r="X43" s="1">
        <f t="shared" si="30"/>
        <v>5.41</v>
      </c>
      <c r="Y43" s="1"/>
      <c r="Z43" s="5">
        <f t="shared" si="31"/>
        <v>-1</v>
      </c>
    </row>
    <row r="44" spans="1:26" s="24" customFormat="1" hidden="1" outlineLevel="2" x14ac:dyDescent="0.3">
      <c r="A44" s="28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24"/>
        <v>0</v>
      </c>
      <c r="G44" s="2"/>
      <c r="H44" s="6"/>
      <c r="I44" s="2"/>
      <c r="J44" s="7">
        <f t="shared" si="25"/>
        <v>0</v>
      </c>
      <c r="K44" s="2"/>
      <c r="L44" s="6">
        <f t="shared" si="26"/>
        <v>0</v>
      </c>
      <c r="M44" s="2"/>
      <c r="N44" s="7">
        <f t="shared" si="27"/>
        <v>0</v>
      </c>
      <c r="O44" s="11"/>
      <c r="P44" s="6"/>
      <c r="Q44" s="2"/>
      <c r="R44" s="7">
        <f t="shared" si="28"/>
        <v>0</v>
      </c>
      <c r="S44" s="2"/>
      <c r="T44" s="6">
        <v>-5.41</v>
      </c>
      <c r="U44" s="2"/>
      <c r="V44" s="7">
        <f t="shared" si="29"/>
        <v>0</v>
      </c>
      <c r="W44" s="2"/>
      <c r="X44" s="6">
        <f t="shared" si="30"/>
        <v>5.41</v>
      </c>
      <c r="Y44" s="2"/>
      <c r="Z44" s="7">
        <f t="shared" si="31"/>
        <v>-1</v>
      </c>
    </row>
    <row r="45" spans="1:26" s="29" customFormat="1" outlineLevel="1" collapsed="1" x14ac:dyDescent="0.3">
      <c r="A45" s="27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SUM(OSRRefD22_7x_0)</f>
        <v>0</v>
      </c>
      <c r="E45" s="1"/>
      <c r="F45" s="5">
        <f t="shared" si="24"/>
        <v>0</v>
      </c>
      <c r="G45" s="1"/>
      <c r="H45" s="1">
        <f>SUM(OSRRefH22_7x_0)</f>
        <v>0</v>
      </c>
      <c r="I45" s="1"/>
      <c r="J45" s="5">
        <f t="shared" si="25"/>
        <v>0</v>
      </c>
      <c r="K45" s="1"/>
      <c r="L45" s="1">
        <f t="shared" si="26"/>
        <v>0</v>
      </c>
      <c r="M45" s="1"/>
      <c r="N45" s="5">
        <f t="shared" si="27"/>
        <v>0</v>
      </c>
      <c r="O45" s="14"/>
      <c r="P45" s="1">
        <f>SUM(OSRRefP22_7x_0)</f>
        <v>122.51</v>
      </c>
      <c r="Q45" s="1"/>
      <c r="R45" s="5">
        <f t="shared" si="28"/>
        <v>0</v>
      </c>
      <c r="S45" s="1"/>
      <c r="T45" s="1">
        <f>SUM(OSRRefT22_7x_0)</f>
        <v>0</v>
      </c>
      <c r="U45" s="1"/>
      <c r="V45" s="5">
        <f t="shared" si="29"/>
        <v>0</v>
      </c>
      <c r="W45" s="1"/>
      <c r="X45" s="1">
        <f t="shared" si="30"/>
        <v>122.51</v>
      </c>
      <c r="Y45" s="1"/>
      <c r="Z45" s="5">
        <f t="shared" si="31"/>
        <v>0</v>
      </c>
    </row>
    <row r="46" spans="1:26" s="24" customFormat="1" hidden="1" outlineLevel="2" x14ac:dyDescent="0.3">
      <c r="A46" s="28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0</v>
      </c>
      <c r="M46" s="2"/>
      <c r="N46" s="7">
        <f t="shared" si="27"/>
        <v>0</v>
      </c>
      <c r="O46" s="11"/>
      <c r="P46" s="6">
        <v>122.51</v>
      </c>
      <c r="Q46" s="2"/>
      <c r="R46" s="7">
        <f t="shared" si="28"/>
        <v>0</v>
      </c>
      <c r="S46" s="2"/>
      <c r="T46" s="6"/>
      <c r="U46" s="2"/>
      <c r="V46" s="7">
        <f t="shared" si="29"/>
        <v>0</v>
      </c>
      <c r="W46" s="2"/>
      <c r="X46" s="6">
        <f t="shared" si="30"/>
        <v>122.51</v>
      </c>
      <c r="Y46" s="2"/>
      <c r="Z46" s="7">
        <f t="shared" si="31"/>
        <v>0</v>
      </c>
    </row>
    <row r="47" spans="1:26" s="29" customFormat="1" outlineLevel="1" collapsed="1" x14ac:dyDescent="0.3">
      <c r="A47" s="27"/>
      <c r="B47" s="14" t="str">
        <f>CONCATENATE("     ","Insurance                                         ")</f>
        <v xml:space="preserve">     Insurance                                         </v>
      </c>
      <c r="C47" s="14"/>
      <c r="D47" s="1">
        <f>SUM(OSRRefD22_8x_0)</f>
        <v>4884.6000000000004</v>
      </c>
      <c r="E47" s="1"/>
      <c r="F47" s="5">
        <f t="shared" si="24"/>
        <v>0</v>
      </c>
      <c r="G47" s="1"/>
      <c r="H47" s="1">
        <f>SUM(OSRRefH22_8x_0)</f>
        <v>3598.85</v>
      </c>
      <c r="I47" s="1"/>
      <c r="J47" s="5">
        <f t="shared" si="25"/>
        <v>0</v>
      </c>
      <c r="K47" s="1"/>
      <c r="L47" s="1">
        <f t="shared" si="26"/>
        <v>1285.7500000000005</v>
      </c>
      <c r="M47" s="1"/>
      <c r="N47" s="5">
        <f t="shared" si="27"/>
        <v>0.35726690470567002</v>
      </c>
      <c r="O47" s="14"/>
      <c r="P47" s="1">
        <f>SUM(OSRRefP22_8x_0)</f>
        <v>36190.6</v>
      </c>
      <c r="Q47" s="1"/>
      <c r="R47" s="5">
        <f t="shared" si="28"/>
        <v>0</v>
      </c>
      <c r="S47" s="1"/>
      <c r="T47" s="1">
        <f>SUM(OSRRefT22_8x_0)</f>
        <v>27705.1</v>
      </c>
      <c r="U47" s="1"/>
      <c r="V47" s="5">
        <f t="shared" si="29"/>
        <v>0</v>
      </c>
      <c r="W47" s="1"/>
      <c r="X47" s="1">
        <f t="shared" si="30"/>
        <v>8485.5</v>
      </c>
      <c r="Y47" s="1"/>
      <c r="Z47" s="5">
        <f t="shared" si="31"/>
        <v>0.30627934928948103</v>
      </c>
    </row>
    <row r="48" spans="1:26" s="24" customFormat="1" hidden="1" outlineLevel="2" x14ac:dyDescent="0.3">
      <c r="A48" s="28"/>
      <c r="B48" s="11" t="str">
        <f>CONCATENATE("          ", "6314", " - ", "LIABILITY INSURANCE")</f>
        <v xml:space="preserve">          6314 - LIABILITY INSURANCE</v>
      </c>
      <c r="C48" s="11"/>
      <c r="D48" s="6">
        <v>4884.6000000000004</v>
      </c>
      <c r="E48" s="2"/>
      <c r="F48" s="7">
        <f t="shared" si="24"/>
        <v>0</v>
      </c>
      <c r="G48" s="2"/>
      <c r="H48" s="6">
        <v>3598.85</v>
      </c>
      <c r="I48" s="2"/>
      <c r="J48" s="7">
        <f t="shared" si="25"/>
        <v>0</v>
      </c>
      <c r="K48" s="2"/>
      <c r="L48" s="6">
        <f t="shared" si="26"/>
        <v>1285.7500000000005</v>
      </c>
      <c r="M48" s="2"/>
      <c r="N48" s="7">
        <f t="shared" si="27"/>
        <v>0.35726690470567002</v>
      </c>
      <c r="O48" s="11"/>
      <c r="P48" s="6">
        <v>36190.6</v>
      </c>
      <c r="Q48" s="2"/>
      <c r="R48" s="7">
        <f t="shared" si="28"/>
        <v>0</v>
      </c>
      <c r="S48" s="2"/>
      <c r="T48" s="6">
        <v>27705.1</v>
      </c>
      <c r="U48" s="2"/>
      <c r="V48" s="7">
        <f t="shared" si="29"/>
        <v>0</v>
      </c>
      <c r="W48" s="2"/>
      <c r="X48" s="6">
        <f t="shared" si="30"/>
        <v>8485.5</v>
      </c>
      <c r="Y48" s="2"/>
      <c r="Z48" s="7">
        <f t="shared" si="31"/>
        <v>0.30627934928948103</v>
      </c>
    </row>
    <row r="49" spans="1:26" s="29" customFormat="1" outlineLevel="1" collapsed="1" x14ac:dyDescent="0.3">
      <c r="A49" s="27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SUM(OSRRefD22_9x_0)</f>
        <v>3229.56</v>
      </c>
      <c r="E49" s="1"/>
      <c r="F49" s="5">
        <f t="shared" si="24"/>
        <v>0</v>
      </c>
      <c r="G49" s="1"/>
      <c r="H49" s="1">
        <f>SUM(OSRRefH22_9x_0)</f>
        <v>602.77</v>
      </c>
      <c r="I49" s="1"/>
      <c r="J49" s="5">
        <f t="shared" si="25"/>
        <v>0</v>
      </c>
      <c r="K49" s="1"/>
      <c r="L49" s="1">
        <f t="shared" si="26"/>
        <v>2626.79</v>
      </c>
      <c r="M49" s="1"/>
      <c r="N49" s="5">
        <f t="shared" si="27"/>
        <v>4.3578645254408812</v>
      </c>
      <c r="O49" s="14"/>
      <c r="P49" s="1">
        <f>SUM(OSRRefP22_9x_0)</f>
        <v>19758.79</v>
      </c>
      <c r="Q49" s="1"/>
      <c r="R49" s="5">
        <f t="shared" si="28"/>
        <v>0</v>
      </c>
      <c r="S49" s="1"/>
      <c r="T49" s="1">
        <f>SUM(OSRRefT22_9x_0)</f>
        <v>2907.1299999999997</v>
      </c>
      <c r="U49" s="1"/>
      <c r="V49" s="5">
        <f t="shared" si="29"/>
        <v>0</v>
      </c>
      <c r="W49" s="1"/>
      <c r="X49" s="1">
        <f t="shared" si="30"/>
        <v>16851.66</v>
      </c>
      <c r="Y49" s="1"/>
      <c r="Z49" s="5">
        <f t="shared" si="31"/>
        <v>5.7966654397980149</v>
      </c>
    </row>
    <row r="50" spans="1:26" s="24" customFormat="1" hidden="1" outlineLevel="2" x14ac:dyDescent="0.3">
      <c r="A50" s="28"/>
      <c r="B50" s="11" t="str">
        <f>CONCATENATE("          ", "6371", " - ", "COMPUTER SOFTWARE MAINTENANCE")</f>
        <v xml:space="preserve">          6371 - COMPUTER SOFTWARE MAINTENANCE</v>
      </c>
      <c r="C50" s="11"/>
      <c r="D50" s="6">
        <v>618.36</v>
      </c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618.36</v>
      </c>
      <c r="M50" s="2"/>
      <c r="N50" s="7">
        <f t="shared" si="27"/>
        <v>0</v>
      </c>
      <c r="O50" s="11"/>
      <c r="P50" s="6">
        <v>6336.08</v>
      </c>
      <c r="Q50" s="2"/>
      <c r="R50" s="7">
        <f t="shared" si="28"/>
        <v>0</v>
      </c>
      <c r="S50" s="2"/>
      <c r="T50" s="6"/>
      <c r="U50" s="2"/>
      <c r="V50" s="7">
        <f t="shared" si="29"/>
        <v>0</v>
      </c>
      <c r="W50" s="2"/>
      <c r="X50" s="6">
        <f t="shared" si="30"/>
        <v>6336.08</v>
      </c>
      <c r="Y50" s="2"/>
      <c r="Z50" s="7">
        <f t="shared" si="31"/>
        <v>0</v>
      </c>
    </row>
    <row r="51" spans="1:26" s="24" customFormat="1" hidden="1" outlineLevel="2" x14ac:dyDescent="0.3">
      <c r="A51" s="28"/>
      <c r="B51" s="11" t="str">
        <f>CONCATENATE("          ", "6373", " - ", "MAINTENANCE CONTRACTS")</f>
        <v xml:space="preserve">          6373 - MAINTENANCE CONTRACTS</v>
      </c>
      <c r="C51" s="11"/>
      <c r="D51" s="6">
        <v>2611.1999999999998</v>
      </c>
      <c r="E51" s="2"/>
      <c r="F51" s="7">
        <f t="shared" si="24"/>
        <v>0</v>
      </c>
      <c r="G51" s="2"/>
      <c r="H51" s="6">
        <v>439.3</v>
      </c>
      <c r="I51" s="2"/>
      <c r="J51" s="7">
        <f t="shared" si="25"/>
        <v>0</v>
      </c>
      <c r="K51" s="2"/>
      <c r="L51" s="6">
        <f t="shared" si="26"/>
        <v>2171.8999999999996</v>
      </c>
      <c r="M51" s="2"/>
      <c r="N51" s="7">
        <f t="shared" si="27"/>
        <v>4.944001821078988</v>
      </c>
      <c r="O51" s="11"/>
      <c r="P51" s="6">
        <v>5220.45</v>
      </c>
      <c r="Q51" s="2"/>
      <c r="R51" s="7">
        <f t="shared" si="28"/>
        <v>0</v>
      </c>
      <c r="S51" s="2"/>
      <c r="T51" s="6">
        <v>2131.1999999999998</v>
      </c>
      <c r="U51" s="2"/>
      <c r="V51" s="7">
        <f t="shared" si="29"/>
        <v>0</v>
      </c>
      <c r="W51" s="2"/>
      <c r="X51" s="6">
        <f t="shared" si="30"/>
        <v>3089.25</v>
      </c>
      <c r="Y51" s="2"/>
      <c r="Z51" s="7">
        <f t="shared" si="31"/>
        <v>1.449535472972973</v>
      </c>
    </row>
    <row r="52" spans="1:26" s="24" customFormat="1" hidden="1" outlineLevel="2" x14ac:dyDescent="0.3">
      <c r="A52" s="28"/>
      <c r="B52" s="11" t="str">
        <f>CONCATENATE("          ", "6375", " - ", "OUTSIDE REPAIRS &amp; MAINTENANCE")</f>
        <v xml:space="preserve">          6375 - OUTSIDE REPAIRS &amp; MAINTENANCE</v>
      </c>
      <c r="C52" s="11"/>
      <c r="D52" s="6"/>
      <c r="E52" s="2"/>
      <c r="F52" s="7">
        <f t="shared" si="24"/>
        <v>0</v>
      </c>
      <c r="G52" s="2"/>
      <c r="H52" s="6">
        <v>163.47</v>
      </c>
      <c r="I52" s="2"/>
      <c r="J52" s="7">
        <f t="shared" si="25"/>
        <v>0</v>
      </c>
      <c r="K52" s="2"/>
      <c r="L52" s="6">
        <f t="shared" si="26"/>
        <v>-163.47</v>
      </c>
      <c r="M52" s="2"/>
      <c r="N52" s="7">
        <f t="shared" si="27"/>
        <v>-1</v>
      </c>
      <c r="O52" s="11"/>
      <c r="P52" s="6">
        <v>8202.26</v>
      </c>
      <c r="Q52" s="2"/>
      <c r="R52" s="7">
        <f t="shared" si="28"/>
        <v>0</v>
      </c>
      <c r="S52" s="2"/>
      <c r="T52" s="6">
        <v>775.93</v>
      </c>
      <c r="U52" s="2"/>
      <c r="V52" s="7">
        <f t="shared" si="29"/>
        <v>0</v>
      </c>
      <c r="W52" s="2"/>
      <c r="X52" s="6">
        <f t="shared" si="30"/>
        <v>7426.33</v>
      </c>
      <c r="Y52" s="2"/>
      <c r="Z52" s="7">
        <f t="shared" si="31"/>
        <v>9.5708762388359787</v>
      </c>
    </row>
    <row r="53" spans="1:26" s="29" customFormat="1" outlineLevel="1" collapsed="1" x14ac:dyDescent="0.3">
      <c r="A53" s="27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SUM(OSRRefD22_10x_0)</f>
        <v>670.1</v>
      </c>
      <c r="E53" s="1"/>
      <c r="F53" s="5">
        <f t="shared" ref="F53:F56" si="32">IF(D$12=0,0,D53/D$12)</f>
        <v>0</v>
      </c>
      <c r="G53" s="1"/>
      <c r="H53" s="1">
        <f>SUM(OSRRefH22_10x_0)</f>
        <v>6759.04</v>
      </c>
      <c r="I53" s="1"/>
      <c r="J53" s="5">
        <f t="shared" ref="J53:J56" si="33">IF(H$12=0,0,H53/H$12)</f>
        <v>0</v>
      </c>
      <c r="K53" s="1"/>
      <c r="L53" s="1">
        <f t="shared" ref="L53:L56" si="34">+D53-H53</f>
        <v>-6088.94</v>
      </c>
      <c r="M53" s="1"/>
      <c r="N53" s="5">
        <f t="shared" ref="N53:N56" si="35">IF(H53=0,0,L53/H53)</f>
        <v>-0.9008587018274784</v>
      </c>
      <c r="O53" s="14"/>
      <c r="P53" s="1">
        <f>SUM(OSRRefP22_10x_0)</f>
        <v>7694.92</v>
      </c>
      <c r="Q53" s="1"/>
      <c r="R53" s="5">
        <f t="shared" ref="R53:R56" si="36">IF(P$12=0,0,P53/P$12)</f>
        <v>0</v>
      </c>
      <c r="S53" s="1"/>
      <c r="T53" s="1">
        <f>SUM(OSRRefT22_10x_0)</f>
        <v>15267.04</v>
      </c>
      <c r="U53" s="1"/>
      <c r="V53" s="5">
        <f t="shared" ref="V53:V56" si="37">IF(T$12=0,0,T53/T$12)</f>
        <v>0</v>
      </c>
      <c r="W53" s="1"/>
      <c r="X53" s="1">
        <f t="shared" ref="X53:X56" si="38">+P53-T53</f>
        <v>-7572.1200000000008</v>
      </c>
      <c r="Y53" s="1"/>
      <c r="Z53" s="5">
        <f t="shared" ref="Z53:Z56" si="39">IF(T53=0,0,X53/T53)</f>
        <v>-0.49597826428698688</v>
      </c>
    </row>
    <row r="54" spans="1:26" s="24" customFormat="1" hidden="1" outlineLevel="2" x14ac:dyDescent="0.3">
      <c r="A54" s="28"/>
      <c r="B54" s="11" t="str">
        <f>CONCATENATE("          ", "6282", " - ", "JANITORIAL/EXTERMINATOR EXPENS")</f>
        <v xml:space="preserve">          6282 - JANITORIAL/EXTERMINATOR EXPENS</v>
      </c>
      <c r="C54" s="11"/>
      <c r="D54" s="6">
        <v>670.1</v>
      </c>
      <c r="E54" s="2"/>
      <c r="F54" s="7">
        <f t="shared" si="32"/>
        <v>0</v>
      </c>
      <c r="G54" s="2"/>
      <c r="H54" s="6">
        <v>2505.04</v>
      </c>
      <c r="I54" s="2"/>
      <c r="J54" s="7">
        <f t="shared" si="33"/>
        <v>0</v>
      </c>
      <c r="K54" s="2"/>
      <c r="L54" s="6">
        <f t="shared" si="34"/>
        <v>-1834.94</v>
      </c>
      <c r="M54" s="2"/>
      <c r="N54" s="7">
        <f t="shared" si="35"/>
        <v>-0.73249928144859966</v>
      </c>
      <c r="O54" s="11"/>
      <c r="P54" s="6">
        <v>4020.6</v>
      </c>
      <c r="Q54" s="2"/>
      <c r="R54" s="7">
        <f t="shared" si="36"/>
        <v>0</v>
      </c>
      <c r="S54" s="2"/>
      <c r="T54" s="6">
        <v>2505.04</v>
      </c>
      <c r="U54" s="2"/>
      <c r="V54" s="7">
        <f t="shared" si="37"/>
        <v>0</v>
      </c>
      <c r="W54" s="2"/>
      <c r="X54" s="6">
        <f t="shared" si="38"/>
        <v>1515.56</v>
      </c>
      <c r="Y54" s="2"/>
      <c r="Z54" s="7">
        <f t="shared" si="39"/>
        <v>0.60500431130840227</v>
      </c>
    </row>
    <row r="55" spans="1:26" s="24" customFormat="1" hidden="1" outlineLevel="2" x14ac:dyDescent="0.3">
      <c r="A55" s="28"/>
      <c r="B55" s="11" t="str">
        <f>CONCATENATE("          ", "6284", " - ", "TRASH REMOVAL EXPENSE")</f>
        <v xml:space="preserve">          6284 - TRASH REMOVAL EXPENSE</v>
      </c>
      <c r="C55" s="11"/>
      <c r="D55" s="6"/>
      <c r="E55" s="2"/>
      <c r="F55" s="7">
        <f t="shared" si="32"/>
        <v>0</v>
      </c>
      <c r="G55" s="2"/>
      <c r="H55" s="6">
        <v>4254</v>
      </c>
      <c r="I55" s="2"/>
      <c r="J55" s="7">
        <f t="shared" si="33"/>
        <v>0</v>
      </c>
      <c r="K55" s="2"/>
      <c r="L55" s="6">
        <f t="shared" si="34"/>
        <v>-4254</v>
      </c>
      <c r="M55" s="2"/>
      <c r="N55" s="7">
        <f t="shared" si="35"/>
        <v>-1</v>
      </c>
      <c r="O55" s="11"/>
      <c r="P55" s="6"/>
      <c r="Q55" s="2"/>
      <c r="R55" s="7">
        <f t="shared" si="36"/>
        <v>0</v>
      </c>
      <c r="S55" s="2"/>
      <c r="T55" s="6">
        <v>12762</v>
      </c>
      <c r="U55" s="2"/>
      <c r="V55" s="7">
        <f t="shared" si="37"/>
        <v>0</v>
      </c>
      <c r="W55" s="2"/>
      <c r="X55" s="6">
        <f t="shared" si="38"/>
        <v>-12762</v>
      </c>
      <c r="Y55" s="2"/>
      <c r="Z55" s="7">
        <f t="shared" si="39"/>
        <v>-1</v>
      </c>
    </row>
    <row r="56" spans="1:26" s="24" customFormat="1" hidden="1" outlineLevel="2" x14ac:dyDescent="0.3">
      <c r="A56" s="28"/>
      <c r="B56" s="11" t="str">
        <f>CONCATENATE("          ", "6285", " - ", "JANITORIAL SERVICES")</f>
        <v xml:space="preserve">          6285 - JANITORIAL SERVICES</v>
      </c>
      <c r="C56" s="11"/>
      <c r="D56" s="6"/>
      <c r="E56" s="2"/>
      <c r="F56" s="7">
        <f t="shared" si="32"/>
        <v>0</v>
      </c>
      <c r="G56" s="2"/>
      <c r="H56" s="6"/>
      <c r="I56" s="2"/>
      <c r="J56" s="7">
        <f t="shared" si="33"/>
        <v>0</v>
      </c>
      <c r="K56" s="2"/>
      <c r="L56" s="6">
        <f t="shared" si="34"/>
        <v>0</v>
      </c>
      <c r="M56" s="2"/>
      <c r="N56" s="7">
        <f t="shared" si="35"/>
        <v>0</v>
      </c>
      <c r="O56" s="11"/>
      <c r="P56" s="6">
        <v>3674.32</v>
      </c>
      <c r="Q56" s="2"/>
      <c r="R56" s="7">
        <f t="shared" si="36"/>
        <v>0</v>
      </c>
      <c r="S56" s="2"/>
      <c r="T56" s="6"/>
      <c r="U56" s="2"/>
      <c r="V56" s="7">
        <f t="shared" si="37"/>
        <v>0</v>
      </c>
      <c r="W56" s="2"/>
      <c r="X56" s="6">
        <f t="shared" si="38"/>
        <v>3674.32</v>
      </c>
      <c r="Y56" s="2"/>
      <c r="Z56" s="7">
        <f t="shared" si="39"/>
        <v>0</v>
      </c>
    </row>
    <row r="57" spans="1:26" s="29" customFormat="1" outlineLevel="1" collapsed="1" x14ac:dyDescent="0.3">
      <c r="A57" s="27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SUM(OSRRefD22_11x_0)</f>
        <v>0</v>
      </c>
      <c r="E57" s="1"/>
      <c r="F57" s="5">
        <f t="shared" ref="F57:F59" si="40">IF(D$12=0,0,D57/D$12)</f>
        <v>0</v>
      </c>
      <c r="G57" s="1"/>
      <c r="H57" s="1">
        <f>SUM(OSRRefH22_11x_0)</f>
        <v>0</v>
      </c>
      <c r="I57" s="1"/>
      <c r="J57" s="5">
        <f t="shared" ref="J57:J59" si="41">IF(H$12=0,0,H57/H$12)</f>
        <v>0</v>
      </c>
      <c r="K57" s="1"/>
      <c r="L57" s="1">
        <f t="shared" ref="L57:L59" si="42">+D57-H57</f>
        <v>0</v>
      </c>
      <c r="M57" s="1"/>
      <c r="N57" s="5">
        <f t="shared" ref="N57:N59" si="43">IF(H57=0,0,L57/H57)</f>
        <v>0</v>
      </c>
      <c r="O57" s="14"/>
      <c r="P57" s="1">
        <f>SUM(OSRRefP22_11x_0)</f>
        <v>160.16</v>
      </c>
      <c r="Q57" s="1"/>
      <c r="R57" s="5">
        <f t="shared" ref="R57:R59" si="44">IF(P$12=0,0,P57/P$12)</f>
        <v>0</v>
      </c>
      <c r="S57" s="1"/>
      <c r="T57" s="1">
        <f>SUM(OSRRefT22_11x_0)</f>
        <v>-29072.880000000001</v>
      </c>
      <c r="U57" s="1"/>
      <c r="V57" s="5">
        <f t="shared" ref="V57:V59" si="45">IF(T$12=0,0,T57/T$12)</f>
        <v>0</v>
      </c>
      <c r="W57" s="1"/>
      <c r="X57" s="1">
        <f t="shared" ref="X57:X59" si="46">+P57-T57</f>
        <v>29233.040000000001</v>
      </c>
      <c r="Y57" s="1"/>
      <c r="Z57" s="5">
        <f t="shared" ref="Z57:Z59" si="47">IF(T57=0,0,X57/T57)</f>
        <v>-1.0055089141495441</v>
      </c>
    </row>
    <row r="58" spans="1:26" s="24" customFormat="1" hidden="1" outlineLevel="2" x14ac:dyDescent="0.3">
      <c r="A58" s="28"/>
      <c r="B58" s="11" t="str">
        <f>CONCATENATE("          ", "6235", " - ", "COVID-19 EXPENSES")</f>
        <v xml:space="preserve">          6235 - COVID-19 EXPENSES</v>
      </c>
      <c r="C58" s="11"/>
      <c r="D58" s="6"/>
      <c r="E58" s="2"/>
      <c r="F58" s="7">
        <f t="shared" si="40"/>
        <v>0</v>
      </c>
      <c r="G58" s="2"/>
      <c r="H58" s="6"/>
      <c r="I58" s="2"/>
      <c r="J58" s="7">
        <f t="shared" si="41"/>
        <v>0</v>
      </c>
      <c r="K58" s="2"/>
      <c r="L58" s="6">
        <f t="shared" si="42"/>
        <v>0</v>
      </c>
      <c r="M58" s="2"/>
      <c r="N58" s="7">
        <f t="shared" si="43"/>
        <v>0</v>
      </c>
      <c r="O58" s="11"/>
      <c r="P58" s="6"/>
      <c r="Q58" s="2"/>
      <c r="R58" s="7">
        <f t="shared" si="44"/>
        <v>0</v>
      </c>
      <c r="S58" s="2"/>
      <c r="T58" s="6">
        <v>127.89</v>
      </c>
      <c r="U58" s="2"/>
      <c r="V58" s="7">
        <f t="shared" si="45"/>
        <v>0</v>
      </c>
      <c r="W58" s="2"/>
      <c r="X58" s="6">
        <f t="shared" si="46"/>
        <v>-127.89</v>
      </c>
      <c r="Y58" s="2"/>
      <c r="Z58" s="7">
        <f t="shared" si="47"/>
        <v>-1</v>
      </c>
    </row>
    <row r="59" spans="1:26" s="24" customFormat="1" hidden="1" outlineLevel="2" x14ac:dyDescent="0.3">
      <c r="A59" s="28"/>
      <c r="B59" s="11" t="str">
        <f>CONCATENATE("          ", "6241", " - ", "OFFICE EXPENSE")</f>
        <v xml:space="preserve">          6241 - OFFICE EXPENSE</v>
      </c>
      <c r="C59" s="11"/>
      <c r="D59" s="6"/>
      <c r="E59" s="2"/>
      <c r="F59" s="7">
        <f t="shared" si="40"/>
        <v>0</v>
      </c>
      <c r="G59" s="2"/>
      <c r="H59" s="6"/>
      <c r="I59" s="2"/>
      <c r="J59" s="7">
        <f t="shared" si="41"/>
        <v>0</v>
      </c>
      <c r="K59" s="2"/>
      <c r="L59" s="6">
        <f t="shared" si="42"/>
        <v>0</v>
      </c>
      <c r="M59" s="2"/>
      <c r="N59" s="7">
        <f t="shared" si="43"/>
        <v>0</v>
      </c>
      <c r="O59" s="11"/>
      <c r="P59" s="6">
        <v>160.16</v>
      </c>
      <c r="Q59" s="2"/>
      <c r="R59" s="7">
        <f t="shared" si="44"/>
        <v>0</v>
      </c>
      <c r="S59" s="2"/>
      <c r="T59" s="6">
        <v>-29200.77</v>
      </c>
      <c r="U59" s="2"/>
      <c r="V59" s="7">
        <f t="shared" si="45"/>
        <v>0</v>
      </c>
      <c r="W59" s="2"/>
      <c r="X59" s="6">
        <f t="shared" si="46"/>
        <v>29360.93</v>
      </c>
      <c r="Y59" s="2"/>
      <c r="Z59" s="7">
        <f t="shared" si="47"/>
        <v>-1.0054847868737709</v>
      </c>
    </row>
    <row r="60" spans="1:26" s="29" customFormat="1" outlineLevel="1" collapsed="1" x14ac:dyDescent="0.3">
      <c r="A60" s="27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SUM(OSRRefD22_12x_0)</f>
        <v>36.299999999999997</v>
      </c>
      <c r="E60" s="1"/>
      <c r="F60" s="5">
        <f t="shared" ref="F60:F64" si="48">IF(D$12=0,0,D60/D$12)</f>
        <v>0</v>
      </c>
      <c r="G60" s="1"/>
      <c r="H60" s="1">
        <f>SUM(OSRRefH22_12x_0)</f>
        <v>143.1</v>
      </c>
      <c r="I60" s="1"/>
      <c r="J60" s="5">
        <f t="shared" ref="J60:J64" si="49">IF(H$12=0,0,H60/H$12)</f>
        <v>0</v>
      </c>
      <c r="K60" s="1"/>
      <c r="L60" s="1">
        <f t="shared" ref="L60:L64" si="50">+D60-H60</f>
        <v>-106.8</v>
      </c>
      <c r="M60" s="1"/>
      <c r="N60" s="5">
        <f t="shared" ref="N60:N64" si="51">IF(H60=0,0,L60/H60)</f>
        <v>-0.74633123689727465</v>
      </c>
      <c r="O60" s="14"/>
      <c r="P60" s="1">
        <f>SUM(OSRRefP22_12x_0)</f>
        <v>1163.9100000000001</v>
      </c>
      <c r="Q60" s="1"/>
      <c r="R60" s="5">
        <f t="shared" ref="R60:R64" si="52">IF(P$12=0,0,P60/P$12)</f>
        <v>0</v>
      </c>
      <c r="S60" s="1"/>
      <c r="T60" s="1">
        <f>SUM(OSRRefT22_12x_0)</f>
        <v>1386.53</v>
      </c>
      <c r="U60" s="1"/>
      <c r="V60" s="5">
        <f t="shared" ref="V60:V64" si="53">IF(T$12=0,0,T60/T$12)</f>
        <v>0</v>
      </c>
      <c r="W60" s="1"/>
      <c r="X60" s="1">
        <f t="shared" ref="X60:X64" si="54">+P60-T60</f>
        <v>-222.61999999999989</v>
      </c>
      <c r="Y60" s="1"/>
      <c r="Z60" s="5">
        <f t="shared" ref="Z60:Z64" si="55">IF(T60=0,0,X60/T60)</f>
        <v>-0.1605590935645099</v>
      </c>
    </row>
    <row r="61" spans="1:26" s="24" customFormat="1" hidden="1" outlineLevel="2" x14ac:dyDescent="0.3">
      <c r="A61" s="28"/>
      <c r="B61" s="11" t="str">
        <f>CONCATENATE("          ", "6309", " - ", "TELEPHONE")</f>
        <v xml:space="preserve">          6309 - TELEPHONE</v>
      </c>
      <c r="C61" s="11"/>
      <c r="D61" s="6">
        <v>36.299999999999997</v>
      </c>
      <c r="E61" s="2"/>
      <c r="F61" s="7">
        <f t="shared" si="48"/>
        <v>0</v>
      </c>
      <c r="G61" s="2"/>
      <c r="H61" s="6">
        <v>143.1</v>
      </c>
      <c r="I61" s="2"/>
      <c r="J61" s="7">
        <f t="shared" si="49"/>
        <v>0</v>
      </c>
      <c r="K61" s="2"/>
      <c r="L61" s="6">
        <f t="shared" si="50"/>
        <v>-106.8</v>
      </c>
      <c r="M61" s="2"/>
      <c r="N61" s="7">
        <f t="shared" si="51"/>
        <v>-0.74633123689727465</v>
      </c>
      <c r="O61" s="11"/>
      <c r="P61" s="6">
        <v>1163.9100000000001</v>
      </c>
      <c r="Q61" s="2"/>
      <c r="R61" s="7">
        <f t="shared" si="52"/>
        <v>0</v>
      </c>
      <c r="S61" s="2"/>
      <c r="T61" s="6">
        <v>1386.53</v>
      </c>
      <c r="U61" s="2"/>
      <c r="V61" s="7">
        <f t="shared" si="53"/>
        <v>0</v>
      </c>
      <c r="W61" s="2"/>
      <c r="X61" s="6">
        <f t="shared" si="54"/>
        <v>-222.61999999999989</v>
      </c>
      <c r="Y61" s="2"/>
      <c r="Z61" s="7">
        <f t="shared" si="55"/>
        <v>-0.1605590935645099</v>
      </c>
    </row>
    <row r="62" spans="1:26" s="29" customFormat="1" outlineLevel="1" collapsed="1" x14ac:dyDescent="0.3">
      <c r="A62" s="27"/>
      <c r="B62" s="14" t="str">
        <f>CONCATENATE("     ","Travel                                            ")</f>
        <v xml:space="preserve">     Travel                                            </v>
      </c>
      <c r="C62" s="14"/>
      <c r="D62" s="1">
        <f>SUM(OSRRefD22_13x_0)</f>
        <v>0</v>
      </c>
      <c r="E62" s="1"/>
      <c r="F62" s="5">
        <f t="shared" si="48"/>
        <v>0</v>
      </c>
      <c r="G62" s="1"/>
      <c r="H62" s="1">
        <f>SUM(OSRRefH22_13x_0)</f>
        <v>0</v>
      </c>
      <c r="I62" s="1"/>
      <c r="J62" s="5">
        <f t="shared" si="49"/>
        <v>0</v>
      </c>
      <c r="K62" s="1"/>
      <c r="L62" s="1">
        <f t="shared" si="50"/>
        <v>0</v>
      </c>
      <c r="M62" s="1"/>
      <c r="N62" s="5">
        <f t="shared" si="51"/>
        <v>0</v>
      </c>
      <c r="O62" s="14"/>
      <c r="P62" s="1">
        <f>SUM(OSRRefP22_13x_0)</f>
        <v>18.59</v>
      </c>
      <c r="Q62" s="1"/>
      <c r="R62" s="5">
        <f t="shared" si="52"/>
        <v>0</v>
      </c>
      <c r="S62" s="1"/>
      <c r="T62" s="1">
        <f>SUM(OSRRefT22_13x_0)</f>
        <v>332.21</v>
      </c>
      <c r="U62" s="1"/>
      <c r="V62" s="5">
        <f t="shared" si="53"/>
        <v>0</v>
      </c>
      <c r="W62" s="1"/>
      <c r="X62" s="1">
        <f t="shared" si="54"/>
        <v>-313.62</v>
      </c>
      <c r="Y62" s="1"/>
      <c r="Z62" s="5">
        <f t="shared" si="55"/>
        <v>-0.94404141958399812</v>
      </c>
    </row>
    <row r="63" spans="1:26" s="24" customFormat="1" hidden="1" outlineLevel="2" x14ac:dyDescent="0.3">
      <c r="A63" s="28"/>
      <c r="B63" s="11" t="str">
        <f>CONCATENATE("          ", "6292", " - ", "TRAVEL/CONFERENCE")</f>
        <v xml:space="preserve">          6292 - TRAVEL/CONFERENCE</v>
      </c>
      <c r="C63" s="11"/>
      <c r="D63" s="6"/>
      <c r="E63" s="2"/>
      <c r="F63" s="7">
        <f t="shared" si="48"/>
        <v>0</v>
      </c>
      <c r="G63" s="2"/>
      <c r="H63" s="6"/>
      <c r="I63" s="2"/>
      <c r="J63" s="7">
        <f t="shared" si="49"/>
        <v>0</v>
      </c>
      <c r="K63" s="2"/>
      <c r="L63" s="6">
        <f t="shared" si="50"/>
        <v>0</v>
      </c>
      <c r="M63" s="2"/>
      <c r="N63" s="7">
        <f t="shared" si="51"/>
        <v>0</v>
      </c>
      <c r="O63" s="11"/>
      <c r="P63" s="6">
        <v>18.59</v>
      </c>
      <c r="Q63" s="2"/>
      <c r="R63" s="7">
        <f t="shared" si="52"/>
        <v>0</v>
      </c>
      <c r="S63" s="2"/>
      <c r="T63" s="6"/>
      <c r="U63" s="2"/>
      <c r="V63" s="7">
        <f t="shared" si="53"/>
        <v>0</v>
      </c>
      <c r="W63" s="2"/>
      <c r="X63" s="6">
        <f t="shared" si="54"/>
        <v>18.59</v>
      </c>
      <c r="Y63" s="2"/>
      <c r="Z63" s="7">
        <f t="shared" si="55"/>
        <v>0</v>
      </c>
    </row>
    <row r="64" spans="1:26" s="24" customFormat="1" hidden="1" outlineLevel="2" x14ac:dyDescent="0.3">
      <c r="A64" s="28"/>
      <c r="B64" s="11" t="str">
        <f>CONCATENATE("          ", "6298", " - ", "VEHICLE MILEAGE")</f>
        <v xml:space="preserve">          6298 - VEHICLE MILEAGE</v>
      </c>
      <c r="C64" s="11"/>
      <c r="D64" s="6"/>
      <c r="E64" s="2"/>
      <c r="F64" s="7">
        <f t="shared" si="48"/>
        <v>0</v>
      </c>
      <c r="G64" s="2"/>
      <c r="H64" s="6"/>
      <c r="I64" s="2"/>
      <c r="J64" s="7">
        <f t="shared" si="49"/>
        <v>0</v>
      </c>
      <c r="K64" s="2"/>
      <c r="L64" s="6">
        <f t="shared" si="50"/>
        <v>0</v>
      </c>
      <c r="M64" s="2"/>
      <c r="N64" s="7">
        <f t="shared" si="51"/>
        <v>0</v>
      </c>
      <c r="O64" s="11"/>
      <c r="P64" s="6"/>
      <c r="Q64" s="2"/>
      <c r="R64" s="7">
        <f t="shared" si="52"/>
        <v>0</v>
      </c>
      <c r="S64" s="2"/>
      <c r="T64" s="6">
        <v>332.21</v>
      </c>
      <c r="U64" s="2"/>
      <c r="V64" s="7">
        <f t="shared" si="53"/>
        <v>0</v>
      </c>
      <c r="W64" s="2"/>
      <c r="X64" s="6">
        <f t="shared" si="54"/>
        <v>-332.21</v>
      </c>
      <c r="Y64" s="2"/>
      <c r="Z64" s="7">
        <f t="shared" si="55"/>
        <v>-1</v>
      </c>
    </row>
    <row r="65" spans="1:26" s="29" customFormat="1" outlineLevel="1" collapsed="1" x14ac:dyDescent="0.3">
      <c r="A65" s="27"/>
      <c r="B65" s="14" t="str">
        <f>CONCATENATE("     ","Utilities                                         ")</f>
        <v xml:space="preserve">     Utilities                                         </v>
      </c>
      <c r="C65" s="14"/>
      <c r="D65" s="1">
        <f>SUM(OSRRefD22_14x_0)</f>
        <v>5550</v>
      </c>
      <c r="E65" s="1"/>
      <c r="F65" s="5">
        <f t="shared" ref="F65:F66" si="56">IF(D$12=0,0,D65/D$12)</f>
        <v>0</v>
      </c>
      <c r="G65" s="1"/>
      <c r="H65" s="1">
        <f>SUM(OSRRefH22_14x_0)</f>
        <v>1000</v>
      </c>
      <c r="I65" s="1"/>
      <c r="J65" s="5">
        <f t="shared" ref="J65:J66" si="57">IF(H$12=0,0,H65/H$12)</f>
        <v>0</v>
      </c>
      <c r="K65" s="1"/>
      <c r="L65" s="1">
        <f t="shared" ref="L65:L66" si="58">+D65-H65</f>
        <v>4550</v>
      </c>
      <c r="M65" s="1"/>
      <c r="N65" s="5">
        <f t="shared" ref="N65:N66" si="59">IF(H65=0,0,L65/H65)</f>
        <v>4.55</v>
      </c>
      <c r="O65" s="14"/>
      <c r="P65" s="1">
        <f>SUM(OSRRefP22_14x_0)</f>
        <v>33300</v>
      </c>
      <c r="Q65" s="1"/>
      <c r="R65" s="5">
        <f t="shared" ref="R65:R66" si="60">IF(P$12=0,0,P65/P$12)</f>
        <v>0</v>
      </c>
      <c r="S65" s="1"/>
      <c r="T65" s="1">
        <f>SUM(OSRRefT22_14x_0)</f>
        <v>-13876</v>
      </c>
      <c r="U65" s="1"/>
      <c r="V65" s="5">
        <f t="shared" ref="V65:V66" si="61">IF(T$12=0,0,T65/T$12)</f>
        <v>0</v>
      </c>
      <c r="W65" s="1"/>
      <c r="X65" s="1">
        <f t="shared" ref="X65:X66" si="62">+P65-T65</f>
        <v>47176</v>
      </c>
      <c r="Y65" s="1"/>
      <c r="Z65" s="5">
        <f t="shared" ref="Z65:Z66" si="63">IF(T65=0,0,X65/T65)</f>
        <v>-3.3998270394926493</v>
      </c>
    </row>
    <row r="66" spans="1:26" s="24" customFormat="1" hidden="1" outlineLevel="2" x14ac:dyDescent="0.3">
      <c r="A66" s="28"/>
      <c r="B66" s="11" t="str">
        <f>CONCATENATE("          ", "6274", " - ", "UTILITIES")</f>
        <v xml:space="preserve">          6274 - UTILITIES</v>
      </c>
      <c r="C66" s="11"/>
      <c r="D66" s="6">
        <v>5550</v>
      </c>
      <c r="E66" s="2"/>
      <c r="F66" s="7">
        <f t="shared" si="56"/>
        <v>0</v>
      </c>
      <c r="G66" s="2"/>
      <c r="H66" s="6">
        <v>1000</v>
      </c>
      <c r="I66" s="2"/>
      <c r="J66" s="7">
        <f t="shared" si="57"/>
        <v>0</v>
      </c>
      <c r="K66" s="2"/>
      <c r="L66" s="6">
        <f t="shared" si="58"/>
        <v>4550</v>
      </c>
      <c r="M66" s="2"/>
      <c r="N66" s="7">
        <f t="shared" si="59"/>
        <v>4.55</v>
      </c>
      <c r="O66" s="11"/>
      <c r="P66" s="6">
        <v>33300</v>
      </c>
      <c r="Q66" s="2"/>
      <c r="R66" s="7">
        <f t="shared" si="60"/>
        <v>0</v>
      </c>
      <c r="S66" s="2"/>
      <c r="T66" s="6">
        <v>-13876</v>
      </c>
      <c r="U66" s="2"/>
      <c r="V66" s="7">
        <f t="shared" si="61"/>
        <v>0</v>
      </c>
      <c r="W66" s="2"/>
      <c r="X66" s="6">
        <f t="shared" si="62"/>
        <v>47176</v>
      </c>
      <c r="Y66" s="2"/>
      <c r="Z66" s="7">
        <f t="shared" si="63"/>
        <v>-3.3998270394926493</v>
      </c>
    </row>
    <row r="67" spans="1:26" s="53" customFormat="1" x14ac:dyDescent="0.3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3">
      <c r="A68" s="10"/>
      <c r="B68" s="25" t="s">
        <v>292</v>
      </c>
      <c r="C68" s="10"/>
      <c r="D68" s="4">
        <f>SUM(OSRRefD25x_0)</f>
        <v>10743.95</v>
      </c>
      <c r="E68" s="4"/>
      <c r="F68" s="12">
        <f t="shared" ref="F68:F70" si="64">IF(D$12=0,0,D68/D$12)</f>
        <v>0</v>
      </c>
      <c r="G68" s="4"/>
      <c r="H68" s="4">
        <f>SUM(OSRRefH25x_0)</f>
        <v>804.28</v>
      </c>
      <c r="I68" s="4"/>
      <c r="J68" s="12">
        <f t="shared" ref="J68:J70" si="65">IF(H$12=0,0,H68/H$12)</f>
        <v>0</v>
      </c>
      <c r="K68" s="4"/>
      <c r="L68" s="4">
        <f t="shared" ref="L68:L70" si="66">+D68-H68</f>
        <v>9939.67</v>
      </c>
      <c r="M68" s="4"/>
      <c r="N68" s="12">
        <f t="shared" ref="N68:N70" si="67">IF(H68=0,0,L68/H68)</f>
        <v>12.358469687173622</v>
      </c>
      <c r="O68" s="10"/>
      <c r="P68" s="4">
        <f>SUM(OSRRefP25x_0)</f>
        <v>14289.9</v>
      </c>
      <c r="Q68" s="4"/>
      <c r="R68" s="12">
        <f t="shared" ref="R68:R70" si="68">IF(P$12=0,0,P68/P$12)</f>
        <v>0</v>
      </c>
      <c r="S68" s="4"/>
      <c r="T68" s="4">
        <f>SUM(OSRRefT25x_0)</f>
        <v>2243.06</v>
      </c>
      <c r="U68" s="4"/>
      <c r="V68" s="12">
        <f t="shared" ref="V68:V70" si="69">IF(T$12=0,0,T68/T$12)</f>
        <v>0</v>
      </c>
      <c r="W68" s="4"/>
      <c r="X68" s="4">
        <f t="shared" ref="X68:X70" si="70">+P68-T68</f>
        <v>12046.84</v>
      </c>
      <c r="Y68" s="4"/>
      <c r="Z68" s="12">
        <f t="shared" ref="Z68:Z70" si="71">IF(T68=0,0,X68/T68)</f>
        <v>5.3707167886726168</v>
      </c>
    </row>
    <row r="69" spans="1:26" s="24" customFormat="1" hidden="1" outlineLevel="1" x14ac:dyDescent="0.3">
      <c r="A69" s="44"/>
      <c r="B69" s="11" t="str">
        <f>CONCATENATE("          ", "9150", " - ", "MISC. INCOME")</f>
        <v xml:space="preserve">          9150 - MISC. INCOME</v>
      </c>
      <c r="C69" s="11"/>
      <c r="D69" s="2">
        <f>--10743.95</f>
        <v>10743.95</v>
      </c>
      <c r="E69" s="2"/>
      <c r="F69" s="19">
        <f t="shared" si="64"/>
        <v>0</v>
      </c>
      <c r="G69" s="2"/>
      <c r="H69" s="2">
        <f>--804.28</f>
        <v>804.28</v>
      </c>
      <c r="I69" s="2"/>
      <c r="J69" s="19">
        <f t="shared" si="65"/>
        <v>0</v>
      </c>
      <c r="K69" s="2"/>
      <c r="L69" s="2">
        <f t="shared" si="66"/>
        <v>9939.67</v>
      </c>
      <c r="M69" s="2"/>
      <c r="N69" s="19">
        <f t="shared" si="67"/>
        <v>12.358469687173622</v>
      </c>
      <c r="O69" s="11"/>
      <c r="P69" s="2">
        <f>--14289.9</f>
        <v>14289.9</v>
      </c>
      <c r="Q69" s="2"/>
      <c r="R69" s="19">
        <f t="shared" si="68"/>
        <v>0</v>
      </c>
      <c r="S69" s="2"/>
      <c r="T69" s="2">
        <f>--1616.63</f>
        <v>1616.63</v>
      </c>
      <c r="U69" s="2"/>
      <c r="V69" s="19">
        <f t="shared" si="69"/>
        <v>0</v>
      </c>
      <c r="W69" s="2"/>
      <c r="X69" s="2">
        <f t="shared" si="70"/>
        <v>12673.27</v>
      </c>
      <c r="Y69" s="2"/>
      <c r="Z69" s="19">
        <f t="shared" si="71"/>
        <v>7.8393138813457623</v>
      </c>
    </row>
    <row r="70" spans="1:26" s="24" customFormat="1" hidden="1" outlineLevel="1" x14ac:dyDescent="0.3">
      <c r="A70" s="44"/>
      <c r="B70" s="11" t="str">
        <f>CONCATENATE("          ", "9160", " - ", "MISC. INCOME")</f>
        <v xml:space="preserve">          9160 - MISC. INCOME</v>
      </c>
      <c r="C70" s="11"/>
      <c r="D70" s="2">
        <f>0</f>
        <v>0</v>
      </c>
      <c r="E70" s="2"/>
      <c r="F70" s="19">
        <f t="shared" si="64"/>
        <v>0</v>
      </c>
      <c r="G70" s="2"/>
      <c r="H70" s="2">
        <f>0</f>
        <v>0</v>
      </c>
      <c r="I70" s="2"/>
      <c r="J70" s="19">
        <f t="shared" si="65"/>
        <v>0</v>
      </c>
      <c r="K70" s="2"/>
      <c r="L70" s="2">
        <f t="shared" si="66"/>
        <v>0</v>
      </c>
      <c r="M70" s="2"/>
      <c r="N70" s="19">
        <f t="shared" si="67"/>
        <v>0</v>
      </c>
      <c r="O70" s="11"/>
      <c r="P70" s="2">
        <f>0</f>
        <v>0</v>
      </c>
      <c r="Q70" s="2"/>
      <c r="R70" s="19">
        <f t="shared" si="68"/>
        <v>0</v>
      </c>
      <c r="S70" s="2"/>
      <c r="T70" s="2">
        <f>--626.43</f>
        <v>626.42999999999995</v>
      </c>
      <c r="U70" s="2"/>
      <c r="V70" s="19">
        <f t="shared" si="69"/>
        <v>0</v>
      </c>
      <c r="W70" s="2"/>
      <c r="X70" s="2">
        <f t="shared" si="70"/>
        <v>-626.42999999999995</v>
      </c>
      <c r="Y70" s="2"/>
      <c r="Z70" s="19">
        <f t="shared" si="71"/>
        <v>-1</v>
      </c>
    </row>
    <row r="71" spans="1:26" x14ac:dyDescent="0.3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3">
      <c r="A72" s="10"/>
      <c r="B72" s="26" t="s">
        <v>276</v>
      </c>
      <c r="C72" s="26"/>
      <c r="D72" s="20">
        <f>+D16-D18+D68</f>
        <v>-34557.17</v>
      </c>
      <c r="E72" s="13"/>
      <c r="F72" s="21">
        <f>IF(D$12=0,0,D72/D$12)</f>
        <v>0</v>
      </c>
      <c r="G72" s="13"/>
      <c r="H72" s="20">
        <f>+H16-H18+H68</f>
        <v>-32392.589999999997</v>
      </c>
      <c r="I72" s="13"/>
      <c r="J72" s="21">
        <f>IF(H$12=0,0,H72/H$12)</f>
        <v>0</v>
      </c>
      <c r="K72" s="15"/>
      <c r="L72" s="20">
        <f>+D72-H72</f>
        <v>-2164.5800000000017</v>
      </c>
      <c r="M72" s="15"/>
      <c r="N72" s="21">
        <f>IF(H72=0,0,L72/H72)</f>
        <v>6.6823307429260889E-2</v>
      </c>
      <c r="O72" s="25"/>
      <c r="P72" s="20">
        <f>+P16-P18+P68</f>
        <v>-280895.78000000003</v>
      </c>
      <c r="Q72" s="13"/>
      <c r="R72" s="21">
        <f>IF(P$12=0,0,P72/P$12)</f>
        <v>0</v>
      </c>
      <c r="S72" s="13"/>
      <c r="T72" s="20">
        <f>+T16-T18+T68</f>
        <v>-150153.20000000004</v>
      </c>
      <c r="U72" s="13"/>
      <c r="V72" s="21">
        <f>IF(T$12=0,0,T72/T$12)</f>
        <v>0</v>
      </c>
      <c r="W72" s="15"/>
      <c r="X72" s="20">
        <f>+P72-T72</f>
        <v>-130742.57999999999</v>
      </c>
      <c r="Y72" s="15"/>
      <c r="Z72" s="21">
        <f>IF(T72=0,0,X72/T72)</f>
        <v>0.87072789657496441</v>
      </c>
    </row>
    <row r="73" spans="1:26" x14ac:dyDescent="0.3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3">
      <c r="A74" s="51"/>
      <c r="B74" s="10" t="s">
        <v>127</v>
      </c>
      <c r="C74" s="10"/>
      <c r="D74" s="4"/>
      <c r="E74" s="4"/>
      <c r="F74" s="12">
        <f>IF(D$12=0,0,D74/D$12)</f>
        <v>0</v>
      </c>
      <c r="G74" s="4"/>
      <c r="H74" s="4"/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/>
      <c r="Q74" s="4"/>
      <c r="R74" s="12">
        <f>IF(P$12=0,0,P74/P$12)</f>
        <v>0</v>
      </c>
      <c r="S74" s="4"/>
      <c r="T74" s="4"/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3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" thickBot="1" x14ac:dyDescent="0.35">
      <c r="A76" s="10"/>
      <c r="B76" s="26" t="s">
        <v>125</v>
      </c>
      <c r="C76" s="26"/>
      <c r="D76" s="32">
        <f>+D72-D74</f>
        <v>-34557.17</v>
      </c>
      <c r="E76" s="13"/>
      <c r="F76" s="35">
        <f>IF(D$12=0,0,D76/D$12)</f>
        <v>0</v>
      </c>
      <c r="G76" s="13"/>
      <c r="H76" s="32">
        <f>+H72-H74</f>
        <v>-32392.589999999997</v>
      </c>
      <c r="I76" s="13"/>
      <c r="J76" s="35">
        <f>IF(H$12=0,0,H76/H$12)</f>
        <v>0</v>
      </c>
      <c r="K76" s="15"/>
      <c r="L76" s="32">
        <f>D76-H76</f>
        <v>-2164.5800000000017</v>
      </c>
      <c r="M76" s="15"/>
      <c r="N76" s="35">
        <f>IF(H76=0,0,L76/H76)</f>
        <v>6.6823307429260889E-2</v>
      </c>
      <c r="O76" s="25"/>
      <c r="P76" s="32">
        <f>+P72-P74</f>
        <v>-280895.78000000003</v>
      </c>
      <c r="Q76" s="13"/>
      <c r="R76" s="35">
        <f>IF(P$12=0,0,P76/P$12)</f>
        <v>0</v>
      </c>
      <c r="S76" s="13"/>
      <c r="T76" s="32">
        <f>+T72-T74</f>
        <v>-150153.20000000004</v>
      </c>
      <c r="U76" s="13"/>
      <c r="V76" s="35">
        <f>IF(T$12=0,0,T76/T$12)</f>
        <v>0</v>
      </c>
      <c r="W76" s="15"/>
      <c r="X76" s="32">
        <f>P76-T76</f>
        <v>-130742.57999999999</v>
      </c>
      <c r="Y76" s="15"/>
      <c r="Z76" s="35">
        <f>IF(T76=0,0,X76/T76)</f>
        <v>0.87072789657496441</v>
      </c>
    </row>
    <row r="77" spans="1:26" ht="15" thickTop="1" x14ac:dyDescent="0.3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3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" thickBot="1" x14ac:dyDescent="0.35">
      <c r="A79" s="10"/>
      <c r="B79" s="26" t="s">
        <v>293</v>
      </c>
      <c r="C79" s="26"/>
      <c r="D79" s="31">
        <f>SUM(D76:D78)</f>
        <v>-34557.17</v>
      </c>
      <c r="E79" s="13"/>
      <c r="F79" s="33">
        <f>IF(D$12=0,0,D79/D$12)</f>
        <v>0</v>
      </c>
      <c r="G79" s="13"/>
      <c r="H79" s="31">
        <f>SUM(H76:H78)</f>
        <v>-32392.589999999997</v>
      </c>
      <c r="I79" s="13"/>
      <c r="J79" s="33">
        <f>IF(H$12=0,0,H79/H$12)</f>
        <v>0</v>
      </c>
      <c r="K79" s="15"/>
      <c r="L79" s="31">
        <f>+D79-H79</f>
        <v>-2164.5800000000017</v>
      </c>
      <c r="M79" s="15"/>
      <c r="N79" s="33">
        <f>IF(H79=0,0,L79/H79)</f>
        <v>6.6823307429260889E-2</v>
      </c>
      <c r="O79" s="25"/>
      <c r="P79" s="31">
        <f>SUM(P76:P78)</f>
        <v>-280895.78000000003</v>
      </c>
      <c r="Q79" s="13"/>
      <c r="R79" s="33">
        <f>IF(P$12=0,0,P79/P$12)</f>
        <v>0</v>
      </c>
      <c r="S79" s="13"/>
      <c r="T79" s="31">
        <f>SUM(T76:T78)</f>
        <v>-150153.20000000004</v>
      </c>
      <c r="U79" s="13"/>
      <c r="V79" s="33">
        <f>IF(T$12=0,0,T79/T$12)</f>
        <v>0</v>
      </c>
      <c r="W79" s="15"/>
      <c r="X79" s="31">
        <f>+P79-T79</f>
        <v>-130742.57999999999</v>
      </c>
      <c r="Y79" s="15"/>
      <c r="Z79" s="33">
        <f>IF(T79=0,0,X79/T79)</f>
        <v>0.87072789657496441</v>
      </c>
    </row>
    <row r="80" spans="1:26" ht="15" thickTop="1" x14ac:dyDescent="0.3">
      <c r="A80" s="9"/>
      <c r="C80" s="9"/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3">
      <c r="A81" s="9"/>
      <c r="B81" s="60">
        <v>44575.854680405093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3">
      <c r="A82" s="9"/>
      <c r="B82" s="57" t="s">
        <v>56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3">
      <c r="A83" s="9"/>
      <c r="B83" s="59"/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3"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","412", " - ", "Chartroom")</f>
        <v>Department 412 - Chartroom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22">
        <f>SUM(OSRRefD22x_0)</f>
        <v>640.63</v>
      </c>
      <c r="E18" s="22"/>
      <c r="F18" s="34">
        <f t="shared" ref="F18:F25" si="0">IF(D$12=0,0,D18/D$12)</f>
        <v>0</v>
      </c>
      <c r="G18" s="22"/>
      <c r="H18" s="22">
        <f>SUM(OSRRefH22x_0)</f>
        <v>673.96</v>
      </c>
      <c r="I18" s="22"/>
      <c r="J18" s="34">
        <f t="shared" ref="J18:J25" si="1">IF(H$12=0,0,H18/H$12)</f>
        <v>0</v>
      </c>
      <c r="K18" s="4"/>
      <c r="L18" s="22">
        <f t="shared" ref="L18:L25" si="2">+D18-H18</f>
        <v>-33.330000000000041</v>
      </c>
      <c r="M18" s="4"/>
      <c r="N18" s="34">
        <f t="shared" ref="N18:N25" si="3">IF(H18=0,0,L18/H18)</f>
        <v>-4.9453973529586387E-2</v>
      </c>
      <c r="O18" s="10"/>
      <c r="P18" s="22">
        <f>SUM(OSRRefP22x_0)</f>
        <v>3723.4599999999996</v>
      </c>
      <c r="Q18" s="22"/>
      <c r="R18" s="34">
        <f t="shared" ref="R18:R25" si="4">IF(P$12=0,0,P18/P$12)</f>
        <v>0</v>
      </c>
      <c r="S18" s="22"/>
      <c r="T18" s="22">
        <f>SUM(OSRRefT22x_0)</f>
        <v>6049.53</v>
      </c>
      <c r="U18" s="22"/>
      <c r="V18" s="34">
        <f t="shared" ref="V18:V25" si="5">IF(T$12=0,0,T18/T$12)</f>
        <v>0</v>
      </c>
      <c r="W18" s="4"/>
      <c r="X18" s="22">
        <f t="shared" ref="X18:X25" si="6">+P18-T18</f>
        <v>-2326.0700000000002</v>
      </c>
      <c r="Y18" s="4"/>
      <c r="Z18" s="34">
        <f t="shared" ref="Z18:Z25" si="7">IF(T18=0,0,X18/T18)</f>
        <v>-0.38450425074344624</v>
      </c>
    </row>
    <row r="19" spans="1:26" s="29" customFormat="1" outlineLevel="1" collapsed="1" x14ac:dyDescent="0.3">
      <c r="A19" s="27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577.36</v>
      </c>
      <c r="E19" s="1"/>
      <c r="F19" s="5">
        <f t="shared" si="0"/>
        <v>0</v>
      </c>
      <c r="G19" s="1"/>
      <c r="H19" s="1">
        <f>SUM(OSRRefH22_0x_0)</f>
        <v>577.36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3464.16</v>
      </c>
      <c r="Q19" s="1"/>
      <c r="R19" s="5">
        <f t="shared" si="4"/>
        <v>0</v>
      </c>
      <c r="S19" s="1"/>
      <c r="T19" s="1">
        <f>SUM(OSRRefT22_0x_0)</f>
        <v>3803.15</v>
      </c>
      <c r="U19" s="1"/>
      <c r="V19" s="5">
        <f t="shared" si="5"/>
        <v>0</v>
      </c>
      <c r="W19" s="1"/>
      <c r="X19" s="1">
        <f t="shared" si="6"/>
        <v>-338.99000000000024</v>
      </c>
      <c r="Y19" s="1"/>
      <c r="Z19" s="5">
        <f t="shared" si="7"/>
        <v>-8.913400733602414E-2</v>
      </c>
    </row>
    <row r="20" spans="1:26" s="24" customFormat="1" hidden="1" outlineLevel="2" x14ac:dyDescent="0.3">
      <c r="A20" s="28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577.36</v>
      </c>
      <c r="E20" s="2"/>
      <c r="F20" s="7">
        <f t="shared" si="0"/>
        <v>0</v>
      </c>
      <c r="G20" s="2"/>
      <c r="H20" s="6">
        <v>577.36</v>
      </c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>
        <v>3464.16</v>
      </c>
      <c r="Q20" s="2"/>
      <c r="R20" s="7">
        <f t="shared" si="4"/>
        <v>0</v>
      </c>
      <c r="S20" s="2"/>
      <c r="T20" s="6">
        <v>3803.15</v>
      </c>
      <c r="U20" s="2"/>
      <c r="V20" s="7">
        <f t="shared" si="5"/>
        <v>0</v>
      </c>
      <c r="W20" s="2"/>
      <c r="X20" s="6">
        <f t="shared" si="6"/>
        <v>-338.99000000000024</v>
      </c>
      <c r="Y20" s="2"/>
      <c r="Z20" s="7">
        <f t="shared" si="7"/>
        <v>-8.913400733602414E-2</v>
      </c>
    </row>
    <row r="21" spans="1:26" s="29" customFormat="1" outlineLevel="1" collapsed="1" x14ac:dyDescent="0.3">
      <c r="A21" s="27"/>
      <c r="B21" s="14" t="str">
        <f>CONCATENATE("     ","Equipment Rental                                  ")</f>
        <v xml:space="preserve">     Equipment Rental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16.239999999999998</v>
      </c>
      <c r="U21" s="1"/>
      <c r="V21" s="5">
        <f t="shared" si="5"/>
        <v>0</v>
      </c>
      <c r="W21" s="1"/>
      <c r="X21" s="1">
        <f t="shared" si="6"/>
        <v>-16.239999999999998</v>
      </c>
      <c r="Y21" s="1"/>
      <c r="Z21" s="5">
        <f t="shared" si="7"/>
        <v>-1</v>
      </c>
    </row>
    <row r="22" spans="1:26" s="24" customFormat="1" hidden="1" outlineLevel="2" x14ac:dyDescent="0.3">
      <c r="A22" s="28"/>
      <c r="B22" s="11" t="str">
        <f>CONCATENATE("          ", "6351", " - ", "EQUIPMENT RENTAL")</f>
        <v xml:space="preserve">          6351 - EQUIPMENT RENTAL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/>
      <c r="Q22" s="2"/>
      <c r="R22" s="7">
        <f t="shared" si="4"/>
        <v>0</v>
      </c>
      <c r="S22" s="2"/>
      <c r="T22" s="6">
        <v>16.239999999999998</v>
      </c>
      <c r="U22" s="2"/>
      <c r="V22" s="7">
        <f t="shared" si="5"/>
        <v>0</v>
      </c>
      <c r="W22" s="2"/>
      <c r="X22" s="6">
        <f t="shared" si="6"/>
        <v>-16.239999999999998</v>
      </c>
      <c r="Y22" s="2"/>
      <c r="Z22" s="7">
        <f t="shared" si="7"/>
        <v>-1</v>
      </c>
    </row>
    <row r="23" spans="1:26" s="29" customFormat="1" outlineLevel="1" collapsed="1" x14ac:dyDescent="0.3">
      <c r="A23" s="27"/>
      <c r="B23" s="14" t="str">
        <f>CONCATENATE("     ","Repair and Maintenance                            ")</f>
        <v xml:space="preserve">     Repair and Maintenance                            </v>
      </c>
      <c r="C23" s="14"/>
      <c r="D23" s="1">
        <f>SUM(OSRRefD22_2x_0)</f>
        <v>63.27</v>
      </c>
      <c r="E23" s="1"/>
      <c r="F23" s="5">
        <f t="shared" si="0"/>
        <v>0</v>
      </c>
      <c r="G23" s="1"/>
      <c r="H23" s="1">
        <f>SUM(OSRRefH22_2x_0)</f>
        <v>60.6</v>
      </c>
      <c r="I23" s="1"/>
      <c r="J23" s="5">
        <f t="shared" si="1"/>
        <v>0</v>
      </c>
      <c r="K23" s="1"/>
      <c r="L23" s="1">
        <f t="shared" si="2"/>
        <v>2.6700000000000017</v>
      </c>
      <c r="M23" s="1"/>
      <c r="N23" s="5">
        <f t="shared" si="3"/>
        <v>4.4059405940594085E-2</v>
      </c>
      <c r="O23" s="14"/>
      <c r="P23" s="1">
        <f>SUM(OSRRefP22_2x_0)</f>
        <v>123.7</v>
      </c>
      <c r="Q23" s="1"/>
      <c r="R23" s="5">
        <f t="shared" si="4"/>
        <v>0</v>
      </c>
      <c r="S23" s="1"/>
      <c r="T23" s="1">
        <f>SUM(OSRRefT22_2x_0)</f>
        <v>1616.5300000000002</v>
      </c>
      <c r="U23" s="1"/>
      <c r="V23" s="5">
        <f t="shared" si="5"/>
        <v>0</v>
      </c>
      <c r="W23" s="1"/>
      <c r="X23" s="1">
        <f t="shared" si="6"/>
        <v>-1492.8300000000002</v>
      </c>
      <c r="Y23" s="1"/>
      <c r="Z23" s="5">
        <f t="shared" si="7"/>
        <v>-0.92347806721805348</v>
      </c>
    </row>
    <row r="24" spans="1:26" s="24" customFormat="1" hidden="1" outlineLevel="2" x14ac:dyDescent="0.3">
      <c r="A24" s="28"/>
      <c r="B24" s="11" t="str">
        <f>CONCATENATE("          ", "6373", " - ", "MAINTENANCE CONTRACTS")</f>
        <v xml:space="preserve">          6373 - MAINTENANCE CONTRACTS</v>
      </c>
      <c r="C24" s="11"/>
      <c r="D24" s="6">
        <v>63.27</v>
      </c>
      <c r="E24" s="2"/>
      <c r="F24" s="7">
        <f t="shared" si="0"/>
        <v>0</v>
      </c>
      <c r="G24" s="2"/>
      <c r="H24" s="6">
        <v>60.6</v>
      </c>
      <c r="I24" s="2"/>
      <c r="J24" s="7">
        <f t="shared" si="1"/>
        <v>0</v>
      </c>
      <c r="K24" s="2"/>
      <c r="L24" s="6">
        <f t="shared" si="2"/>
        <v>2.6700000000000017</v>
      </c>
      <c r="M24" s="2"/>
      <c r="N24" s="7">
        <f t="shared" si="3"/>
        <v>4.4059405940594085E-2</v>
      </c>
      <c r="O24" s="11"/>
      <c r="P24" s="6">
        <v>123.7</v>
      </c>
      <c r="Q24" s="2"/>
      <c r="R24" s="7">
        <f t="shared" si="4"/>
        <v>0</v>
      </c>
      <c r="S24" s="2"/>
      <c r="T24" s="6">
        <v>278.39999999999998</v>
      </c>
      <c r="U24" s="2"/>
      <c r="V24" s="7">
        <f t="shared" si="5"/>
        <v>0</v>
      </c>
      <c r="W24" s="2"/>
      <c r="X24" s="6">
        <f t="shared" si="6"/>
        <v>-154.69999999999999</v>
      </c>
      <c r="Y24" s="2"/>
      <c r="Z24" s="7">
        <f t="shared" si="7"/>
        <v>-0.55567528735632188</v>
      </c>
    </row>
    <row r="25" spans="1:26" s="24" customFormat="1" hidden="1" outlineLevel="2" x14ac:dyDescent="0.3">
      <c r="A25" s="28"/>
      <c r="B25" s="11" t="str">
        <f>CONCATENATE("          ", "6375", " - ", "OUTSIDE REPAIRS &amp; MAINTENANCE")</f>
        <v xml:space="preserve">          6375 - OUTSIDE REPAIRS &amp; MAINTENANCE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1338.13</v>
      </c>
      <c r="U25" s="2"/>
      <c r="V25" s="7">
        <f t="shared" si="5"/>
        <v>0</v>
      </c>
      <c r="W25" s="2"/>
      <c r="X25" s="6">
        <f t="shared" si="6"/>
        <v>-1338.13</v>
      </c>
      <c r="Y25" s="2"/>
      <c r="Z25" s="7">
        <f t="shared" si="7"/>
        <v>-1</v>
      </c>
    </row>
    <row r="26" spans="1:26" s="29" customFormat="1" outlineLevel="1" collapsed="1" x14ac:dyDescent="0.3">
      <c r="A26" s="27"/>
      <c r="B26" s="14" t="str">
        <f>CONCATENATE("     ","Services                                          ")</f>
        <v xml:space="preserve">     Services                                          </v>
      </c>
      <c r="C26" s="14"/>
      <c r="D26" s="1">
        <f>SUM(OSRRefD22_3x_0)</f>
        <v>0</v>
      </c>
      <c r="E26" s="1"/>
      <c r="F26" s="5">
        <f t="shared" ref="F26:F29" si="8">IF(D$12=0,0,D26/D$12)</f>
        <v>0</v>
      </c>
      <c r="G26" s="1"/>
      <c r="H26" s="1">
        <f>SUM(OSRRefH22_3x_0)</f>
        <v>0</v>
      </c>
      <c r="I26" s="1"/>
      <c r="J26" s="5">
        <f t="shared" ref="J26:J29" si="9">IF(H$12=0,0,H26/H$12)</f>
        <v>0</v>
      </c>
      <c r="K26" s="1"/>
      <c r="L26" s="1">
        <f t="shared" ref="L26:L29" si="10">+D26-H26</f>
        <v>0</v>
      </c>
      <c r="M26" s="1"/>
      <c r="N26" s="5">
        <f t="shared" ref="N26:N29" si="11">IF(H26=0,0,L26/H26)</f>
        <v>0</v>
      </c>
      <c r="O26" s="14"/>
      <c r="P26" s="1">
        <f>SUM(OSRRefP22_3x_0)</f>
        <v>0</v>
      </c>
      <c r="Q26" s="1"/>
      <c r="R26" s="5">
        <f t="shared" ref="R26:R29" si="12">IF(P$12=0,0,P26/P$12)</f>
        <v>0</v>
      </c>
      <c r="S26" s="1"/>
      <c r="T26" s="1">
        <f>SUM(OSRRefT22_3x_0)</f>
        <v>320.58</v>
      </c>
      <c r="U26" s="1"/>
      <c r="V26" s="5">
        <f t="shared" ref="V26:V29" si="13">IF(T$12=0,0,T26/T$12)</f>
        <v>0</v>
      </c>
      <c r="W26" s="1"/>
      <c r="X26" s="1">
        <f t="shared" ref="X26:X29" si="14">+P26-T26</f>
        <v>-320.58</v>
      </c>
      <c r="Y26" s="1"/>
      <c r="Z26" s="5">
        <f t="shared" ref="Z26:Z29" si="15">IF(T26=0,0,X26/T26)</f>
        <v>-1</v>
      </c>
    </row>
    <row r="27" spans="1:26" s="24" customFormat="1" hidden="1" outlineLevel="2" x14ac:dyDescent="0.3">
      <c r="A27" s="28"/>
      <c r="B27" s="11" t="str">
        <f>CONCATENATE("          ", "6286", " - ", "LAUNDRY EXPENSE")</f>
        <v xml:space="preserve">          6286 - LAUNDRY EXPENSE</v>
      </c>
      <c r="C27" s="11"/>
      <c r="D27" s="6"/>
      <c r="E27" s="2"/>
      <c r="F27" s="7">
        <f t="shared" si="8"/>
        <v>0</v>
      </c>
      <c r="G27" s="2"/>
      <c r="H27" s="6"/>
      <c r="I27" s="2"/>
      <c r="J27" s="7">
        <f t="shared" si="9"/>
        <v>0</v>
      </c>
      <c r="K27" s="2"/>
      <c r="L27" s="6">
        <f t="shared" si="10"/>
        <v>0</v>
      </c>
      <c r="M27" s="2"/>
      <c r="N27" s="7">
        <f t="shared" si="11"/>
        <v>0</v>
      </c>
      <c r="O27" s="11"/>
      <c r="P27" s="6"/>
      <c r="Q27" s="2"/>
      <c r="R27" s="7">
        <f t="shared" si="12"/>
        <v>0</v>
      </c>
      <c r="S27" s="2"/>
      <c r="T27" s="6">
        <v>320.58</v>
      </c>
      <c r="U27" s="2"/>
      <c r="V27" s="7">
        <f t="shared" si="13"/>
        <v>0</v>
      </c>
      <c r="W27" s="2"/>
      <c r="X27" s="6">
        <f t="shared" si="14"/>
        <v>-320.58</v>
      </c>
      <c r="Y27" s="2"/>
      <c r="Z27" s="7">
        <f t="shared" si="15"/>
        <v>-1</v>
      </c>
    </row>
    <row r="28" spans="1:26" s="29" customFormat="1" outlineLevel="1" collapsed="1" x14ac:dyDescent="0.3">
      <c r="A28" s="27"/>
      <c r="B28" s="14" t="str">
        <f>CONCATENATE("     ","Telephone/Data Lines                              ")</f>
        <v xml:space="preserve">     Telephone/Data Lines                              </v>
      </c>
      <c r="C28" s="14"/>
      <c r="D28" s="1">
        <f>SUM(OSRRefD22_4x_0)</f>
        <v>0</v>
      </c>
      <c r="E28" s="1"/>
      <c r="F28" s="5">
        <f t="shared" si="8"/>
        <v>0</v>
      </c>
      <c r="G28" s="1"/>
      <c r="H28" s="1">
        <f>SUM(OSRRefH22_4x_0)</f>
        <v>36</v>
      </c>
      <c r="I28" s="1"/>
      <c r="J28" s="5">
        <f t="shared" si="9"/>
        <v>0</v>
      </c>
      <c r="K28" s="1"/>
      <c r="L28" s="1">
        <f t="shared" si="10"/>
        <v>-36</v>
      </c>
      <c r="M28" s="1"/>
      <c r="N28" s="5">
        <f t="shared" si="11"/>
        <v>-1</v>
      </c>
      <c r="O28" s="14"/>
      <c r="P28" s="1">
        <f>SUM(OSRRefP22_4x_0)</f>
        <v>135.6</v>
      </c>
      <c r="Q28" s="1"/>
      <c r="R28" s="5">
        <f t="shared" si="12"/>
        <v>0</v>
      </c>
      <c r="S28" s="1"/>
      <c r="T28" s="1">
        <f>SUM(OSRRefT22_4x_0)</f>
        <v>293.02999999999997</v>
      </c>
      <c r="U28" s="1"/>
      <c r="V28" s="5">
        <f t="shared" si="13"/>
        <v>0</v>
      </c>
      <c r="W28" s="1"/>
      <c r="X28" s="1">
        <f t="shared" si="14"/>
        <v>-157.42999999999998</v>
      </c>
      <c r="Y28" s="1"/>
      <c r="Z28" s="5">
        <f t="shared" si="15"/>
        <v>-0.5372487458621984</v>
      </c>
    </row>
    <row r="29" spans="1:26" s="24" customFormat="1" hidden="1" outlineLevel="2" x14ac:dyDescent="0.3">
      <c r="A29" s="28"/>
      <c r="B29" s="11" t="str">
        <f>CONCATENATE("          ", "6309", " - ", "TELEPHONE")</f>
        <v xml:space="preserve">          6309 - TELEPHONE</v>
      </c>
      <c r="C29" s="11"/>
      <c r="D29" s="6"/>
      <c r="E29" s="2"/>
      <c r="F29" s="7">
        <f t="shared" si="8"/>
        <v>0</v>
      </c>
      <c r="G29" s="2"/>
      <c r="H29" s="6">
        <v>36</v>
      </c>
      <c r="I29" s="2"/>
      <c r="J29" s="7">
        <f t="shared" si="9"/>
        <v>0</v>
      </c>
      <c r="K29" s="2"/>
      <c r="L29" s="6">
        <f t="shared" si="10"/>
        <v>-36</v>
      </c>
      <c r="M29" s="2"/>
      <c r="N29" s="7">
        <f t="shared" si="11"/>
        <v>-1</v>
      </c>
      <c r="O29" s="11"/>
      <c r="P29" s="6">
        <v>135.6</v>
      </c>
      <c r="Q29" s="2"/>
      <c r="R29" s="7">
        <f t="shared" si="12"/>
        <v>0</v>
      </c>
      <c r="S29" s="2"/>
      <c r="T29" s="6">
        <v>293.02999999999997</v>
      </c>
      <c r="U29" s="2"/>
      <c r="V29" s="7">
        <f t="shared" si="13"/>
        <v>0</v>
      </c>
      <c r="W29" s="2"/>
      <c r="X29" s="6">
        <f t="shared" si="14"/>
        <v>-157.42999999999998</v>
      </c>
      <c r="Y29" s="2"/>
      <c r="Z29" s="7">
        <f t="shared" si="15"/>
        <v>-0.5372487458621984</v>
      </c>
    </row>
    <row r="30" spans="1:26" s="53" customFormat="1" x14ac:dyDescent="0.3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3">
      <c r="A31" s="10"/>
      <c r="B31" s="25" t="s">
        <v>292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3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10"/>
      <c r="B33" s="26" t="s">
        <v>276</v>
      </c>
      <c r="C33" s="26"/>
      <c r="D33" s="20">
        <f>+D16-D18+D31</f>
        <v>-640.63</v>
      </c>
      <c r="E33" s="13"/>
      <c r="F33" s="21">
        <f>IF(D$12=0,0,D33/D$12)</f>
        <v>0</v>
      </c>
      <c r="G33" s="13"/>
      <c r="H33" s="20">
        <f>+H16-H18+H31</f>
        <v>-673.96</v>
      </c>
      <c r="I33" s="13"/>
      <c r="J33" s="21">
        <f>IF(H$12=0,0,H33/H$12)</f>
        <v>0</v>
      </c>
      <c r="K33" s="15"/>
      <c r="L33" s="20">
        <f>+D33-H33</f>
        <v>33.330000000000041</v>
      </c>
      <c r="M33" s="15"/>
      <c r="N33" s="21">
        <f>IF(H33=0,0,L33/H33)</f>
        <v>-4.9453973529586387E-2</v>
      </c>
      <c r="O33" s="25"/>
      <c r="P33" s="20">
        <f>+P16-P18+P31</f>
        <v>-3723.4599999999996</v>
      </c>
      <c r="Q33" s="13"/>
      <c r="R33" s="21">
        <f>IF(P$12=0,0,P33/P$12)</f>
        <v>0</v>
      </c>
      <c r="S33" s="13"/>
      <c r="T33" s="20">
        <f>+T16-T18+T31</f>
        <v>-6049.53</v>
      </c>
      <c r="U33" s="13"/>
      <c r="V33" s="21">
        <f>IF(T$12=0,0,T33/T$12)</f>
        <v>0</v>
      </c>
      <c r="W33" s="15"/>
      <c r="X33" s="20">
        <f>+P33-T33</f>
        <v>2326.0700000000002</v>
      </c>
      <c r="Y33" s="15"/>
      <c r="Z33" s="21">
        <f>IF(T33=0,0,X33/T33)</f>
        <v>-0.38450425074344624</v>
      </c>
    </row>
    <row r="34" spans="1:26" x14ac:dyDescent="0.3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3">
      <c r="A35" s="51"/>
      <c r="B35" s="10" t="s">
        <v>127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3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" thickBot="1" x14ac:dyDescent="0.35">
      <c r="A37" s="10"/>
      <c r="B37" s="26" t="s">
        <v>125</v>
      </c>
      <c r="C37" s="26"/>
      <c r="D37" s="32">
        <f>+D33-D35</f>
        <v>-640.63</v>
      </c>
      <c r="E37" s="13"/>
      <c r="F37" s="35">
        <f>IF(D$12=0,0,D37/D$12)</f>
        <v>0</v>
      </c>
      <c r="G37" s="13"/>
      <c r="H37" s="32">
        <f>+H33-H35</f>
        <v>-673.96</v>
      </c>
      <c r="I37" s="13"/>
      <c r="J37" s="35">
        <f>IF(H$12=0,0,H37/H$12)</f>
        <v>0</v>
      </c>
      <c r="K37" s="15"/>
      <c r="L37" s="32">
        <f>D37-H37</f>
        <v>33.330000000000041</v>
      </c>
      <c r="M37" s="15"/>
      <c r="N37" s="35">
        <f>IF(H37=0,0,L37/H37)</f>
        <v>-4.9453973529586387E-2</v>
      </c>
      <c r="O37" s="25"/>
      <c r="P37" s="32">
        <f>+P33-P35</f>
        <v>-3723.4599999999996</v>
      </c>
      <c r="Q37" s="13"/>
      <c r="R37" s="35">
        <f>IF(P$12=0,0,P37/P$12)</f>
        <v>0</v>
      </c>
      <c r="S37" s="13"/>
      <c r="T37" s="32">
        <f>+T33-T35</f>
        <v>-6049.53</v>
      </c>
      <c r="U37" s="13"/>
      <c r="V37" s="35">
        <f>IF(T$12=0,0,T37/T$12)</f>
        <v>0</v>
      </c>
      <c r="W37" s="15"/>
      <c r="X37" s="32">
        <f>P37-T37</f>
        <v>2326.0700000000002</v>
      </c>
      <c r="Y37" s="15"/>
      <c r="Z37" s="35">
        <f>IF(T37=0,0,X37/T37)</f>
        <v>-0.38450425074344624</v>
      </c>
    </row>
    <row r="38" spans="1:26" ht="15" thickTop="1" x14ac:dyDescent="0.3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3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" thickBot="1" x14ac:dyDescent="0.35">
      <c r="A40" s="10"/>
      <c r="B40" s="26" t="s">
        <v>293</v>
      </c>
      <c r="C40" s="26"/>
      <c r="D40" s="31">
        <f>SUM(D37:D39)</f>
        <v>-640.63</v>
      </c>
      <c r="E40" s="13"/>
      <c r="F40" s="33">
        <f>IF(D$12=0,0,D40/D$12)</f>
        <v>0</v>
      </c>
      <c r="G40" s="13"/>
      <c r="H40" s="31">
        <f>SUM(H37:H39)</f>
        <v>-673.96</v>
      </c>
      <c r="I40" s="13"/>
      <c r="J40" s="33">
        <f>IF(H$12=0,0,H40/H$12)</f>
        <v>0</v>
      </c>
      <c r="K40" s="15"/>
      <c r="L40" s="31">
        <f>+D40-H40</f>
        <v>33.330000000000041</v>
      </c>
      <c r="M40" s="15"/>
      <c r="N40" s="33">
        <f>IF(H40=0,0,L40/H40)</f>
        <v>-4.9453973529586387E-2</v>
      </c>
      <c r="O40" s="25"/>
      <c r="P40" s="31">
        <f>SUM(P37:P39)</f>
        <v>-3723.4599999999996</v>
      </c>
      <c r="Q40" s="13"/>
      <c r="R40" s="33">
        <f>IF(P$12=0,0,P40/P$12)</f>
        <v>0</v>
      </c>
      <c r="S40" s="13"/>
      <c r="T40" s="31">
        <f>SUM(T37:T39)</f>
        <v>-6049.53</v>
      </c>
      <c r="U40" s="13"/>
      <c r="V40" s="33">
        <f>IF(T$12=0,0,T40/T$12)</f>
        <v>0</v>
      </c>
      <c r="W40" s="15"/>
      <c r="X40" s="31">
        <f>+P40-T40</f>
        <v>2326.0700000000002</v>
      </c>
      <c r="Y40" s="15"/>
      <c r="Z40" s="33">
        <f>IF(T40=0,0,X40/T40)</f>
        <v>-0.38450425074344624</v>
      </c>
    </row>
    <row r="41" spans="1:26" ht="15" thickTop="1" x14ac:dyDescent="0.3">
      <c r="A41" s="9"/>
      <c r="C41" s="9"/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3">
      <c r="A42" s="9"/>
      <c r="B42" s="60">
        <v>44575.854680405093</v>
      </c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3">
      <c r="A43" s="9"/>
      <c r="B43" s="57" t="s">
        <v>56</v>
      </c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3">
      <c r="A44" s="9"/>
      <c r="B44" s="59"/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  <row r="45" spans="1:26" x14ac:dyDescent="0.3">
      <c r="D45" s="17"/>
      <c r="E45" s="17"/>
      <c r="G45" s="17"/>
      <c r="H45" s="17"/>
      <c r="I45" s="17"/>
      <c r="J45" s="43"/>
      <c r="K45" s="17"/>
      <c r="L45" s="17"/>
      <c r="M45" s="17"/>
      <c r="P45" s="17"/>
      <c r="Q45" s="17"/>
      <c r="R45" s="43"/>
      <c r="S45" s="17"/>
      <c r="T45" s="17"/>
      <c r="U45" s="17"/>
      <c r="V45" s="43"/>
      <c r="W45" s="17"/>
      <c r="X45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outlinePr summaryBelow="0" summaryRight="0"/>
  </sheetPr>
  <dimension ref="A2:Z5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","413", " - ", "Beach Walk")</f>
        <v>Department 413 - Beach Walk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22">
        <f>SUM(OSRRefD22x_0)</f>
        <v>157.88999999999999</v>
      </c>
      <c r="E18" s="22"/>
      <c r="F18" s="34">
        <f t="shared" ref="F18:F24" si="0">IF(D$12=0,0,D18/D$12)</f>
        <v>0</v>
      </c>
      <c r="G18" s="22"/>
      <c r="H18" s="22">
        <f>SUM(OSRRefH22x_0)</f>
        <v>85.78</v>
      </c>
      <c r="I18" s="22"/>
      <c r="J18" s="34">
        <f t="shared" ref="J18:J24" si="1">IF(H$12=0,0,H18/H$12)</f>
        <v>0</v>
      </c>
      <c r="K18" s="4"/>
      <c r="L18" s="22">
        <f t="shared" ref="L18:L24" si="2">+D18-H18</f>
        <v>72.109999999999985</v>
      </c>
      <c r="M18" s="4"/>
      <c r="N18" s="34">
        <f t="shared" ref="N18:N24" si="3">IF(H18=0,0,L18/H18)</f>
        <v>0.84063884355327567</v>
      </c>
      <c r="O18" s="10"/>
      <c r="P18" s="22">
        <f>SUM(OSRRefP22x_0)</f>
        <v>613.13</v>
      </c>
      <c r="Q18" s="22"/>
      <c r="R18" s="34">
        <f t="shared" ref="R18:R24" si="4">IF(P$12=0,0,P18/P$12)</f>
        <v>0</v>
      </c>
      <c r="S18" s="22"/>
      <c r="T18" s="22">
        <f>SUM(OSRRefT22x_0)</f>
        <v>4847.51</v>
      </c>
      <c r="U18" s="22"/>
      <c r="V18" s="34">
        <f t="shared" ref="V18:V24" si="5">IF(T$12=0,0,T18/T$12)</f>
        <v>0</v>
      </c>
      <c r="W18" s="4"/>
      <c r="X18" s="22">
        <f t="shared" ref="X18:X24" si="6">+P18-T18</f>
        <v>-4234.38</v>
      </c>
      <c r="Y18" s="4"/>
      <c r="Z18" s="34">
        <f t="shared" ref="Z18:Z24" si="7">IF(T18=0,0,X18/T18)</f>
        <v>-0.87351650641257061</v>
      </c>
    </row>
    <row r="19" spans="1:26" s="29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1493.43</v>
      </c>
      <c r="U19" s="1"/>
      <c r="V19" s="5">
        <f t="shared" si="5"/>
        <v>0</v>
      </c>
      <c r="W19" s="1"/>
      <c r="X19" s="1">
        <f t="shared" si="6"/>
        <v>-1493.43</v>
      </c>
      <c r="Y19" s="1"/>
      <c r="Z19" s="5">
        <f t="shared" si="7"/>
        <v>-1</v>
      </c>
    </row>
    <row r="20" spans="1:26" s="24" customFormat="1" hidden="1" outlineLevel="2" x14ac:dyDescent="0.3">
      <c r="A20" s="28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/>
      <c r="Q20" s="2"/>
      <c r="R20" s="7">
        <f t="shared" si="4"/>
        <v>0</v>
      </c>
      <c r="S20" s="2"/>
      <c r="T20" s="6">
        <v>191.51</v>
      </c>
      <c r="U20" s="2"/>
      <c r="V20" s="7">
        <f t="shared" si="5"/>
        <v>0</v>
      </c>
      <c r="W20" s="2"/>
      <c r="X20" s="6">
        <f t="shared" si="6"/>
        <v>-191.51</v>
      </c>
      <c r="Y20" s="2"/>
      <c r="Z20" s="7">
        <f t="shared" si="7"/>
        <v>-1</v>
      </c>
    </row>
    <row r="21" spans="1:26" s="24" customFormat="1" hidden="1" outlineLevel="2" x14ac:dyDescent="0.3">
      <c r="A21" s="28"/>
      <c r="B21" s="11" t="str">
        <f>CONCATENATE("          ", "6113", " - ", "GROUP INSURANCE")</f>
        <v xml:space="preserve">          6113 - GROUP INSURANCE</v>
      </c>
      <c r="C21" s="11"/>
      <c r="D21" s="6"/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0</v>
      </c>
      <c r="M21" s="2"/>
      <c r="N21" s="7">
        <f t="shared" si="3"/>
        <v>0</v>
      </c>
      <c r="O21" s="11"/>
      <c r="P21" s="6"/>
      <c r="Q21" s="2"/>
      <c r="R21" s="7">
        <f t="shared" si="4"/>
        <v>0</v>
      </c>
      <c r="S21" s="2"/>
      <c r="T21" s="6">
        <v>718.51</v>
      </c>
      <c r="U21" s="2"/>
      <c r="V21" s="7">
        <f t="shared" si="5"/>
        <v>0</v>
      </c>
      <c r="W21" s="2"/>
      <c r="X21" s="6">
        <f t="shared" si="6"/>
        <v>-718.51</v>
      </c>
      <c r="Y21" s="2"/>
      <c r="Z21" s="7">
        <f t="shared" si="7"/>
        <v>-1</v>
      </c>
    </row>
    <row r="22" spans="1:26" s="24" customFormat="1" hidden="1" outlineLevel="2" x14ac:dyDescent="0.3">
      <c r="A22" s="28"/>
      <c r="B22" s="11" t="str">
        <f>CONCATENATE("          ", "6115", " - ", "P.E.R.S.")</f>
        <v xml:space="preserve">          6115 - P.E.R.S.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/>
      <c r="Q22" s="2"/>
      <c r="R22" s="7">
        <f t="shared" si="4"/>
        <v>0</v>
      </c>
      <c r="S22" s="2"/>
      <c r="T22" s="6">
        <v>377.03</v>
      </c>
      <c r="U22" s="2"/>
      <c r="V22" s="7">
        <f t="shared" si="5"/>
        <v>0</v>
      </c>
      <c r="W22" s="2"/>
      <c r="X22" s="6">
        <f t="shared" si="6"/>
        <v>-377.03</v>
      </c>
      <c r="Y22" s="2"/>
      <c r="Z22" s="7">
        <f t="shared" si="7"/>
        <v>-1</v>
      </c>
    </row>
    <row r="23" spans="1:26" s="24" customFormat="1" hidden="1" outlineLevel="2" x14ac:dyDescent="0.3">
      <c r="A23" s="28"/>
      <c r="B23" s="11" t="str">
        <f>CONCATENATE("          ", "6118", " - ", "VACATION")</f>
        <v xml:space="preserve">          6118 - VACATION</v>
      </c>
      <c r="C23" s="11"/>
      <c r="D23" s="6"/>
      <c r="E23" s="2"/>
      <c r="F23" s="7">
        <f t="shared" si="0"/>
        <v>0</v>
      </c>
      <c r="G23" s="2"/>
      <c r="H23" s="6"/>
      <c r="I23" s="2"/>
      <c r="J23" s="7">
        <f t="shared" si="1"/>
        <v>0</v>
      </c>
      <c r="K23" s="2"/>
      <c r="L23" s="6">
        <f t="shared" si="2"/>
        <v>0</v>
      </c>
      <c r="M23" s="2"/>
      <c r="N23" s="7">
        <f t="shared" si="3"/>
        <v>0</v>
      </c>
      <c r="O23" s="11"/>
      <c r="P23" s="6"/>
      <c r="Q23" s="2"/>
      <c r="R23" s="7">
        <f t="shared" si="4"/>
        <v>0</v>
      </c>
      <c r="S23" s="2"/>
      <c r="T23" s="6">
        <v>93.89</v>
      </c>
      <c r="U23" s="2"/>
      <c r="V23" s="7">
        <f t="shared" si="5"/>
        <v>0</v>
      </c>
      <c r="W23" s="2"/>
      <c r="X23" s="6">
        <f t="shared" si="6"/>
        <v>-93.89</v>
      </c>
      <c r="Y23" s="2"/>
      <c r="Z23" s="7">
        <f t="shared" si="7"/>
        <v>-1</v>
      </c>
    </row>
    <row r="24" spans="1:26" s="24" customFormat="1" hidden="1" outlineLevel="2" x14ac:dyDescent="0.3">
      <c r="A24" s="28"/>
      <c r="B24" s="11" t="str">
        <f>CONCATENATE("          ", "6119", " - ", "SICK LEAVE")</f>
        <v xml:space="preserve">          6119 - SICK LEAVE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112.49</v>
      </c>
      <c r="U24" s="2"/>
      <c r="V24" s="7">
        <f t="shared" si="5"/>
        <v>0</v>
      </c>
      <c r="W24" s="2"/>
      <c r="X24" s="6">
        <f t="shared" si="6"/>
        <v>-112.49</v>
      </c>
      <c r="Y24" s="2"/>
      <c r="Z24" s="7">
        <f t="shared" si="7"/>
        <v>-1</v>
      </c>
    </row>
    <row r="25" spans="1:26" s="29" customFormat="1" outlineLevel="1" collapsed="1" x14ac:dyDescent="0.3">
      <c r="A25" s="27"/>
      <c r="B25" s="14" t="str">
        <f>CONCATENATE("     ","*Payroll                                          ")</f>
        <v xml:space="preserve">     *Payroll                                          </v>
      </c>
      <c r="C25" s="14"/>
      <c r="D25" s="1">
        <f>SUM(OSRRefD22_1x_0)</f>
        <v>0</v>
      </c>
      <c r="E25" s="1"/>
      <c r="F25" s="5">
        <f t="shared" ref="F25:F34" si="8">IF(D$12=0,0,D25/D$12)</f>
        <v>0</v>
      </c>
      <c r="G25" s="1"/>
      <c r="H25" s="1">
        <f>SUM(OSRRefH22_1x_0)</f>
        <v>0</v>
      </c>
      <c r="I25" s="1"/>
      <c r="J25" s="5">
        <f t="shared" ref="J25:J34" si="9">IF(H$12=0,0,H25/H$12)</f>
        <v>0</v>
      </c>
      <c r="K25" s="1"/>
      <c r="L25" s="1">
        <f t="shared" ref="L25:L34" si="10">+D25-H25</f>
        <v>0</v>
      </c>
      <c r="M25" s="1"/>
      <c r="N25" s="5">
        <f t="shared" ref="N25:N34" si="11">IF(H25=0,0,L25/H25)</f>
        <v>0</v>
      </c>
      <c r="O25" s="14"/>
      <c r="P25" s="1">
        <f>SUM(OSRRefP22_1x_0)</f>
        <v>0</v>
      </c>
      <c r="Q25" s="1"/>
      <c r="R25" s="5">
        <f t="shared" ref="R25:R34" si="12">IF(P$12=0,0,P25/P$12)</f>
        <v>0</v>
      </c>
      <c r="S25" s="1"/>
      <c r="T25" s="1">
        <f>SUM(OSRRefT22_1x_0)</f>
        <v>2259.48</v>
      </c>
      <c r="U25" s="1"/>
      <c r="V25" s="5">
        <f t="shared" ref="V25:V34" si="13">IF(T$12=0,0,T25/T$12)</f>
        <v>0</v>
      </c>
      <c r="W25" s="1"/>
      <c r="X25" s="1">
        <f t="shared" ref="X25:X34" si="14">+P25-T25</f>
        <v>-2259.48</v>
      </c>
      <c r="Y25" s="1"/>
      <c r="Z25" s="5">
        <f t="shared" ref="Z25:Z34" si="15">IF(T25=0,0,X25/T25)</f>
        <v>-1</v>
      </c>
    </row>
    <row r="26" spans="1:26" s="24" customFormat="1" hidden="1" outlineLevel="2" x14ac:dyDescent="0.3">
      <c r="A26" s="28"/>
      <c r="B26" s="11" t="str">
        <f>CONCATENATE("          ", "6002", " - ", "STAFF SALARIES")</f>
        <v xml:space="preserve">          6002 - STAFF SALARIES</v>
      </c>
      <c r="C26" s="11"/>
      <c r="D26" s="6"/>
      <c r="E26" s="2"/>
      <c r="F26" s="7">
        <f t="shared" si="8"/>
        <v>0</v>
      </c>
      <c r="G26" s="2"/>
      <c r="H26" s="6"/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/>
      <c r="Q26" s="2"/>
      <c r="R26" s="7">
        <f t="shared" si="12"/>
        <v>0</v>
      </c>
      <c r="S26" s="2"/>
      <c r="T26" s="6">
        <v>2259.48</v>
      </c>
      <c r="U26" s="2"/>
      <c r="V26" s="7">
        <f t="shared" si="13"/>
        <v>0</v>
      </c>
      <c r="W26" s="2"/>
      <c r="X26" s="6">
        <f t="shared" si="14"/>
        <v>-2259.48</v>
      </c>
      <c r="Y26" s="2"/>
      <c r="Z26" s="7">
        <f t="shared" si="15"/>
        <v>-1</v>
      </c>
    </row>
    <row r="27" spans="1:26" s="29" customFormat="1" outlineLevel="1" collapsed="1" x14ac:dyDescent="0.3">
      <c r="A27" s="27"/>
      <c r="B27" s="14" t="str">
        <f>CONCATENATE("     ","Depreciation                                      ")</f>
        <v xml:space="preserve">     Depreciation                                      </v>
      </c>
      <c r="C27" s="14"/>
      <c r="D27" s="1">
        <f>SUM(OSRRefD22_2x_0)</f>
        <v>58.03</v>
      </c>
      <c r="E27" s="1"/>
      <c r="F27" s="5">
        <f t="shared" si="8"/>
        <v>0</v>
      </c>
      <c r="G27" s="1"/>
      <c r="H27" s="1">
        <f>SUM(OSRRefH22_2x_0)</f>
        <v>58.03</v>
      </c>
      <c r="I27" s="1"/>
      <c r="J27" s="5">
        <f t="shared" si="9"/>
        <v>0</v>
      </c>
      <c r="K27" s="1"/>
      <c r="L27" s="1">
        <f t="shared" si="10"/>
        <v>0</v>
      </c>
      <c r="M27" s="1"/>
      <c r="N27" s="5">
        <f t="shared" si="11"/>
        <v>0</v>
      </c>
      <c r="O27" s="14"/>
      <c r="P27" s="1">
        <f>SUM(OSRRefP22_2x_0)</f>
        <v>348.18</v>
      </c>
      <c r="Q27" s="1"/>
      <c r="R27" s="5">
        <f t="shared" si="12"/>
        <v>0</v>
      </c>
      <c r="S27" s="1"/>
      <c r="T27" s="1">
        <f>SUM(OSRRefT22_2x_0)</f>
        <v>348.18</v>
      </c>
      <c r="U27" s="1"/>
      <c r="V27" s="5">
        <f t="shared" si="13"/>
        <v>0</v>
      </c>
      <c r="W27" s="1"/>
      <c r="X27" s="1">
        <f t="shared" si="14"/>
        <v>0</v>
      </c>
      <c r="Y27" s="1"/>
      <c r="Z27" s="5">
        <f t="shared" si="15"/>
        <v>0</v>
      </c>
    </row>
    <row r="28" spans="1:26" s="24" customFormat="1" hidden="1" outlineLevel="2" x14ac:dyDescent="0.3">
      <c r="A28" s="28"/>
      <c r="B28" s="11" t="str">
        <f>CONCATENATE("          ", "6322", " - ", "EQUIPMENT DEPRECIATION EXPENSE")</f>
        <v xml:space="preserve">          6322 - EQUIPMENT DEPRECIATION EXPENSE</v>
      </c>
      <c r="C28" s="11"/>
      <c r="D28" s="6">
        <v>58.03</v>
      </c>
      <c r="E28" s="2"/>
      <c r="F28" s="7">
        <f t="shared" si="8"/>
        <v>0</v>
      </c>
      <c r="G28" s="2"/>
      <c r="H28" s="6">
        <v>58.03</v>
      </c>
      <c r="I28" s="2"/>
      <c r="J28" s="7">
        <f t="shared" si="9"/>
        <v>0</v>
      </c>
      <c r="K28" s="2"/>
      <c r="L28" s="6">
        <f t="shared" si="10"/>
        <v>0</v>
      </c>
      <c r="M28" s="2"/>
      <c r="N28" s="7">
        <f t="shared" si="11"/>
        <v>0</v>
      </c>
      <c r="O28" s="11"/>
      <c r="P28" s="6">
        <v>348.18</v>
      </c>
      <c r="Q28" s="2"/>
      <c r="R28" s="7">
        <f t="shared" si="12"/>
        <v>0</v>
      </c>
      <c r="S28" s="2"/>
      <c r="T28" s="6">
        <v>348.18</v>
      </c>
      <c r="U28" s="2"/>
      <c r="V28" s="7">
        <f t="shared" si="13"/>
        <v>0</v>
      </c>
      <c r="W28" s="2"/>
      <c r="X28" s="6">
        <f t="shared" si="14"/>
        <v>0</v>
      </c>
      <c r="Y28" s="2"/>
      <c r="Z28" s="7">
        <f t="shared" si="15"/>
        <v>0</v>
      </c>
    </row>
    <row r="29" spans="1:26" s="29" customFormat="1" outlineLevel="1" collapsed="1" x14ac:dyDescent="0.3">
      <c r="A29" s="27"/>
      <c r="B29" s="14" t="str">
        <f>CONCATENATE("     ","Repair and Maintenance                            ")</f>
        <v xml:space="preserve">     Repair and Maintenance                            </v>
      </c>
      <c r="C29" s="14"/>
      <c r="D29" s="1">
        <f>SUM(OSRRefD22_3x_0)</f>
        <v>99.86</v>
      </c>
      <c r="E29" s="1"/>
      <c r="F29" s="5">
        <f t="shared" si="8"/>
        <v>0</v>
      </c>
      <c r="G29" s="1"/>
      <c r="H29" s="1">
        <f>SUM(OSRRefH22_3x_0)</f>
        <v>165.75</v>
      </c>
      <c r="I29" s="1"/>
      <c r="J29" s="5">
        <f t="shared" si="9"/>
        <v>0</v>
      </c>
      <c r="K29" s="1"/>
      <c r="L29" s="1">
        <f t="shared" si="10"/>
        <v>-65.89</v>
      </c>
      <c r="M29" s="1"/>
      <c r="N29" s="5">
        <f t="shared" si="11"/>
        <v>-0.39752639517345401</v>
      </c>
      <c r="O29" s="14"/>
      <c r="P29" s="1">
        <f>SUM(OSRRefP22_3x_0)</f>
        <v>264.95</v>
      </c>
      <c r="Q29" s="1"/>
      <c r="R29" s="5">
        <f t="shared" si="12"/>
        <v>0</v>
      </c>
      <c r="S29" s="1"/>
      <c r="T29" s="1">
        <f>SUM(OSRRefT22_3x_0)</f>
        <v>410.1</v>
      </c>
      <c r="U29" s="1"/>
      <c r="V29" s="5">
        <f t="shared" si="13"/>
        <v>0</v>
      </c>
      <c r="W29" s="1"/>
      <c r="X29" s="1">
        <f t="shared" si="14"/>
        <v>-145.15000000000003</v>
      </c>
      <c r="Y29" s="1"/>
      <c r="Z29" s="5">
        <f t="shared" si="15"/>
        <v>-0.35393806388685695</v>
      </c>
    </row>
    <row r="30" spans="1:26" s="24" customFormat="1" hidden="1" outlineLevel="2" x14ac:dyDescent="0.3">
      <c r="A30" s="28"/>
      <c r="B30" s="11" t="str">
        <f>CONCATENATE("          ", "6373", " - ", "MAINTENANCE CONTRACTS")</f>
        <v xml:space="preserve">          6373 - MAINTENANCE CONTRACTS</v>
      </c>
      <c r="C30" s="11"/>
      <c r="D30" s="6">
        <v>99.86</v>
      </c>
      <c r="E30" s="2"/>
      <c r="F30" s="7">
        <f t="shared" si="8"/>
        <v>0</v>
      </c>
      <c r="G30" s="2"/>
      <c r="H30" s="6">
        <v>165.75</v>
      </c>
      <c r="I30" s="2"/>
      <c r="J30" s="7">
        <f t="shared" si="9"/>
        <v>0</v>
      </c>
      <c r="K30" s="2"/>
      <c r="L30" s="6">
        <f t="shared" si="10"/>
        <v>-65.89</v>
      </c>
      <c r="M30" s="2"/>
      <c r="N30" s="7">
        <f t="shared" si="11"/>
        <v>-0.39752639517345401</v>
      </c>
      <c r="O30" s="11"/>
      <c r="P30" s="6">
        <v>264.95</v>
      </c>
      <c r="Q30" s="2"/>
      <c r="R30" s="7">
        <f t="shared" si="12"/>
        <v>0</v>
      </c>
      <c r="S30" s="2"/>
      <c r="T30" s="6">
        <v>410.1</v>
      </c>
      <c r="U30" s="2"/>
      <c r="V30" s="7">
        <f t="shared" si="13"/>
        <v>0</v>
      </c>
      <c r="W30" s="2"/>
      <c r="X30" s="6">
        <f t="shared" si="14"/>
        <v>-145.15000000000003</v>
      </c>
      <c r="Y30" s="2"/>
      <c r="Z30" s="7">
        <f t="shared" si="15"/>
        <v>-0.35393806388685695</v>
      </c>
    </row>
    <row r="31" spans="1:26" s="29" customFormat="1" outlineLevel="1" collapsed="1" x14ac:dyDescent="0.3">
      <c r="A31" s="27"/>
      <c r="B31" s="14" t="str">
        <f>CONCATENATE("     ","Services                                          ")</f>
        <v xml:space="preserve">     Services                                          </v>
      </c>
      <c r="C31" s="14"/>
      <c r="D31" s="1">
        <f>SUM(OSRRefD22_4x_0)</f>
        <v>0</v>
      </c>
      <c r="E31" s="1"/>
      <c r="F31" s="5">
        <f t="shared" si="8"/>
        <v>0</v>
      </c>
      <c r="G31" s="1"/>
      <c r="H31" s="1">
        <f>SUM(OSRRefH22_4x_0)</f>
        <v>0</v>
      </c>
      <c r="I31" s="1"/>
      <c r="J31" s="5">
        <f t="shared" si="9"/>
        <v>0</v>
      </c>
      <c r="K31" s="1"/>
      <c r="L31" s="1">
        <f t="shared" si="10"/>
        <v>0</v>
      </c>
      <c r="M31" s="1"/>
      <c r="N31" s="5">
        <f t="shared" si="11"/>
        <v>0</v>
      </c>
      <c r="O31" s="14"/>
      <c r="P31" s="1">
        <f>SUM(OSRRefP22_4x_0)</f>
        <v>0</v>
      </c>
      <c r="Q31" s="1"/>
      <c r="R31" s="5">
        <f t="shared" si="12"/>
        <v>0</v>
      </c>
      <c r="S31" s="1"/>
      <c r="T31" s="1">
        <f>SUM(OSRRefT22_4x_0)</f>
        <v>286.62</v>
      </c>
      <c r="U31" s="1"/>
      <c r="V31" s="5">
        <f t="shared" si="13"/>
        <v>0</v>
      </c>
      <c r="W31" s="1"/>
      <c r="X31" s="1">
        <f t="shared" si="14"/>
        <v>-286.62</v>
      </c>
      <c r="Y31" s="1"/>
      <c r="Z31" s="5">
        <f t="shared" si="15"/>
        <v>-1</v>
      </c>
    </row>
    <row r="32" spans="1:26" s="24" customFormat="1" hidden="1" outlineLevel="2" x14ac:dyDescent="0.3">
      <c r="A32" s="28"/>
      <c r="B32" s="11" t="str">
        <f>CONCATENATE("          ", "6282", " - ", "JANITORIAL/EXTERMINATOR EXPENS")</f>
        <v xml:space="preserve">          6282 - JANITORIAL/EXTERMINATOR EXPENS</v>
      </c>
      <c r="C32" s="11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286.62</v>
      </c>
      <c r="U32" s="2"/>
      <c r="V32" s="7">
        <f t="shared" si="13"/>
        <v>0</v>
      </c>
      <c r="W32" s="2"/>
      <c r="X32" s="6">
        <f t="shared" si="14"/>
        <v>-286.62</v>
      </c>
      <c r="Y32" s="2"/>
      <c r="Z32" s="7">
        <f t="shared" si="15"/>
        <v>-1</v>
      </c>
    </row>
    <row r="33" spans="1:26" s="29" customFormat="1" outlineLevel="1" collapsed="1" x14ac:dyDescent="0.3">
      <c r="A33" s="27"/>
      <c r="B33" s="14" t="str">
        <f>CONCATENATE("     ","Telephone/Data Lines                              ")</f>
        <v xml:space="preserve">     Telephone/Data Lines                              </v>
      </c>
      <c r="C33" s="14"/>
      <c r="D33" s="1">
        <f>SUM(OSRRefD22_5x_0)</f>
        <v>0</v>
      </c>
      <c r="E33" s="1"/>
      <c r="F33" s="5">
        <f t="shared" si="8"/>
        <v>0</v>
      </c>
      <c r="G33" s="1"/>
      <c r="H33" s="1">
        <f>SUM(OSRRefH22_5x_0)</f>
        <v>-138</v>
      </c>
      <c r="I33" s="1"/>
      <c r="J33" s="5">
        <f t="shared" si="9"/>
        <v>0</v>
      </c>
      <c r="K33" s="1"/>
      <c r="L33" s="1">
        <f t="shared" si="10"/>
        <v>138</v>
      </c>
      <c r="M33" s="1"/>
      <c r="N33" s="5">
        <f t="shared" si="11"/>
        <v>-1</v>
      </c>
      <c r="O33" s="14"/>
      <c r="P33" s="1">
        <f>SUM(OSRRefP22_5x_0)</f>
        <v>0</v>
      </c>
      <c r="Q33" s="1"/>
      <c r="R33" s="5">
        <f t="shared" si="12"/>
        <v>0</v>
      </c>
      <c r="S33" s="1"/>
      <c r="T33" s="1">
        <f>SUM(OSRRefT22_5x_0)</f>
        <v>49.7</v>
      </c>
      <c r="U33" s="1"/>
      <c r="V33" s="5">
        <f t="shared" si="13"/>
        <v>0</v>
      </c>
      <c r="W33" s="1"/>
      <c r="X33" s="1">
        <f t="shared" si="14"/>
        <v>-49.7</v>
      </c>
      <c r="Y33" s="1"/>
      <c r="Z33" s="5">
        <f t="shared" si="15"/>
        <v>-1</v>
      </c>
    </row>
    <row r="34" spans="1:26" s="24" customFormat="1" hidden="1" outlineLevel="2" x14ac:dyDescent="0.3">
      <c r="A34" s="28"/>
      <c r="B34" s="11" t="str">
        <f>CONCATENATE("          ", "6309", " - ", "TELEPHONE")</f>
        <v xml:space="preserve">          6309 - TELEPHONE</v>
      </c>
      <c r="C34" s="11"/>
      <c r="D34" s="6"/>
      <c r="E34" s="2"/>
      <c r="F34" s="7">
        <f t="shared" si="8"/>
        <v>0</v>
      </c>
      <c r="G34" s="2"/>
      <c r="H34" s="6">
        <v>-138</v>
      </c>
      <c r="I34" s="2"/>
      <c r="J34" s="7">
        <f t="shared" si="9"/>
        <v>0</v>
      </c>
      <c r="K34" s="2"/>
      <c r="L34" s="6">
        <f t="shared" si="10"/>
        <v>138</v>
      </c>
      <c r="M34" s="2"/>
      <c r="N34" s="7">
        <f t="shared" si="11"/>
        <v>-1</v>
      </c>
      <c r="O34" s="11"/>
      <c r="P34" s="6"/>
      <c r="Q34" s="2"/>
      <c r="R34" s="7">
        <f t="shared" si="12"/>
        <v>0</v>
      </c>
      <c r="S34" s="2"/>
      <c r="T34" s="6">
        <v>49.7</v>
      </c>
      <c r="U34" s="2"/>
      <c r="V34" s="7">
        <f t="shared" si="13"/>
        <v>0</v>
      </c>
      <c r="W34" s="2"/>
      <c r="X34" s="6">
        <f t="shared" si="14"/>
        <v>-49.7</v>
      </c>
      <c r="Y34" s="2"/>
      <c r="Z34" s="7">
        <f t="shared" si="15"/>
        <v>-1</v>
      </c>
    </row>
    <row r="35" spans="1:26" s="53" customFormat="1" x14ac:dyDescent="0.3">
      <c r="A35" s="37"/>
      <c r="B35" s="37"/>
      <c r="C35" s="37"/>
      <c r="D35" s="1"/>
      <c r="E35" s="1"/>
      <c r="F35" s="5"/>
      <c r="G35" s="1"/>
      <c r="H35" s="1"/>
      <c r="I35" s="1"/>
      <c r="J35" s="5"/>
      <c r="K35" s="1"/>
      <c r="L35" s="1"/>
      <c r="M35" s="1"/>
      <c r="N35" s="5"/>
      <c r="O35" s="37"/>
      <c r="P35" s="1"/>
      <c r="Q35" s="1"/>
      <c r="R35" s="5"/>
      <c r="S35" s="1"/>
      <c r="T35" s="1"/>
      <c r="U35" s="1"/>
      <c r="V35" s="5"/>
      <c r="W35" s="1"/>
      <c r="X35" s="1"/>
      <c r="Y35" s="1"/>
      <c r="Z35" s="5"/>
    </row>
    <row r="36" spans="1:26" s="23" customFormat="1" x14ac:dyDescent="0.3">
      <c r="A36" s="10"/>
      <c r="B36" s="25" t="s">
        <v>292</v>
      </c>
      <c r="C36" s="10"/>
      <c r="D36" s="4">
        <f>SUM(0)</f>
        <v>0</v>
      </c>
      <c r="E36" s="4"/>
      <c r="F36" s="12">
        <f>IF(D$12=0,0,D36/D$12)</f>
        <v>0</v>
      </c>
      <c r="G36" s="4"/>
      <c r="H36" s="4">
        <f>SUM(0)</f>
        <v>0</v>
      </c>
      <c r="I36" s="4"/>
      <c r="J36" s="12">
        <f>IF(H$12=0,0,H36/H$12)</f>
        <v>0</v>
      </c>
      <c r="K36" s="4"/>
      <c r="L36" s="4">
        <f>+D36-H36</f>
        <v>0</v>
      </c>
      <c r="M36" s="4"/>
      <c r="N36" s="12">
        <f>IF(H36=0,0,L36/H36)</f>
        <v>0</v>
      </c>
      <c r="O36" s="10"/>
      <c r="P36" s="4">
        <f>SUM(0)</f>
        <v>0</v>
      </c>
      <c r="Q36" s="4"/>
      <c r="R36" s="12">
        <f>IF(P$12=0,0,P36/P$12)</f>
        <v>0</v>
      </c>
      <c r="S36" s="4"/>
      <c r="T36" s="4">
        <f>SUM(0)</f>
        <v>0</v>
      </c>
      <c r="U36" s="4"/>
      <c r="V36" s="12">
        <f>IF(T$12=0,0,T36/T$12)</f>
        <v>0</v>
      </c>
      <c r="W36" s="4"/>
      <c r="X36" s="4">
        <f>+P36-T36</f>
        <v>0</v>
      </c>
      <c r="Y36" s="4"/>
      <c r="Z36" s="12">
        <f>IF(T36=0,0,X36/T36)</f>
        <v>0</v>
      </c>
    </row>
    <row r="37" spans="1:26" x14ac:dyDescent="0.3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3">
      <c r="A38" s="10"/>
      <c r="B38" s="26" t="s">
        <v>276</v>
      </c>
      <c r="C38" s="26"/>
      <c r="D38" s="20">
        <f>+D16-D18+D36</f>
        <v>-157.88999999999999</v>
      </c>
      <c r="E38" s="13"/>
      <c r="F38" s="21">
        <f>IF(D$12=0,0,D38/D$12)</f>
        <v>0</v>
      </c>
      <c r="G38" s="13"/>
      <c r="H38" s="20">
        <f>+H16-H18+H36</f>
        <v>-85.78</v>
      </c>
      <c r="I38" s="13"/>
      <c r="J38" s="21">
        <f>IF(H$12=0,0,H38/H$12)</f>
        <v>0</v>
      </c>
      <c r="K38" s="15"/>
      <c r="L38" s="20">
        <f>+D38-H38</f>
        <v>-72.109999999999985</v>
      </c>
      <c r="M38" s="15"/>
      <c r="N38" s="21">
        <f>IF(H38=0,0,L38/H38)</f>
        <v>0.84063884355327567</v>
      </c>
      <c r="O38" s="25"/>
      <c r="P38" s="20">
        <f>+P16-P18+P36</f>
        <v>-613.13</v>
      </c>
      <c r="Q38" s="13"/>
      <c r="R38" s="21">
        <f>IF(P$12=0,0,P38/P$12)</f>
        <v>0</v>
      </c>
      <c r="S38" s="13"/>
      <c r="T38" s="20">
        <f>+T16-T18+T36</f>
        <v>-4847.51</v>
      </c>
      <c r="U38" s="13"/>
      <c r="V38" s="21">
        <f>IF(T$12=0,0,T38/T$12)</f>
        <v>0</v>
      </c>
      <c r="W38" s="15"/>
      <c r="X38" s="20">
        <f>+P38-T38</f>
        <v>4234.38</v>
      </c>
      <c r="Y38" s="15"/>
      <c r="Z38" s="21">
        <f>IF(T38=0,0,X38/T38)</f>
        <v>-0.87351650641257061</v>
      </c>
    </row>
    <row r="39" spans="1:26" x14ac:dyDescent="0.3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3">
      <c r="A40" s="51"/>
      <c r="B40" s="10" t="s">
        <v>127</v>
      </c>
      <c r="C40" s="10"/>
      <c r="D40" s="4"/>
      <c r="E40" s="4"/>
      <c r="F40" s="12">
        <f>IF(D$12=0,0,D40/D$12)</f>
        <v>0</v>
      </c>
      <c r="G40" s="4"/>
      <c r="H40" s="4"/>
      <c r="I40" s="4"/>
      <c r="J40" s="12">
        <f>IF(H$12=0,0,H40/H$12)</f>
        <v>0</v>
      </c>
      <c r="K40" s="4"/>
      <c r="L40" s="4">
        <f>+D40-H40</f>
        <v>0</v>
      </c>
      <c r="M40" s="4"/>
      <c r="N40" s="12">
        <f>IF(H40=0,0,L40/H40)</f>
        <v>0</v>
      </c>
      <c r="O40" s="10"/>
      <c r="P40" s="4"/>
      <c r="Q40" s="4"/>
      <c r="R40" s="12">
        <f>IF(P$12=0,0,P40/P$12)</f>
        <v>0</v>
      </c>
      <c r="S40" s="4"/>
      <c r="T40" s="4"/>
      <c r="U40" s="4"/>
      <c r="V40" s="12">
        <f>IF(T$12=0,0,T40/T$12)</f>
        <v>0</v>
      </c>
      <c r="W40" s="4"/>
      <c r="X40" s="4">
        <f>+P40-T40</f>
        <v>0</v>
      </c>
      <c r="Y40" s="4"/>
      <c r="Z40" s="12">
        <f>IF(T40=0,0,X40/T40)</f>
        <v>0</v>
      </c>
    </row>
    <row r="41" spans="1:26" x14ac:dyDescent="0.3">
      <c r="A41" s="9"/>
      <c r="B41" s="10"/>
      <c r="C41" s="10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O41" s="10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ht="15" thickBot="1" x14ac:dyDescent="0.35">
      <c r="A42" s="10"/>
      <c r="B42" s="26" t="s">
        <v>125</v>
      </c>
      <c r="C42" s="26"/>
      <c r="D42" s="32">
        <f>+D38-D40</f>
        <v>-157.88999999999999</v>
      </c>
      <c r="E42" s="13"/>
      <c r="F42" s="35">
        <f>IF(D$12=0,0,D42/D$12)</f>
        <v>0</v>
      </c>
      <c r="G42" s="13"/>
      <c r="H42" s="32">
        <f>+H38-H40</f>
        <v>-85.78</v>
      </c>
      <c r="I42" s="13"/>
      <c r="J42" s="35">
        <f>IF(H$12=0,0,H42/H$12)</f>
        <v>0</v>
      </c>
      <c r="K42" s="15"/>
      <c r="L42" s="32">
        <f>D42-H42</f>
        <v>-72.109999999999985</v>
      </c>
      <c r="M42" s="15"/>
      <c r="N42" s="35">
        <f>IF(H42=0,0,L42/H42)</f>
        <v>0.84063884355327567</v>
      </c>
      <c r="O42" s="25"/>
      <c r="P42" s="32">
        <f>+P38-P40</f>
        <v>-613.13</v>
      </c>
      <c r="Q42" s="13"/>
      <c r="R42" s="35">
        <f>IF(P$12=0,0,P42/P$12)</f>
        <v>0</v>
      </c>
      <c r="S42" s="13"/>
      <c r="T42" s="32">
        <f>+T38-T40</f>
        <v>-4847.51</v>
      </c>
      <c r="U42" s="13"/>
      <c r="V42" s="35">
        <f>IF(T$12=0,0,T42/T$12)</f>
        <v>0</v>
      </c>
      <c r="W42" s="15"/>
      <c r="X42" s="32">
        <f>P42-T42</f>
        <v>4234.38</v>
      </c>
      <c r="Y42" s="15"/>
      <c r="Z42" s="35">
        <f>IF(T42=0,0,X42/T42)</f>
        <v>-0.87351650641257061</v>
      </c>
    </row>
    <row r="43" spans="1:26" ht="15" thickTop="1" x14ac:dyDescent="0.3">
      <c r="A43" s="9"/>
      <c r="B43" s="9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x14ac:dyDescent="0.3">
      <c r="A44" s="9"/>
      <c r="B44" s="9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ht="15" thickBot="1" x14ac:dyDescent="0.35">
      <c r="A45" s="10"/>
      <c r="B45" s="26" t="s">
        <v>293</v>
      </c>
      <c r="C45" s="26"/>
      <c r="D45" s="31">
        <f>SUM(D42:D44)</f>
        <v>-157.88999999999999</v>
      </c>
      <c r="E45" s="13"/>
      <c r="F45" s="33">
        <f>IF(D$12=0,0,D45/D$12)</f>
        <v>0</v>
      </c>
      <c r="G45" s="13"/>
      <c r="H45" s="31">
        <f>SUM(H42:H44)</f>
        <v>-85.78</v>
      </c>
      <c r="I45" s="13"/>
      <c r="J45" s="33">
        <f>IF(H$12=0,0,H45/H$12)</f>
        <v>0</v>
      </c>
      <c r="K45" s="15"/>
      <c r="L45" s="31">
        <f>+D45-H45</f>
        <v>-72.109999999999985</v>
      </c>
      <c r="M45" s="15"/>
      <c r="N45" s="33">
        <f>IF(H45=0,0,L45/H45)</f>
        <v>0.84063884355327567</v>
      </c>
      <c r="O45" s="25"/>
      <c r="P45" s="31">
        <f>SUM(P42:P44)</f>
        <v>-613.13</v>
      </c>
      <c r="Q45" s="13"/>
      <c r="R45" s="33">
        <f>IF(P$12=0,0,P45/P$12)</f>
        <v>0</v>
      </c>
      <c r="S45" s="13"/>
      <c r="T45" s="31">
        <f>SUM(T42:T44)</f>
        <v>-4847.51</v>
      </c>
      <c r="U45" s="13"/>
      <c r="V45" s="33">
        <f>IF(T$12=0,0,T45/T$12)</f>
        <v>0</v>
      </c>
      <c r="W45" s="15"/>
      <c r="X45" s="31">
        <f>+P45-T45</f>
        <v>4234.38</v>
      </c>
      <c r="Y45" s="15"/>
      <c r="Z45" s="33">
        <f>IF(T45=0,0,X45/T45)</f>
        <v>-0.87351650641257061</v>
      </c>
    </row>
    <row r="46" spans="1:26" ht="15" thickTop="1" x14ac:dyDescent="0.3">
      <c r="A46" s="9"/>
      <c r="C46" s="9"/>
      <c r="D46" s="17"/>
      <c r="E46" s="17"/>
      <c r="G46" s="17"/>
      <c r="H46" s="17"/>
      <c r="I46" s="17"/>
      <c r="J46" s="43"/>
      <c r="K46" s="17"/>
      <c r="L46" s="17"/>
      <c r="M46" s="17"/>
      <c r="P46" s="17"/>
      <c r="Q46" s="17"/>
      <c r="R46" s="43"/>
      <c r="S46" s="17"/>
      <c r="T46" s="17"/>
      <c r="U46" s="17"/>
      <c r="V46" s="43"/>
      <c r="W46" s="17"/>
      <c r="X46" s="17"/>
    </row>
    <row r="47" spans="1:26" x14ac:dyDescent="0.3">
      <c r="A47" s="9"/>
      <c r="B47" s="60">
        <v>44575.854680405093</v>
      </c>
      <c r="D47" s="17"/>
      <c r="E47" s="17"/>
      <c r="G47" s="17"/>
      <c r="H47" s="17"/>
      <c r="I47" s="17"/>
      <c r="J47" s="43"/>
      <c r="K47" s="17"/>
      <c r="L47" s="17"/>
      <c r="M47" s="17"/>
      <c r="P47" s="17"/>
      <c r="Q47" s="17"/>
      <c r="R47" s="43"/>
      <c r="S47" s="17"/>
      <c r="T47" s="17"/>
      <c r="U47" s="17"/>
      <c r="V47" s="43"/>
      <c r="W47" s="17"/>
      <c r="X47" s="17"/>
    </row>
    <row r="48" spans="1:26" x14ac:dyDescent="0.3">
      <c r="A48" s="9"/>
      <c r="B48" s="57" t="s">
        <v>56</v>
      </c>
      <c r="D48" s="17"/>
      <c r="E48" s="17"/>
      <c r="G48" s="17"/>
      <c r="H48" s="17"/>
      <c r="I48" s="17"/>
      <c r="J48" s="43"/>
      <c r="K48" s="17"/>
      <c r="L48" s="17"/>
      <c r="M48" s="17"/>
      <c r="P48" s="17"/>
      <c r="Q48" s="17"/>
      <c r="R48" s="43"/>
      <c r="S48" s="17"/>
      <c r="T48" s="17"/>
      <c r="U48" s="17"/>
      <c r="V48" s="43"/>
      <c r="W48" s="17"/>
      <c r="X48" s="17"/>
    </row>
    <row r="49" spans="1:24" x14ac:dyDescent="0.3">
      <c r="A49" s="9"/>
      <c r="B49" s="59"/>
      <c r="D49" s="17"/>
      <c r="E49" s="17"/>
      <c r="G49" s="17"/>
      <c r="H49" s="17"/>
      <c r="I49" s="17"/>
      <c r="J49" s="43"/>
      <c r="K49" s="17"/>
      <c r="L49" s="17"/>
      <c r="M49" s="17"/>
      <c r="P49" s="17"/>
      <c r="Q49" s="17"/>
      <c r="R49" s="43"/>
      <c r="S49" s="17"/>
      <c r="T49" s="17"/>
      <c r="U49" s="17"/>
      <c r="V49" s="43"/>
      <c r="W49" s="17"/>
      <c r="X49" s="17"/>
    </row>
    <row r="50" spans="1:24" x14ac:dyDescent="0.3">
      <c r="D50" s="17"/>
      <c r="E50" s="17"/>
      <c r="G50" s="17"/>
      <c r="H50" s="17"/>
      <c r="I50" s="17"/>
      <c r="J50" s="43"/>
      <c r="K50" s="17"/>
      <c r="L50" s="17"/>
      <c r="M50" s="17"/>
      <c r="P50" s="17"/>
      <c r="Q50" s="17"/>
      <c r="R50" s="43"/>
      <c r="S50" s="17"/>
      <c r="T50" s="17"/>
      <c r="U50" s="17"/>
      <c r="V50" s="43"/>
      <c r="W50" s="17"/>
      <c r="X50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217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  <outlinePr summaryBelow="0" summaryRight="0"/>
  </sheetPr>
  <dimension ref="A2:Z4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","414", " - ", "Starbucks UDP")</f>
        <v>Department 414 - Starbucks UDP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974.91</v>
      </c>
      <c r="U12" s="4"/>
      <c r="V12" s="12"/>
      <c r="W12" s="4"/>
      <c r="X12" s="4">
        <f t="shared" ref="X12:X13" si="2">+P12-T12</f>
        <v>-974.91</v>
      </c>
      <c r="Y12" s="4"/>
      <c r="Z12" s="12">
        <f t="shared" ref="Z12:Z13" si="3">IF(T12=0,0,X12/T12)</f>
        <v>-1</v>
      </c>
    </row>
    <row r="13" spans="1:26" s="24" customFormat="1" hidden="1" outlineLevel="1" x14ac:dyDescent="0.3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--974.91</f>
        <v>974.91</v>
      </c>
      <c r="U13" s="2"/>
      <c r="V13" s="19"/>
      <c r="W13" s="2"/>
      <c r="X13" s="2">
        <f t="shared" si="2"/>
        <v>-974.91</v>
      </c>
      <c r="Y13" s="2"/>
      <c r="Z13" s="19">
        <f t="shared" si="3"/>
        <v>-1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">
      <c r="A15" s="10"/>
      <c r="B15" s="25" t="s">
        <v>256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6" t="s">
        <v>107</v>
      </c>
      <c r="C17" s="26"/>
      <c r="D17" s="20">
        <f>D12-D15</f>
        <v>0</v>
      </c>
      <c r="E17" s="13"/>
      <c r="F17" s="21">
        <f>IF(D$12=0,0,D17/D$12)</f>
        <v>0</v>
      </c>
      <c r="G17" s="13"/>
      <c r="H17" s="20">
        <f>H12-H15</f>
        <v>0</v>
      </c>
      <c r="I17" s="13"/>
      <c r="J17" s="21">
        <f>IF(H$12=0,0,H17/H$12)</f>
        <v>0</v>
      </c>
      <c r="K17" s="15"/>
      <c r="L17" s="20">
        <f>+D17-H17</f>
        <v>0</v>
      </c>
      <c r="M17" s="15"/>
      <c r="N17" s="21">
        <f>IF(H17=0,0,L17/H17)</f>
        <v>0</v>
      </c>
      <c r="O17" s="25"/>
      <c r="P17" s="20">
        <f>P12-P15</f>
        <v>0</v>
      </c>
      <c r="Q17" s="13"/>
      <c r="R17" s="21">
        <f>IF(P$12=0,0,P17/P$12)</f>
        <v>0</v>
      </c>
      <c r="S17" s="13"/>
      <c r="T17" s="20">
        <f>T12-T15</f>
        <v>974.91</v>
      </c>
      <c r="U17" s="13"/>
      <c r="V17" s="21">
        <f>IF(T$12=0,0,T17/T$12)</f>
        <v>1</v>
      </c>
      <c r="W17" s="15"/>
      <c r="X17" s="20">
        <f>+P17-T17</f>
        <v>-974.91</v>
      </c>
      <c r="Y17" s="15"/>
      <c r="Z17" s="21">
        <f>IF(T17=0,0,X17/T17)</f>
        <v>-1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294</v>
      </c>
      <c r="C19" s="10"/>
      <c r="D19" s="22">
        <f>SUM(OSRRefD22x_0)</f>
        <v>62.41</v>
      </c>
      <c r="E19" s="22"/>
      <c r="F19" s="34">
        <f t="shared" ref="F19:F30" si="4">IF(D$12=0,0,D19/D$12)</f>
        <v>0</v>
      </c>
      <c r="G19" s="22"/>
      <c r="H19" s="22">
        <f>SUM(OSRRefH22x_0)</f>
        <v>1954.84</v>
      </c>
      <c r="I19" s="22"/>
      <c r="J19" s="34">
        <f t="shared" ref="J19:J30" si="5">IF(H$12=0,0,H19/H$12)</f>
        <v>0</v>
      </c>
      <c r="K19" s="4"/>
      <c r="L19" s="22">
        <f t="shared" ref="L19:L30" si="6">+D19-H19</f>
        <v>-1892.4299999999998</v>
      </c>
      <c r="M19" s="4"/>
      <c r="N19" s="34">
        <f t="shared" ref="N19:N30" si="7">IF(H19=0,0,L19/H19)</f>
        <v>-0.96807411348243333</v>
      </c>
      <c r="O19" s="10"/>
      <c r="P19" s="22">
        <f>SUM(OSRRefP22x_0)</f>
        <v>310.49</v>
      </c>
      <c r="Q19" s="22"/>
      <c r="R19" s="34">
        <f t="shared" ref="R19:R30" si="8">IF(P$12=0,0,P19/P$12)</f>
        <v>0</v>
      </c>
      <c r="S19" s="22"/>
      <c r="T19" s="22">
        <f>SUM(OSRRefT22x_0)</f>
        <v>12402.9</v>
      </c>
      <c r="U19" s="22"/>
      <c r="V19" s="34">
        <f t="shared" ref="V19:V30" si="9">IF(T$12=0,0,T19/T$12)</f>
        <v>12.722097424377635</v>
      </c>
      <c r="W19" s="4"/>
      <c r="X19" s="22">
        <f t="shared" ref="X19:X30" si="10">+P19-T19</f>
        <v>-12092.41</v>
      </c>
      <c r="Y19" s="4"/>
      <c r="Z19" s="34">
        <f t="shared" ref="Z19:Z30" si="11">IF(T19=0,0,X19/T19)</f>
        <v>-0.97496633851760472</v>
      </c>
    </row>
    <row r="20" spans="1:26" s="29" customFormat="1" outlineLevel="1" collapsed="1" x14ac:dyDescent="0.3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4"/>
        <v>0</v>
      </c>
      <c r="G20" s="1"/>
      <c r="H20" s="1">
        <f>SUM(OSRRefH22_0x_0)</f>
        <v>0</v>
      </c>
      <c r="I20" s="1"/>
      <c r="J20" s="5">
        <f t="shared" si="5"/>
        <v>0</v>
      </c>
      <c r="K20" s="1"/>
      <c r="L20" s="1">
        <f t="shared" si="6"/>
        <v>0</v>
      </c>
      <c r="M20" s="1"/>
      <c r="N20" s="5">
        <f t="shared" si="7"/>
        <v>0</v>
      </c>
      <c r="O20" s="14"/>
      <c r="P20" s="1">
        <f>SUM(OSRRefP22_0x_0)</f>
        <v>0</v>
      </c>
      <c r="Q20" s="1"/>
      <c r="R20" s="5">
        <f t="shared" si="8"/>
        <v>0</v>
      </c>
      <c r="S20" s="1"/>
      <c r="T20" s="1">
        <f>SUM(OSRRefT22_0x_0)</f>
        <v>702.51</v>
      </c>
      <c r="U20" s="1"/>
      <c r="V20" s="5">
        <f t="shared" si="9"/>
        <v>0.72058959288549718</v>
      </c>
      <c r="W20" s="1"/>
      <c r="X20" s="1">
        <f t="shared" si="10"/>
        <v>-702.51</v>
      </c>
      <c r="Y20" s="1"/>
      <c r="Z20" s="5">
        <f t="shared" si="11"/>
        <v>-1</v>
      </c>
    </row>
    <row r="21" spans="1:26" s="24" customFormat="1" hidden="1" outlineLevel="2" x14ac:dyDescent="0.3">
      <c r="A21" s="28"/>
      <c r="B21" s="11" t="str">
        <f>CONCATENATE("          ", "6113", " - ", "GROUP INSURANCE")</f>
        <v xml:space="preserve">          6113 - GROUP INSURANCE</v>
      </c>
      <c r="C21" s="11"/>
      <c r="D21" s="6"/>
      <c r="E21" s="2"/>
      <c r="F21" s="7">
        <f t="shared" si="4"/>
        <v>0</v>
      </c>
      <c r="G21" s="2"/>
      <c r="H21" s="6"/>
      <c r="I21" s="2"/>
      <c r="J21" s="7">
        <f t="shared" si="5"/>
        <v>0</v>
      </c>
      <c r="K21" s="2"/>
      <c r="L21" s="6">
        <f t="shared" si="6"/>
        <v>0</v>
      </c>
      <c r="M21" s="2"/>
      <c r="N21" s="7">
        <f t="shared" si="7"/>
        <v>0</v>
      </c>
      <c r="O21" s="11"/>
      <c r="P21" s="6"/>
      <c r="Q21" s="2"/>
      <c r="R21" s="7">
        <f t="shared" si="8"/>
        <v>0</v>
      </c>
      <c r="S21" s="2"/>
      <c r="T21" s="6">
        <v>702.51</v>
      </c>
      <c r="U21" s="2"/>
      <c r="V21" s="7">
        <f t="shared" si="9"/>
        <v>0.72058959288549718</v>
      </c>
      <c r="W21" s="2"/>
      <c r="X21" s="6">
        <f t="shared" si="10"/>
        <v>-702.51</v>
      </c>
      <c r="Y21" s="2"/>
      <c r="Z21" s="7">
        <f t="shared" si="11"/>
        <v>-1</v>
      </c>
    </row>
    <row r="22" spans="1:26" s="29" customFormat="1" outlineLevel="1" collapsed="1" x14ac:dyDescent="0.3">
      <c r="A22" s="27"/>
      <c r="B22" s="14" t="str">
        <f>CONCATENATE("     ","Depreciation                                      ")</f>
        <v xml:space="preserve">     Depreciation                                      </v>
      </c>
      <c r="C22" s="14"/>
      <c r="D22" s="1">
        <f>SUM(OSRRefD22_1x_0)</f>
        <v>0</v>
      </c>
      <c r="E22" s="1"/>
      <c r="F22" s="5">
        <f t="shared" si="4"/>
        <v>0</v>
      </c>
      <c r="G22" s="1"/>
      <c r="H22" s="1">
        <f>SUM(OSRRefH22_1x_0)</f>
        <v>1825.26</v>
      </c>
      <c r="I22" s="1"/>
      <c r="J22" s="5">
        <f t="shared" si="5"/>
        <v>0</v>
      </c>
      <c r="K22" s="1"/>
      <c r="L22" s="1">
        <f t="shared" si="6"/>
        <v>-1825.26</v>
      </c>
      <c r="M22" s="1"/>
      <c r="N22" s="5">
        <f t="shared" si="7"/>
        <v>-1</v>
      </c>
      <c r="O22" s="14"/>
      <c r="P22" s="1">
        <f>SUM(OSRRefP22_1x_0)</f>
        <v>0</v>
      </c>
      <c r="Q22" s="1"/>
      <c r="R22" s="5">
        <f t="shared" si="8"/>
        <v>0</v>
      </c>
      <c r="S22" s="1"/>
      <c r="T22" s="1">
        <f>SUM(OSRRefT22_1x_0)</f>
        <v>11098.35</v>
      </c>
      <c r="U22" s="1"/>
      <c r="V22" s="5">
        <f t="shared" si="9"/>
        <v>11.383973905283565</v>
      </c>
      <c r="W22" s="1"/>
      <c r="X22" s="1">
        <f t="shared" si="10"/>
        <v>-11098.35</v>
      </c>
      <c r="Y22" s="1"/>
      <c r="Z22" s="5">
        <f t="shared" si="11"/>
        <v>-1</v>
      </c>
    </row>
    <row r="23" spans="1:26" s="24" customFormat="1" hidden="1" outlineLevel="2" x14ac:dyDescent="0.3">
      <c r="A23" s="28"/>
      <c r="B23" s="11" t="str">
        <f>CONCATENATE("          ", "6322", " - ", "EQUIPMENT DEPRECIATION EXPENSE")</f>
        <v xml:space="preserve">          6322 - EQUIPMENT DEPRECIATION EXPENSE</v>
      </c>
      <c r="C23" s="11"/>
      <c r="D23" s="6"/>
      <c r="E23" s="2"/>
      <c r="F23" s="7">
        <f t="shared" si="4"/>
        <v>0</v>
      </c>
      <c r="G23" s="2"/>
      <c r="H23" s="6">
        <v>1825.26</v>
      </c>
      <c r="I23" s="2"/>
      <c r="J23" s="7">
        <f t="shared" si="5"/>
        <v>0</v>
      </c>
      <c r="K23" s="2"/>
      <c r="L23" s="6">
        <f t="shared" si="6"/>
        <v>-1825.26</v>
      </c>
      <c r="M23" s="2"/>
      <c r="N23" s="7">
        <f t="shared" si="7"/>
        <v>-1</v>
      </c>
      <c r="O23" s="11"/>
      <c r="P23" s="6"/>
      <c r="Q23" s="2"/>
      <c r="R23" s="7">
        <f t="shared" si="8"/>
        <v>0</v>
      </c>
      <c r="S23" s="2"/>
      <c r="T23" s="6">
        <v>11098.35</v>
      </c>
      <c r="U23" s="2"/>
      <c r="V23" s="7">
        <f t="shared" si="9"/>
        <v>11.383973905283565</v>
      </c>
      <c r="W23" s="2"/>
      <c r="X23" s="6">
        <f t="shared" si="10"/>
        <v>-11098.35</v>
      </c>
      <c r="Y23" s="2"/>
      <c r="Z23" s="7">
        <f t="shared" si="11"/>
        <v>-1</v>
      </c>
    </row>
    <row r="24" spans="1:26" s="29" customFormat="1" outlineLevel="1" collapsed="1" x14ac:dyDescent="0.3">
      <c r="A24" s="27"/>
      <c r="B24" s="14" t="str">
        <f>CONCATENATE("     ","Equipment Rental                                  ")</f>
        <v xml:space="preserve">     Equipment Rental                                  </v>
      </c>
      <c r="C24" s="14"/>
      <c r="D24" s="1">
        <f>SUM(OSRRefD22_2x_0)</f>
        <v>0</v>
      </c>
      <c r="E24" s="1"/>
      <c r="F24" s="5">
        <f t="shared" si="4"/>
        <v>0</v>
      </c>
      <c r="G24" s="1"/>
      <c r="H24" s="1">
        <f>SUM(OSRRefH22_2x_0)</f>
        <v>0</v>
      </c>
      <c r="I24" s="1"/>
      <c r="J24" s="5">
        <f t="shared" si="5"/>
        <v>0</v>
      </c>
      <c r="K24" s="1"/>
      <c r="L24" s="1">
        <f t="shared" si="6"/>
        <v>0</v>
      </c>
      <c r="M24" s="1"/>
      <c r="N24" s="5">
        <f t="shared" si="7"/>
        <v>0</v>
      </c>
      <c r="O24" s="14"/>
      <c r="P24" s="1">
        <f>SUM(OSRRefP22_2x_0)</f>
        <v>118.91</v>
      </c>
      <c r="Q24" s="1"/>
      <c r="R24" s="5">
        <f t="shared" si="8"/>
        <v>0</v>
      </c>
      <c r="S24" s="1"/>
      <c r="T24" s="1">
        <f>SUM(OSRRefT22_2x_0)</f>
        <v>96.3</v>
      </c>
      <c r="U24" s="1"/>
      <c r="V24" s="5">
        <f t="shared" si="9"/>
        <v>9.8778348770655749E-2</v>
      </c>
      <c r="W24" s="1"/>
      <c r="X24" s="1">
        <f t="shared" si="10"/>
        <v>22.61</v>
      </c>
      <c r="Y24" s="1"/>
      <c r="Z24" s="5">
        <f t="shared" si="11"/>
        <v>0.2347871235721703</v>
      </c>
    </row>
    <row r="25" spans="1:26" s="24" customFormat="1" hidden="1" outlineLevel="2" x14ac:dyDescent="0.3">
      <c r="A25" s="28"/>
      <c r="B25" s="11" t="str">
        <f>CONCATENATE("          ", "6351", " - ", "EQUIPMENT RENTAL")</f>
        <v xml:space="preserve">          6351 - EQUIPMENT RENTAL</v>
      </c>
      <c r="C25" s="11"/>
      <c r="D25" s="6"/>
      <c r="E25" s="2"/>
      <c r="F25" s="7">
        <f t="shared" si="4"/>
        <v>0</v>
      </c>
      <c r="G25" s="2"/>
      <c r="H25" s="6"/>
      <c r="I25" s="2"/>
      <c r="J25" s="7">
        <f t="shared" si="5"/>
        <v>0</v>
      </c>
      <c r="K25" s="2"/>
      <c r="L25" s="6">
        <f t="shared" si="6"/>
        <v>0</v>
      </c>
      <c r="M25" s="2"/>
      <c r="N25" s="7">
        <f t="shared" si="7"/>
        <v>0</v>
      </c>
      <c r="O25" s="11"/>
      <c r="P25" s="6">
        <v>118.91</v>
      </c>
      <c r="Q25" s="2"/>
      <c r="R25" s="7">
        <f t="shared" si="8"/>
        <v>0</v>
      </c>
      <c r="S25" s="2"/>
      <c r="T25" s="6">
        <v>96.3</v>
      </c>
      <c r="U25" s="2"/>
      <c r="V25" s="7">
        <f t="shared" si="9"/>
        <v>9.8778348770655749E-2</v>
      </c>
      <c r="W25" s="2"/>
      <c r="X25" s="6">
        <f t="shared" si="10"/>
        <v>22.61</v>
      </c>
      <c r="Y25" s="2"/>
      <c r="Z25" s="7">
        <f t="shared" si="11"/>
        <v>0.2347871235721703</v>
      </c>
    </row>
    <row r="26" spans="1:26" s="29" customFormat="1" outlineLevel="1" collapsed="1" x14ac:dyDescent="0.3">
      <c r="A26" s="27"/>
      <c r="B26" s="14" t="str">
        <f>CONCATENATE("     ","General                                           ")</f>
        <v xml:space="preserve">     General                                           </v>
      </c>
      <c r="C26" s="14"/>
      <c r="D26" s="1">
        <f>SUM(OSRRefD22_3x_0)</f>
        <v>0</v>
      </c>
      <c r="E26" s="1"/>
      <c r="F26" s="5">
        <f t="shared" si="4"/>
        <v>0</v>
      </c>
      <c r="G26" s="1"/>
      <c r="H26" s="1">
        <f>SUM(OSRRefH22_3x_0)</f>
        <v>0</v>
      </c>
      <c r="I26" s="1"/>
      <c r="J26" s="5">
        <f t="shared" si="5"/>
        <v>0</v>
      </c>
      <c r="K26" s="1"/>
      <c r="L26" s="1">
        <f t="shared" si="6"/>
        <v>0</v>
      </c>
      <c r="M26" s="1"/>
      <c r="N26" s="5">
        <f t="shared" si="7"/>
        <v>0</v>
      </c>
      <c r="O26" s="14"/>
      <c r="P26" s="1">
        <f>SUM(OSRRefP22_3x_0)</f>
        <v>0</v>
      </c>
      <c r="Q26" s="1"/>
      <c r="R26" s="5">
        <f t="shared" si="8"/>
        <v>0</v>
      </c>
      <c r="S26" s="1"/>
      <c r="T26" s="1">
        <f>SUM(OSRRefT22_3x_0)</f>
        <v>7.28</v>
      </c>
      <c r="U26" s="1"/>
      <c r="V26" s="5">
        <f t="shared" si="9"/>
        <v>7.467355961063073E-3</v>
      </c>
      <c r="W26" s="1"/>
      <c r="X26" s="1">
        <f t="shared" si="10"/>
        <v>-7.28</v>
      </c>
      <c r="Y26" s="1"/>
      <c r="Z26" s="5">
        <f t="shared" si="11"/>
        <v>-1</v>
      </c>
    </row>
    <row r="27" spans="1:26" s="24" customFormat="1" hidden="1" outlineLevel="2" x14ac:dyDescent="0.3">
      <c r="A27" s="28"/>
      <c r="B27" s="11" t="str">
        <f>CONCATENATE("          ", "6279", " - ", "GENERAL EXPENSE")</f>
        <v xml:space="preserve">          6279 - GENERAL EXPENSE</v>
      </c>
      <c r="C27" s="11"/>
      <c r="D27" s="6"/>
      <c r="E27" s="2"/>
      <c r="F27" s="7">
        <f t="shared" si="4"/>
        <v>0</v>
      </c>
      <c r="G27" s="2"/>
      <c r="H27" s="6"/>
      <c r="I27" s="2"/>
      <c r="J27" s="7">
        <f t="shared" si="5"/>
        <v>0</v>
      </c>
      <c r="K27" s="2"/>
      <c r="L27" s="6">
        <f t="shared" si="6"/>
        <v>0</v>
      </c>
      <c r="M27" s="2"/>
      <c r="N27" s="7">
        <f t="shared" si="7"/>
        <v>0</v>
      </c>
      <c r="O27" s="11"/>
      <c r="P27" s="6"/>
      <c r="Q27" s="2"/>
      <c r="R27" s="7">
        <f t="shared" si="8"/>
        <v>0</v>
      </c>
      <c r="S27" s="2"/>
      <c r="T27" s="6">
        <v>7.28</v>
      </c>
      <c r="U27" s="2"/>
      <c r="V27" s="7">
        <f t="shared" si="9"/>
        <v>7.467355961063073E-3</v>
      </c>
      <c r="W27" s="2"/>
      <c r="X27" s="6">
        <f t="shared" si="10"/>
        <v>-7.28</v>
      </c>
      <c r="Y27" s="2"/>
      <c r="Z27" s="7">
        <f t="shared" si="11"/>
        <v>-1</v>
      </c>
    </row>
    <row r="28" spans="1:26" s="29" customFormat="1" outlineLevel="1" collapsed="1" x14ac:dyDescent="0.3">
      <c r="A28" s="27"/>
      <c r="B28" s="14" t="str">
        <f>CONCATENATE("     ","Repair and Maintenance                            ")</f>
        <v xml:space="preserve">     Repair and Maintenance                            </v>
      </c>
      <c r="C28" s="14"/>
      <c r="D28" s="1">
        <f>SUM(OSRRefD22_4x_0)</f>
        <v>62.41</v>
      </c>
      <c r="E28" s="1"/>
      <c r="F28" s="5">
        <f t="shared" si="4"/>
        <v>0</v>
      </c>
      <c r="G28" s="1"/>
      <c r="H28" s="1">
        <f>SUM(OSRRefH22_4x_0)</f>
        <v>129.58000000000001</v>
      </c>
      <c r="I28" s="1"/>
      <c r="J28" s="5">
        <f t="shared" si="5"/>
        <v>0</v>
      </c>
      <c r="K28" s="1"/>
      <c r="L28" s="1">
        <f t="shared" si="6"/>
        <v>-67.170000000000016</v>
      </c>
      <c r="M28" s="1"/>
      <c r="N28" s="5">
        <f t="shared" si="7"/>
        <v>-0.51836703194937495</v>
      </c>
      <c r="O28" s="14"/>
      <c r="P28" s="1">
        <f>SUM(OSRRefP22_4x_0)</f>
        <v>191.58</v>
      </c>
      <c r="Q28" s="1"/>
      <c r="R28" s="5">
        <f t="shared" si="8"/>
        <v>0</v>
      </c>
      <c r="S28" s="1"/>
      <c r="T28" s="1">
        <f>SUM(OSRRefT22_4x_0)</f>
        <v>498.46</v>
      </c>
      <c r="U28" s="1"/>
      <c r="V28" s="5">
        <f t="shared" si="9"/>
        <v>0.51128822147685427</v>
      </c>
      <c r="W28" s="1"/>
      <c r="X28" s="1">
        <f t="shared" si="10"/>
        <v>-306.88</v>
      </c>
      <c r="Y28" s="1"/>
      <c r="Z28" s="5">
        <f t="shared" si="11"/>
        <v>-0.61565622116117646</v>
      </c>
    </row>
    <row r="29" spans="1:26" s="24" customFormat="1" hidden="1" outlineLevel="2" x14ac:dyDescent="0.3">
      <c r="A29" s="28"/>
      <c r="B29" s="11" t="str">
        <f>CONCATENATE("          ", "6373", " - ", "MAINTENANCE CONTRACTS")</f>
        <v xml:space="preserve">          6373 - MAINTENANCE CONTRACTS</v>
      </c>
      <c r="C29" s="11"/>
      <c r="D29" s="6">
        <v>62.41</v>
      </c>
      <c r="E29" s="2"/>
      <c r="F29" s="7">
        <f t="shared" si="4"/>
        <v>0</v>
      </c>
      <c r="G29" s="2"/>
      <c r="H29" s="6">
        <v>129.58000000000001</v>
      </c>
      <c r="I29" s="2"/>
      <c r="J29" s="7">
        <f t="shared" si="5"/>
        <v>0</v>
      </c>
      <c r="K29" s="2"/>
      <c r="L29" s="6">
        <f t="shared" si="6"/>
        <v>-67.170000000000016</v>
      </c>
      <c r="M29" s="2"/>
      <c r="N29" s="7">
        <f t="shared" si="7"/>
        <v>-0.51836703194937495</v>
      </c>
      <c r="O29" s="11"/>
      <c r="P29" s="6">
        <v>191.58</v>
      </c>
      <c r="Q29" s="2"/>
      <c r="R29" s="7">
        <f t="shared" si="8"/>
        <v>0</v>
      </c>
      <c r="S29" s="2"/>
      <c r="T29" s="6">
        <v>298.45999999999998</v>
      </c>
      <c r="U29" s="2"/>
      <c r="V29" s="7">
        <f t="shared" si="9"/>
        <v>0.30614107968940724</v>
      </c>
      <c r="W29" s="2"/>
      <c r="X29" s="6">
        <f t="shared" si="10"/>
        <v>-106.87999999999997</v>
      </c>
      <c r="Y29" s="2"/>
      <c r="Z29" s="7">
        <f t="shared" si="11"/>
        <v>-0.3581049386852509</v>
      </c>
    </row>
    <row r="30" spans="1:26" s="24" customFormat="1" hidden="1" outlineLevel="2" x14ac:dyDescent="0.3">
      <c r="A30" s="28"/>
      <c r="B30" s="11" t="str">
        <f>CONCATENATE("          ", "6375", " - ", "OUTSIDE REPAIRS &amp; MAINTENANCE")</f>
        <v xml:space="preserve">          6375 - OUTSIDE REPAIRS &amp; MAINTENANCE</v>
      </c>
      <c r="C30" s="11"/>
      <c r="D30" s="6"/>
      <c r="E30" s="2"/>
      <c r="F30" s="7">
        <f t="shared" si="4"/>
        <v>0</v>
      </c>
      <c r="G30" s="2"/>
      <c r="H30" s="6"/>
      <c r="I30" s="2"/>
      <c r="J30" s="7">
        <f t="shared" si="5"/>
        <v>0</v>
      </c>
      <c r="K30" s="2"/>
      <c r="L30" s="6">
        <f t="shared" si="6"/>
        <v>0</v>
      </c>
      <c r="M30" s="2"/>
      <c r="N30" s="7">
        <f t="shared" si="7"/>
        <v>0</v>
      </c>
      <c r="O30" s="11"/>
      <c r="P30" s="6"/>
      <c r="Q30" s="2"/>
      <c r="R30" s="7">
        <f t="shared" si="8"/>
        <v>0</v>
      </c>
      <c r="S30" s="2"/>
      <c r="T30" s="6">
        <v>200</v>
      </c>
      <c r="U30" s="2"/>
      <c r="V30" s="7">
        <f t="shared" si="9"/>
        <v>0.20514714178744706</v>
      </c>
      <c r="W30" s="2"/>
      <c r="X30" s="6">
        <f t="shared" si="10"/>
        <v>-200</v>
      </c>
      <c r="Y30" s="2"/>
      <c r="Z30" s="7">
        <f t="shared" si="11"/>
        <v>-1</v>
      </c>
    </row>
    <row r="31" spans="1:26" s="53" customFormat="1" x14ac:dyDescent="0.3">
      <c r="A31" s="37"/>
      <c r="B31" s="37"/>
      <c r="C31" s="37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">
      <c r="A32" s="10"/>
      <c r="B32" s="25" t="s">
        <v>292</v>
      </c>
      <c r="C32" s="10"/>
      <c r="D32" s="4">
        <f>SUM(0)</f>
        <v>0</v>
      </c>
      <c r="E32" s="4"/>
      <c r="F32" s="12">
        <f>IF(D$12=0,0,D32/D$12)</f>
        <v>0</v>
      </c>
      <c r="G32" s="4"/>
      <c r="H32" s="4">
        <f>SUM(0)</f>
        <v>0</v>
      </c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>
        <f>SUM(0)</f>
        <v>0</v>
      </c>
      <c r="Q32" s="4"/>
      <c r="R32" s="12">
        <f>IF(P$12=0,0,P32/P$12)</f>
        <v>0</v>
      </c>
      <c r="S32" s="4"/>
      <c r="T32" s="4">
        <f>SUM(0)</f>
        <v>0</v>
      </c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3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3">
      <c r="A34" s="10"/>
      <c r="B34" s="26" t="s">
        <v>276</v>
      </c>
      <c r="C34" s="26"/>
      <c r="D34" s="20">
        <f>+D17-D19+D32</f>
        <v>-62.41</v>
      </c>
      <c r="E34" s="13"/>
      <c r="F34" s="21">
        <f>IF(D$12=0,0,D34/D$12)</f>
        <v>0</v>
      </c>
      <c r="G34" s="13"/>
      <c r="H34" s="20">
        <f>+H17-H19+H32</f>
        <v>-1954.84</v>
      </c>
      <c r="I34" s="13"/>
      <c r="J34" s="21">
        <f>IF(H$12=0,0,H34/H$12)</f>
        <v>0</v>
      </c>
      <c r="K34" s="15"/>
      <c r="L34" s="20">
        <f>+D34-H34</f>
        <v>1892.4299999999998</v>
      </c>
      <c r="M34" s="15"/>
      <c r="N34" s="21">
        <f>IF(H34=0,0,L34/H34)</f>
        <v>-0.96807411348243333</v>
      </c>
      <c r="O34" s="25"/>
      <c r="P34" s="20">
        <f>+P17-P19+P32</f>
        <v>-310.49</v>
      </c>
      <c r="Q34" s="13"/>
      <c r="R34" s="21">
        <f>IF(P$12=0,0,P34/P$12)</f>
        <v>0</v>
      </c>
      <c r="S34" s="13"/>
      <c r="T34" s="20">
        <f>+T17-T19+T32</f>
        <v>-11427.99</v>
      </c>
      <c r="U34" s="13"/>
      <c r="V34" s="21">
        <f>IF(T$12=0,0,T34/T$12)</f>
        <v>-11.722097424377635</v>
      </c>
      <c r="W34" s="15"/>
      <c r="X34" s="20">
        <f>+P34-T34</f>
        <v>11117.5</v>
      </c>
      <c r="Y34" s="15"/>
      <c r="Z34" s="21">
        <f>IF(T34=0,0,X34/T34)</f>
        <v>-0.97283074276403814</v>
      </c>
    </row>
    <row r="35" spans="1:26" x14ac:dyDescent="0.3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3">
      <c r="A36" s="51"/>
      <c r="B36" s="10" t="s">
        <v>127</v>
      </c>
      <c r="C36" s="10"/>
      <c r="D36" s="4"/>
      <c r="E36" s="4"/>
      <c r="F36" s="12">
        <f>IF(D$12=0,0,D36/D$12)</f>
        <v>0</v>
      </c>
      <c r="G36" s="4"/>
      <c r="H36" s="4">
        <v>25.47</v>
      </c>
      <c r="I36" s="4"/>
      <c r="J36" s="12">
        <f>IF(H$12=0,0,H36/H$12)</f>
        <v>0</v>
      </c>
      <c r="K36" s="4"/>
      <c r="L36" s="4">
        <f>+D36-H36</f>
        <v>-25.47</v>
      </c>
      <c r="M36" s="4"/>
      <c r="N36" s="12">
        <f>IF(H36=0,0,L36/H36)</f>
        <v>-1</v>
      </c>
      <c r="O36" s="10"/>
      <c r="P36" s="4"/>
      <c r="Q36" s="4"/>
      <c r="R36" s="12">
        <f>IF(P$12=0,0,P36/P$12)</f>
        <v>0</v>
      </c>
      <c r="S36" s="4"/>
      <c r="T36" s="4">
        <v>180.38</v>
      </c>
      <c r="U36" s="4"/>
      <c r="V36" s="12">
        <f>IF(T$12=0,0,T36/T$12)</f>
        <v>0.1850222071780985</v>
      </c>
      <c r="W36" s="4"/>
      <c r="X36" s="4">
        <f>+P36-T36</f>
        <v>-180.38</v>
      </c>
      <c r="Y36" s="4"/>
      <c r="Z36" s="12">
        <f>IF(T36=0,0,X36/T36)</f>
        <v>-1</v>
      </c>
    </row>
    <row r="37" spans="1:26" x14ac:dyDescent="0.3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" thickBot="1" x14ac:dyDescent="0.35">
      <c r="A38" s="10"/>
      <c r="B38" s="26" t="s">
        <v>125</v>
      </c>
      <c r="C38" s="26"/>
      <c r="D38" s="32">
        <f>+D34-D36</f>
        <v>-62.41</v>
      </c>
      <c r="E38" s="13"/>
      <c r="F38" s="35">
        <f>IF(D$12=0,0,D38/D$12)</f>
        <v>0</v>
      </c>
      <c r="G38" s="13"/>
      <c r="H38" s="32">
        <f>+H34-H36</f>
        <v>-1980.31</v>
      </c>
      <c r="I38" s="13"/>
      <c r="J38" s="35">
        <f>IF(H$12=0,0,H38/H$12)</f>
        <v>0</v>
      </c>
      <c r="K38" s="15"/>
      <c r="L38" s="32">
        <f>D38-H38</f>
        <v>1917.8999999999999</v>
      </c>
      <c r="M38" s="15"/>
      <c r="N38" s="35">
        <f>IF(H38=0,0,L38/H38)</f>
        <v>-0.9684847321883947</v>
      </c>
      <c r="O38" s="25"/>
      <c r="P38" s="32">
        <f>+P34-P36</f>
        <v>-310.49</v>
      </c>
      <c r="Q38" s="13"/>
      <c r="R38" s="35">
        <f>IF(P$12=0,0,P38/P$12)</f>
        <v>0</v>
      </c>
      <c r="S38" s="13"/>
      <c r="T38" s="32">
        <f>+T34-T36</f>
        <v>-11608.369999999999</v>
      </c>
      <c r="U38" s="13"/>
      <c r="V38" s="35">
        <f>IF(T$12=0,0,T38/T$12)</f>
        <v>-11.907119631555732</v>
      </c>
      <c r="W38" s="15"/>
      <c r="X38" s="32">
        <f>P38-T38</f>
        <v>11297.88</v>
      </c>
      <c r="Y38" s="15"/>
      <c r="Z38" s="35">
        <f>IF(T38=0,0,X38/T38)</f>
        <v>-0.97325292009127895</v>
      </c>
    </row>
    <row r="39" spans="1:26" ht="15" thickTop="1" x14ac:dyDescent="0.3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x14ac:dyDescent="0.3">
      <c r="A40" s="9"/>
      <c r="B40" s="9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ht="15" thickBot="1" x14ac:dyDescent="0.35">
      <c r="A41" s="10"/>
      <c r="B41" s="26" t="s">
        <v>293</v>
      </c>
      <c r="C41" s="26"/>
      <c r="D41" s="31">
        <f>SUM(D38:D40)</f>
        <v>-62.41</v>
      </c>
      <c r="E41" s="13"/>
      <c r="F41" s="33">
        <f>IF(D$12=0,0,D41/D$12)</f>
        <v>0</v>
      </c>
      <c r="G41" s="13"/>
      <c r="H41" s="31">
        <f>SUM(H38:H40)</f>
        <v>-1980.31</v>
      </c>
      <c r="I41" s="13"/>
      <c r="J41" s="33">
        <f>IF(H$12=0,0,H41/H$12)</f>
        <v>0</v>
      </c>
      <c r="K41" s="15"/>
      <c r="L41" s="31">
        <f>+D41-H41</f>
        <v>1917.8999999999999</v>
      </c>
      <c r="M41" s="15"/>
      <c r="N41" s="33">
        <f>IF(H41=0,0,L41/H41)</f>
        <v>-0.9684847321883947</v>
      </c>
      <c r="O41" s="25"/>
      <c r="P41" s="31">
        <f>SUM(P38:P40)</f>
        <v>-310.49</v>
      </c>
      <c r="Q41" s="13"/>
      <c r="R41" s="33">
        <f>IF(P$12=0,0,P41/P$12)</f>
        <v>0</v>
      </c>
      <c r="S41" s="13"/>
      <c r="T41" s="31">
        <f>SUM(T38:T40)</f>
        <v>-11608.369999999999</v>
      </c>
      <c r="U41" s="13"/>
      <c r="V41" s="33">
        <f>IF(T$12=0,0,T41/T$12)</f>
        <v>-11.907119631555732</v>
      </c>
      <c r="W41" s="15"/>
      <c r="X41" s="31">
        <f>+P41-T41</f>
        <v>11297.88</v>
      </c>
      <c r="Y41" s="15"/>
      <c r="Z41" s="33">
        <f>IF(T41=0,0,X41/T41)</f>
        <v>-0.97325292009127895</v>
      </c>
    </row>
    <row r="42" spans="1:26" ht="15" thickTop="1" x14ac:dyDescent="0.3">
      <c r="A42" s="9"/>
      <c r="C42" s="9"/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3">
      <c r="A43" s="9"/>
      <c r="B43" s="60">
        <v>44575.854680405093</v>
      </c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3">
      <c r="A44" s="9"/>
      <c r="B44" s="57" t="s">
        <v>56</v>
      </c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  <row r="45" spans="1:26" x14ac:dyDescent="0.3">
      <c r="A45" s="9"/>
      <c r="B45" s="59"/>
      <c r="D45" s="17"/>
      <c r="E45" s="17"/>
      <c r="G45" s="17"/>
      <c r="H45" s="17"/>
      <c r="I45" s="17"/>
      <c r="J45" s="43"/>
      <c r="K45" s="17"/>
      <c r="L45" s="17"/>
      <c r="M45" s="17"/>
      <c r="P45" s="17"/>
      <c r="Q45" s="17"/>
      <c r="R45" s="43"/>
      <c r="S45" s="17"/>
      <c r="T45" s="17"/>
      <c r="U45" s="17"/>
      <c r="V45" s="43"/>
      <c r="W45" s="17"/>
      <c r="X45" s="17"/>
    </row>
    <row r="46" spans="1:26" x14ac:dyDescent="0.3">
      <c r="D46" s="17"/>
      <c r="E46" s="17"/>
      <c r="G46" s="17"/>
      <c r="H46" s="17"/>
      <c r="I46" s="17"/>
      <c r="J46" s="43"/>
      <c r="K46" s="17"/>
      <c r="L46" s="17"/>
      <c r="M46" s="17"/>
      <c r="P46" s="17"/>
      <c r="Q46" s="17"/>
      <c r="R46" s="43"/>
      <c r="S46" s="17"/>
      <c r="T46" s="17"/>
      <c r="U46" s="17"/>
      <c r="V46" s="43"/>
      <c r="W46" s="17"/>
      <c r="X46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","415", " - ", "Outpost")</f>
        <v>Department 415 - Outpost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50708.15</v>
      </c>
      <c r="E12" s="4"/>
      <c r="F12" s="12"/>
      <c r="G12" s="4"/>
      <c r="H12" s="4">
        <f>SUM(OSRRefH13x_0)</f>
        <v>9791.7800000000007</v>
      </c>
      <c r="I12" s="4"/>
      <c r="J12" s="12"/>
      <c r="K12" s="4"/>
      <c r="L12" s="4">
        <f t="shared" ref="L12:L14" si="0">+D12-H12</f>
        <v>40916.370000000003</v>
      </c>
      <c r="M12" s="4"/>
      <c r="N12" s="12">
        <f t="shared" ref="N12:N14" si="1">IF(H12=0,0,L12/H12)</f>
        <v>4.1786447407927874</v>
      </c>
      <c r="O12" s="10"/>
      <c r="P12" s="4">
        <f>SUM(OSRRefP13x_0)</f>
        <v>314668.65999999997</v>
      </c>
      <c r="Q12" s="4"/>
      <c r="R12" s="12"/>
      <c r="S12" s="4"/>
      <c r="T12" s="4">
        <f>SUM(OSRRefT13x_0)</f>
        <v>45135.7</v>
      </c>
      <c r="U12" s="4"/>
      <c r="V12" s="12"/>
      <c r="W12" s="4"/>
      <c r="X12" s="4">
        <f t="shared" ref="X12:X14" si="2">+P12-T12</f>
        <v>269532.95999999996</v>
      </c>
      <c r="Y12" s="4"/>
      <c r="Z12" s="12">
        <f t="shared" ref="Z12:Z14" si="3">IF(T12=0,0,X12/T12)</f>
        <v>5.9716136007639182</v>
      </c>
    </row>
    <row r="13" spans="1:26" s="24" customFormat="1" hidden="1" outlineLevel="1" x14ac:dyDescent="0.3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--16704.78</f>
        <v>16704.78</v>
      </c>
      <c r="E13" s="2"/>
      <c r="F13" s="19"/>
      <c r="G13" s="2"/>
      <c r="H13" s="2">
        <f>--5713.27</f>
        <v>5713.27</v>
      </c>
      <c r="I13" s="2"/>
      <c r="J13" s="19"/>
      <c r="K13" s="2"/>
      <c r="L13" s="2">
        <f t="shared" si="0"/>
        <v>10991.509999999998</v>
      </c>
      <c r="M13" s="2"/>
      <c r="N13" s="19">
        <f t="shared" si="1"/>
        <v>1.9238562154422945</v>
      </c>
      <c r="O13" s="11"/>
      <c r="P13" s="2">
        <f>--123556.8</f>
        <v>123556.8</v>
      </c>
      <c r="Q13" s="2"/>
      <c r="R13" s="19"/>
      <c r="S13" s="2"/>
      <c r="T13" s="2">
        <f>--22964.48</f>
        <v>22964.48</v>
      </c>
      <c r="U13" s="2"/>
      <c r="V13" s="19"/>
      <c r="W13" s="2"/>
      <c r="X13" s="2">
        <f t="shared" si="2"/>
        <v>100592.32000000001</v>
      </c>
      <c r="Y13" s="2"/>
      <c r="Z13" s="19">
        <f t="shared" si="3"/>
        <v>4.3803439050220172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--34003.37</f>
        <v>34003.370000000003</v>
      </c>
      <c r="E14" s="2"/>
      <c r="F14" s="19"/>
      <c r="G14" s="2"/>
      <c r="H14" s="2">
        <f>--4078.51</f>
        <v>4078.51</v>
      </c>
      <c r="I14" s="2"/>
      <c r="J14" s="19"/>
      <c r="K14" s="2"/>
      <c r="L14" s="2">
        <f t="shared" si="0"/>
        <v>29924.86</v>
      </c>
      <c r="M14" s="2"/>
      <c r="N14" s="19">
        <f t="shared" si="1"/>
        <v>7.3372040279415769</v>
      </c>
      <c r="O14" s="11"/>
      <c r="P14" s="2">
        <f>--191111.86</f>
        <v>191111.86</v>
      </c>
      <c r="Q14" s="2"/>
      <c r="R14" s="19"/>
      <c r="S14" s="2"/>
      <c r="T14" s="2">
        <f>--22171.22</f>
        <v>22171.22</v>
      </c>
      <c r="U14" s="2"/>
      <c r="V14" s="19"/>
      <c r="W14" s="2"/>
      <c r="X14" s="2">
        <f t="shared" si="2"/>
        <v>168940.63999999998</v>
      </c>
      <c r="Y14" s="2"/>
      <c r="Z14" s="19">
        <f t="shared" si="3"/>
        <v>7.6198170420933069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5" t="s">
        <v>256</v>
      </c>
      <c r="C16" s="10"/>
      <c r="D16" s="4">
        <f>SUM(OSRRefD16x_0)</f>
        <v>19341.5</v>
      </c>
      <c r="E16" s="4"/>
      <c r="F16" s="12">
        <f t="shared" ref="F16:F18" si="4">IF(D$12=0,0,D16/D$12)</f>
        <v>0.38142783753696397</v>
      </c>
      <c r="G16" s="4"/>
      <c r="H16" s="4">
        <f>SUM(OSRRefH16x_0)</f>
        <v>4197.08</v>
      </c>
      <c r="I16" s="4"/>
      <c r="J16" s="12">
        <f t="shared" ref="J16:J18" si="5">IF(H$12=0,0,H16/H$12)</f>
        <v>0.42863299624787315</v>
      </c>
      <c r="K16" s="4"/>
      <c r="L16" s="4">
        <f t="shared" ref="L16:L18" si="6">+D16-H16</f>
        <v>15144.42</v>
      </c>
      <c r="M16" s="4"/>
      <c r="N16" s="12">
        <f t="shared" ref="N16:N18" si="7">IF(H16=0,0,L16/H16)</f>
        <v>3.6083229292746388</v>
      </c>
      <c r="O16" s="10"/>
      <c r="P16" s="4">
        <f>SUM(OSRRefP16x_0)</f>
        <v>113035.15000000001</v>
      </c>
      <c r="Q16" s="4"/>
      <c r="R16" s="12">
        <f t="shared" ref="R16:R18" si="8">IF(P$12=0,0,P16/P$12)</f>
        <v>0.35921959943516463</v>
      </c>
      <c r="S16" s="4"/>
      <c r="T16" s="4">
        <f>SUM(OSRRefT16x_0)</f>
        <v>18853.48</v>
      </c>
      <c r="U16" s="4"/>
      <c r="V16" s="12">
        <f t="shared" ref="V16:V18" si="9">IF(T$12=0,0,T16/T$12)</f>
        <v>0.41770660474967708</v>
      </c>
      <c r="W16" s="4"/>
      <c r="X16" s="4">
        <f t="shared" ref="X16:X18" si="10">+P16-T16</f>
        <v>94181.670000000013</v>
      </c>
      <c r="Y16" s="4"/>
      <c r="Z16" s="12">
        <f t="shared" ref="Z16:Z18" si="11">IF(T16=0,0,X16/T16)</f>
        <v>4.9954528288676689</v>
      </c>
    </row>
    <row r="17" spans="1:26" s="24" customFormat="1" hidden="1" outlineLevel="1" x14ac:dyDescent="0.3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13948.38</v>
      </c>
      <c r="E17" s="2"/>
      <c r="F17" s="19">
        <f t="shared" si="4"/>
        <v>0.27507175868178979</v>
      </c>
      <c r="G17" s="2"/>
      <c r="H17" s="2">
        <v>1832.08</v>
      </c>
      <c r="I17" s="2"/>
      <c r="J17" s="19">
        <f t="shared" si="5"/>
        <v>0.18710387692533939</v>
      </c>
      <c r="K17" s="2"/>
      <c r="L17" s="2">
        <f t="shared" si="6"/>
        <v>12116.3</v>
      </c>
      <c r="M17" s="2"/>
      <c r="N17" s="19">
        <f t="shared" si="7"/>
        <v>6.6134120780751928</v>
      </c>
      <c r="O17" s="11"/>
      <c r="P17" s="2">
        <v>114532.66</v>
      </c>
      <c r="Q17" s="2"/>
      <c r="R17" s="19">
        <f t="shared" si="8"/>
        <v>0.36397860530502152</v>
      </c>
      <c r="S17" s="2"/>
      <c r="T17" s="2">
        <v>13309.42</v>
      </c>
      <c r="U17" s="2"/>
      <c r="V17" s="19">
        <f t="shared" si="9"/>
        <v>0.29487567490921823</v>
      </c>
      <c r="W17" s="2"/>
      <c r="X17" s="2">
        <f t="shared" si="10"/>
        <v>101223.24</v>
      </c>
      <c r="Y17" s="2"/>
      <c r="Z17" s="19">
        <f t="shared" si="11"/>
        <v>7.605383254867605</v>
      </c>
    </row>
    <row r="18" spans="1:26" s="24" customFormat="1" hidden="1" outlineLevel="1" x14ac:dyDescent="0.3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5393.12</v>
      </c>
      <c r="E18" s="2"/>
      <c r="F18" s="19">
        <f t="shared" si="4"/>
        <v>0.10635607885517416</v>
      </c>
      <c r="G18" s="2"/>
      <c r="H18" s="2">
        <v>2365</v>
      </c>
      <c r="I18" s="2"/>
      <c r="J18" s="19">
        <f t="shared" si="5"/>
        <v>0.24152911932253379</v>
      </c>
      <c r="K18" s="2"/>
      <c r="L18" s="2">
        <f t="shared" si="6"/>
        <v>3028.12</v>
      </c>
      <c r="M18" s="2"/>
      <c r="N18" s="19">
        <f t="shared" si="7"/>
        <v>1.2803890063424948</v>
      </c>
      <c r="O18" s="11"/>
      <c r="P18" s="2">
        <v>-1497.51</v>
      </c>
      <c r="Q18" s="2"/>
      <c r="R18" s="19">
        <f t="shared" si="8"/>
        <v>-4.7590058698568838E-3</v>
      </c>
      <c r="S18" s="2"/>
      <c r="T18" s="2">
        <v>5544.06</v>
      </c>
      <c r="U18" s="2"/>
      <c r="V18" s="19">
        <f t="shared" si="9"/>
        <v>0.1228309298404589</v>
      </c>
      <c r="W18" s="2"/>
      <c r="X18" s="2">
        <f t="shared" si="10"/>
        <v>-7041.5700000000006</v>
      </c>
      <c r="Y18" s="2"/>
      <c r="Z18" s="19">
        <f t="shared" si="11"/>
        <v>-1.2701107130875207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6" t="s">
        <v>107</v>
      </c>
      <c r="C20" s="26"/>
      <c r="D20" s="20">
        <f>D12-D16</f>
        <v>31366.65</v>
      </c>
      <c r="E20" s="13"/>
      <c r="F20" s="21">
        <f>IF(D$12=0,0,D20/D$12)</f>
        <v>0.61857216246303603</v>
      </c>
      <c r="G20" s="13"/>
      <c r="H20" s="20">
        <f>H12-H16</f>
        <v>5594.7000000000007</v>
      </c>
      <c r="I20" s="13"/>
      <c r="J20" s="21">
        <f>IF(H$12=0,0,H20/H$12)</f>
        <v>0.57136700375212679</v>
      </c>
      <c r="K20" s="15"/>
      <c r="L20" s="20">
        <f>+D20-H20</f>
        <v>25771.95</v>
      </c>
      <c r="M20" s="15"/>
      <c r="N20" s="21">
        <f>IF(H20=0,0,L20/H20)</f>
        <v>4.6064936457718906</v>
      </c>
      <c r="O20" s="25"/>
      <c r="P20" s="20">
        <f>P12-P16</f>
        <v>201633.50999999995</v>
      </c>
      <c r="Q20" s="13"/>
      <c r="R20" s="21">
        <f>IF(P$12=0,0,P20/P$12)</f>
        <v>0.64078040056483532</v>
      </c>
      <c r="S20" s="13"/>
      <c r="T20" s="20">
        <f>T12-T16</f>
        <v>26282.219999999998</v>
      </c>
      <c r="U20" s="13"/>
      <c r="V20" s="21">
        <f>IF(T$12=0,0,T20/T$12)</f>
        <v>0.58229339525032286</v>
      </c>
      <c r="W20" s="15"/>
      <c r="X20" s="20">
        <f>+P20-T20</f>
        <v>175351.28999999995</v>
      </c>
      <c r="Y20" s="15"/>
      <c r="Z20" s="21">
        <f>IF(T20=0,0,X20/T20)</f>
        <v>6.6718599113773482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5" t="s">
        <v>294</v>
      </c>
      <c r="C22" s="10"/>
      <c r="D22" s="22">
        <f>SUM(OSRRefD22x_0)</f>
        <v>77305.159999999989</v>
      </c>
      <c r="E22" s="22"/>
      <c r="F22" s="34">
        <f t="shared" ref="F22:F31" si="12">IF(D$12=0,0,D22/D$12)</f>
        <v>1.5245115430162604</v>
      </c>
      <c r="G22" s="22"/>
      <c r="H22" s="22">
        <f>SUM(OSRRefH22x_0)</f>
        <v>59571.05999999999</v>
      </c>
      <c r="I22" s="22"/>
      <c r="J22" s="34">
        <f t="shared" ref="J22:J31" si="13">IF(H$12=0,0,H22/H$12)</f>
        <v>6.0837825196236013</v>
      </c>
      <c r="K22" s="4"/>
      <c r="L22" s="22">
        <f t="shared" ref="L22:L31" si="14">+D22-H22</f>
        <v>17734.099999999999</v>
      </c>
      <c r="M22" s="4"/>
      <c r="N22" s="34">
        <f t="shared" ref="N22:N31" si="15">IF(H22=0,0,L22/H22)</f>
        <v>0.29769656608426981</v>
      </c>
      <c r="O22" s="10"/>
      <c r="P22" s="22">
        <f>SUM(OSRRefP22x_0)</f>
        <v>455105.58999999985</v>
      </c>
      <c r="Q22" s="22"/>
      <c r="R22" s="34">
        <f t="shared" ref="R22:R31" si="16">IF(P$12=0,0,P22/P$12)</f>
        <v>1.4463009757628862</v>
      </c>
      <c r="S22" s="22"/>
      <c r="T22" s="22">
        <f>SUM(OSRRefT22x_0)</f>
        <v>383374.56</v>
      </c>
      <c r="U22" s="22"/>
      <c r="V22" s="34">
        <f t="shared" ref="V22:V31" si="17">IF(T$12=0,0,T22/T$12)</f>
        <v>8.4938210773290326</v>
      </c>
      <c r="W22" s="4"/>
      <c r="X22" s="22">
        <f t="shared" ref="X22:X31" si="18">+P22-T22</f>
        <v>71731.029999999853</v>
      </c>
      <c r="Y22" s="4"/>
      <c r="Z22" s="34">
        <f t="shared" ref="Z22:Z31" si="19">IF(T22=0,0,X22/T22)</f>
        <v>0.18710430342587117</v>
      </c>
    </row>
    <row r="23" spans="1:26" s="29" customFormat="1" outlineLevel="1" collapsed="1" x14ac:dyDescent="0.3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14366.4</v>
      </c>
      <c r="E23" s="1"/>
      <c r="F23" s="5">
        <f t="shared" si="12"/>
        <v>0.28331540393408161</v>
      </c>
      <c r="G23" s="1"/>
      <c r="H23" s="1">
        <f>SUM(OSRRefH22_0x_0)</f>
        <v>13322.75</v>
      </c>
      <c r="I23" s="1"/>
      <c r="J23" s="5">
        <f t="shared" si="13"/>
        <v>1.3606055283104808</v>
      </c>
      <c r="K23" s="1"/>
      <c r="L23" s="1">
        <f t="shared" si="14"/>
        <v>1043.6499999999996</v>
      </c>
      <c r="M23" s="1"/>
      <c r="N23" s="5">
        <f t="shared" si="15"/>
        <v>7.8335929143757824E-2</v>
      </c>
      <c r="O23" s="14"/>
      <c r="P23" s="1">
        <f>SUM(OSRRefP22_0x_0)</f>
        <v>76766.039999999994</v>
      </c>
      <c r="Q23" s="1"/>
      <c r="R23" s="5">
        <f t="shared" si="16"/>
        <v>0.24395832746737472</v>
      </c>
      <c r="S23" s="1"/>
      <c r="T23" s="1">
        <f>SUM(OSRRefT22_0x_0)</f>
        <v>82118.58</v>
      </c>
      <c r="U23" s="1"/>
      <c r="V23" s="5">
        <f t="shared" si="17"/>
        <v>1.8193709192501724</v>
      </c>
      <c r="W23" s="1"/>
      <c r="X23" s="1">
        <f t="shared" si="18"/>
        <v>-5352.5400000000081</v>
      </c>
      <c r="Y23" s="1"/>
      <c r="Z23" s="5">
        <f t="shared" si="19"/>
        <v>-6.5180620512434673E-2</v>
      </c>
    </row>
    <row r="24" spans="1:26" s="24" customFormat="1" hidden="1" outlineLevel="2" x14ac:dyDescent="0.3">
      <c r="A24" s="28"/>
      <c r="B24" s="11" t="str">
        <f>CONCATENATE("          ", "6111", " - ", "F.I.C.A.")</f>
        <v xml:space="preserve">          6111 - F.I.C.A.</v>
      </c>
      <c r="C24" s="11"/>
      <c r="D24" s="6">
        <v>2058.66</v>
      </c>
      <c r="E24" s="2"/>
      <c r="F24" s="7">
        <f t="shared" si="12"/>
        <v>4.0598207585960042E-2</v>
      </c>
      <c r="G24" s="2"/>
      <c r="H24" s="6">
        <v>1415.38</v>
      </c>
      <c r="I24" s="2"/>
      <c r="J24" s="7">
        <f t="shared" si="13"/>
        <v>0.14454777374491665</v>
      </c>
      <c r="K24" s="2"/>
      <c r="L24" s="6">
        <f t="shared" si="14"/>
        <v>643.27999999999975</v>
      </c>
      <c r="M24" s="2"/>
      <c r="N24" s="7">
        <f t="shared" si="15"/>
        <v>0.45449278638952062</v>
      </c>
      <c r="O24" s="11"/>
      <c r="P24" s="6">
        <v>10559.27</v>
      </c>
      <c r="Q24" s="2"/>
      <c r="R24" s="7">
        <f t="shared" si="16"/>
        <v>3.3556789544913694E-2</v>
      </c>
      <c r="S24" s="2"/>
      <c r="T24" s="6">
        <v>9699.44</v>
      </c>
      <c r="U24" s="2"/>
      <c r="V24" s="7">
        <f t="shared" si="17"/>
        <v>0.21489508304955945</v>
      </c>
      <c r="W24" s="2"/>
      <c r="X24" s="6">
        <f t="shared" si="18"/>
        <v>859.82999999999993</v>
      </c>
      <c r="Y24" s="2"/>
      <c r="Z24" s="7">
        <f t="shared" si="19"/>
        <v>8.8647385828460185E-2</v>
      </c>
    </row>
    <row r="25" spans="1:26" s="24" customFormat="1" hidden="1" outlineLevel="2" x14ac:dyDescent="0.3">
      <c r="A25" s="28"/>
      <c r="B25" s="11" t="str">
        <f>CONCATENATE("          ", "6112", " - ", "COMPENSATION INSURANCE")</f>
        <v xml:space="preserve">          6112 - COMPENSATION INSURANCE</v>
      </c>
      <c r="C25" s="11"/>
      <c r="D25" s="6">
        <v>1119.93</v>
      </c>
      <c r="E25" s="2"/>
      <c r="F25" s="7">
        <f t="shared" si="12"/>
        <v>2.2085798831154361E-2</v>
      </c>
      <c r="G25" s="2"/>
      <c r="H25" s="6">
        <v>1051.44</v>
      </c>
      <c r="I25" s="2"/>
      <c r="J25" s="7">
        <f t="shared" si="13"/>
        <v>0.10737986351817545</v>
      </c>
      <c r="K25" s="2"/>
      <c r="L25" s="6">
        <f t="shared" si="14"/>
        <v>68.490000000000009</v>
      </c>
      <c r="M25" s="2"/>
      <c r="N25" s="7">
        <f t="shared" si="15"/>
        <v>6.5139237616982426E-2</v>
      </c>
      <c r="O25" s="11"/>
      <c r="P25" s="6">
        <v>5898.46</v>
      </c>
      <c r="Q25" s="2"/>
      <c r="R25" s="7">
        <f t="shared" si="16"/>
        <v>1.8744987187475234E-2</v>
      </c>
      <c r="S25" s="2"/>
      <c r="T25" s="6">
        <v>4531.63</v>
      </c>
      <c r="U25" s="2"/>
      <c r="V25" s="7">
        <f t="shared" si="17"/>
        <v>0.10040012672895292</v>
      </c>
      <c r="W25" s="2"/>
      <c r="X25" s="6">
        <f t="shared" si="18"/>
        <v>1366.83</v>
      </c>
      <c r="Y25" s="2"/>
      <c r="Z25" s="7">
        <f t="shared" si="19"/>
        <v>0.3016199469065215</v>
      </c>
    </row>
    <row r="26" spans="1:26" s="24" customFormat="1" hidden="1" outlineLevel="2" x14ac:dyDescent="0.3">
      <c r="A26" s="28"/>
      <c r="B26" s="11" t="str">
        <f>CONCATENATE("          ", "6113", " - ", "GROUP INSURANCE")</f>
        <v xml:space="preserve">          6113 - GROUP INSURANCE</v>
      </c>
      <c r="C26" s="11"/>
      <c r="D26" s="6">
        <v>7197.43</v>
      </c>
      <c r="E26" s="2"/>
      <c r="F26" s="7">
        <f t="shared" si="12"/>
        <v>0.14193832746806972</v>
      </c>
      <c r="G26" s="2"/>
      <c r="H26" s="6">
        <v>6712.24</v>
      </c>
      <c r="I26" s="2"/>
      <c r="J26" s="7">
        <f t="shared" si="13"/>
        <v>0.6854974274340313</v>
      </c>
      <c r="K26" s="2"/>
      <c r="L26" s="6">
        <f t="shared" si="14"/>
        <v>485.19000000000051</v>
      </c>
      <c r="M26" s="2"/>
      <c r="N26" s="7">
        <f t="shared" si="15"/>
        <v>7.2284364087100664E-2</v>
      </c>
      <c r="O26" s="11"/>
      <c r="P26" s="6">
        <v>37305.56</v>
      </c>
      <c r="Q26" s="2"/>
      <c r="R26" s="7">
        <f t="shared" si="16"/>
        <v>0.11855505406861935</v>
      </c>
      <c r="S26" s="2"/>
      <c r="T26" s="6">
        <v>40931.39</v>
      </c>
      <c r="U26" s="2"/>
      <c r="V26" s="7">
        <f t="shared" si="17"/>
        <v>0.90685178251362009</v>
      </c>
      <c r="W26" s="2"/>
      <c r="X26" s="6">
        <f t="shared" si="18"/>
        <v>-3625.8300000000017</v>
      </c>
      <c r="Y26" s="2"/>
      <c r="Z26" s="7">
        <f t="shared" si="19"/>
        <v>-8.8583114328636331E-2</v>
      </c>
    </row>
    <row r="27" spans="1:26" s="24" customFormat="1" hidden="1" outlineLevel="2" x14ac:dyDescent="0.3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>
        <v>80.88</v>
      </c>
      <c r="E27" s="2"/>
      <c r="F27" s="7">
        <f t="shared" si="12"/>
        <v>1.5950098751384145E-3</v>
      </c>
      <c r="G27" s="2"/>
      <c r="H27" s="6"/>
      <c r="I27" s="2"/>
      <c r="J27" s="7">
        <f t="shared" si="13"/>
        <v>0</v>
      </c>
      <c r="K27" s="2"/>
      <c r="L27" s="6">
        <f t="shared" si="14"/>
        <v>80.88</v>
      </c>
      <c r="M27" s="2"/>
      <c r="N27" s="7">
        <f t="shared" si="15"/>
        <v>0</v>
      </c>
      <c r="O27" s="11"/>
      <c r="P27" s="6">
        <v>426.01</v>
      </c>
      <c r="Q27" s="2"/>
      <c r="R27" s="7">
        <f t="shared" si="16"/>
        <v>1.3538367627713545E-3</v>
      </c>
      <c r="S27" s="2"/>
      <c r="T27" s="6">
        <v>313</v>
      </c>
      <c r="U27" s="2"/>
      <c r="V27" s="7">
        <f t="shared" si="17"/>
        <v>6.9346437520632232E-3</v>
      </c>
      <c r="W27" s="2"/>
      <c r="X27" s="6">
        <f t="shared" si="18"/>
        <v>113.00999999999999</v>
      </c>
      <c r="Y27" s="2"/>
      <c r="Z27" s="7">
        <f t="shared" si="19"/>
        <v>0.36105431309904151</v>
      </c>
    </row>
    <row r="28" spans="1:26" s="24" customFormat="1" hidden="1" outlineLevel="2" x14ac:dyDescent="0.3">
      <c r="A28" s="28"/>
      <c r="B28" s="11" t="str">
        <f>CONCATENATE("          ", "6115", " - ", "P.E.R.S.")</f>
        <v xml:space="preserve">          6115 - P.E.R.S.</v>
      </c>
      <c r="C28" s="11"/>
      <c r="D28" s="6">
        <v>905.43</v>
      </c>
      <c r="E28" s="2"/>
      <c r="F28" s="7">
        <f t="shared" si="12"/>
        <v>1.7855709585145582E-2</v>
      </c>
      <c r="G28" s="2"/>
      <c r="H28" s="6">
        <v>1527.3</v>
      </c>
      <c r="I28" s="2"/>
      <c r="J28" s="7">
        <f t="shared" si="13"/>
        <v>0.15597776910837455</v>
      </c>
      <c r="K28" s="2"/>
      <c r="L28" s="6">
        <f t="shared" si="14"/>
        <v>-621.87</v>
      </c>
      <c r="M28" s="2"/>
      <c r="N28" s="7">
        <f t="shared" si="15"/>
        <v>-0.40716951483009234</v>
      </c>
      <c r="O28" s="11"/>
      <c r="P28" s="6">
        <v>5728.61</v>
      </c>
      <c r="Q28" s="2"/>
      <c r="R28" s="7">
        <f t="shared" si="16"/>
        <v>1.8205213064434188E-2</v>
      </c>
      <c r="S28" s="2"/>
      <c r="T28" s="6">
        <v>9256.14</v>
      </c>
      <c r="U28" s="2"/>
      <c r="V28" s="7">
        <f t="shared" si="17"/>
        <v>0.20507358919879387</v>
      </c>
      <c r="W28" s="2"/>
      <c r="X28" s="6">
        <f t="shared" si="18"/>
        <v>-3527.5299999999997</v>
      </c>
      <c r="Y28" s="2"/>
      <c r="Z28" s="7">
        <f t="shared" si="19"/>
        <v>-0.38110162551560367</v>
      </c>
    </row>
    <row r="29" spans="1:26" s="24" customFormat="1" hidden="1" outlineLevel="2" x14ac:dyDescent="0.3">
      <c r="A29" s="28"/>
      <c r="B29" s="11" t="str">
        <f>CONCATENATE("          ", "6118", " - ", "VACATION")</f>
        <v xml:space="preserve">          6118 - VACATION</v>
      </c>
      <c r="C29" s="11"/>
      <c r="D29" s="6">
        <v>1265.98</v>
      </c>
      <c r="E29" s="2"/>
      <c r="F29" s="7">
        <f t="shared" si="12"/>
        <v>2.4966006450639591E-2</v>
      </c>
      <c r="G29" s="2"/>
      <c r="H29" s="6">
        <v>1377.86</v>
      </c>
      <c r="I29" s="2"/>
      <c r="J29" s="7">
        <f t="shared" si="13"/>
        <v>0.14071598830856083</v>
      </c>
      <c r="K29" s="2"/>
      <c r="L29" s="6">
        <f t="shared" si="14"/>
        <v>-111.87999999999988</v>
      </c>
      <c r="M29" s="2"/>
      <c r="N29" s="7">
        <f t="shared" si="15"/>
        <v>-8.1198380096671574E-2</v>
      </c>
      <c r="O29" s="11"/>
      <c r="P29" s="6">
        <v>7127.57</v>
      </c>
      <c r="Q29" s="2"/>
      <c r="R29" s="7">
        <f t="shared" si="16"/>
        <v>2.2651032358926373E-2</v>
      </c>
      <c r="S29" s="2"/>
      <c r="T29" s="6">
        <v>8816.2199999999993</v>
      </c>
      <c r="U29" s="2"/>
      <c r="V29" s="7">
        <f t="shared" si="17"/>
        <v>0.19532698063838602</v>
      </c>
      <c r="W29" s="2"/>
      <c r="X29" s="6">
        <f t="shared" si="18"/>
        <v>-1688.6499999999996</v>
      </c>
      <c r="Y29" s="2"/>
      <c r="Z29" s="7">
        <f t="shared" si="19"/>
        <v>-0.19153900424444942</v>
      </c>
    </row>
    <row r="30" spans="1:26" s="24" customFormat="1" hidden="1" outlineLevel="2" x14ac:dyDescent="0.3">
      <c r="A30" s="28"/>
      <c r="B30" s="11" t="str">
        <f>CONCATENATE("          ", "6119", " - ", "SICK LEAVE")</f>
        <v xml:space="preserve">          6119 - SICK LEAVE</v>
      </c>
      <c r="C30" s="11"/>
      <c r="D30" s="6">
        <v>850.19</v>
      </c>
      <c r="E30" s="2"/>
      <c r="F30" s="7">
        <f t="shared" si="12"/>
        <v>1.6766338349949665E-2</v>
      </c>
      <c r="G30" s="2"/>
      <c r="H30" s="6">
        <v>857.52</v>
      </c>
      <c r="I30" s="2"/>
      <c r="J30" s="7">
        <f t="shared" si="13"/>
        <v>8.7575496998502825E-2</v>
      </c>
      <c r="K30" s="2"/>
      <c r="L30" s="6">
        <f t="shared" si="14"/>
        <v>-7.3299999999999272</v>
      </c>
      <c r="M30" s="2"/>
      <c r="N30" s="7">
        <f t="shared" si="15"/>
        <v>-8.5479055882077704E-3</v>
      </c>
      <c r="O30" s="11"/>
      <c r="P30" s="6">
        <v>5448.37</v>
      </c>
      <c r="Q30" s="2"/>
      <c r="R30" s="7">
        <f t="shared" si="16"/>
        <v>1.7314625485741097E-2</v>
      </c>
      <c r="S30" s="2"/>
      <c r="T30" s="6">
        <v>5584.6</v>
      </c>
      <c r="U30" s="2"/>
      <c r="V30" s="7">
        <f t="shared" si="17"/>
        <v>0.12372911021652486</v>
      </c>
      <c r="W30" s="2"/>
      <c r="X30" s="6">
        <f t="shared" si="18"/>
        <v>-136.23000000000047</v>
      </c>
      <c r="Y30" s="2"/>
      <c r="Z30" s="7">
        <f t="shared" si="19"/>
        <v>-2.4393868853633288E-2</v>
      </c>
    </row>
    <row r="31" spans="1:26" s="24" customFormat="1" hidden="1" outlineLevel="2" x14ac:dyDescent="0.3">
      <c r="A31" s="28"/>
      <c r="B31" s="11" t="str">
        <f>CONCATENATE("          ", "6156", " - ", "EMPLOYEE MEALS")</f>
        <v xml:space="preserve">          6156 - EMPLOYEE MEALS</v>
      </c>
      <c r="C31" s="11"/>
      <c r="D31" s="6">
        <v>887.9</v>
      </c>
      <c r="E31" s="2"/>
      <c r="F31" s="7">
        <f t="shared" si="12"/>
        <v>1.751000578802421E-2</v>
      </c>
      <c r="G31" s="2"/>
      <c r="H31" s="6">
        <v>381.01</v>
      </c>
      <c r="I31" s="2"/>
      <c r="J31" s="7">
        <f t="shared" si="13"/>
        <v>3.8911209197919065E-2</v>
      </c>
      <c r="K31" s="2"/>
      <c r="L31" s="6">
        <f t="shared" si="14"/>
        <v>506.89</v>
      </c>
      <c r="M31" s="2"/>
      <c r="N31" s="7">
        <f t="shared" si="15"/>
        <v>1.3303850292643238</v>
      </c>
      <c r="O31" s="11"/>
      <c r="P31" s="6">
        <v>4272.1899999999996</v>
      </c>
      <c r="Q31" s="2"/>
      <c r="R31" s="7">
        <f t="shared" si="16"/>
        <v>1.3576788994493445E-2</v>
      </c>
      <c r="S31" s="2"/>
      <c r="T31" s="6">
        <v>2986.16</v>
      </c>
      <c r="U31" s="2"/>
      <c r="V31" s="7">
        <f t="shared" si="17"/>
        <v>6.6159603152271929E-2</v>
      </c>
      <c r="W31" s="2"/>
      <c r="X31" s="6">
        <f t="shared" si="18"/>
        <v>1286.0299999999997</v>
      </c>
      <c r="Y31" s="2"/>
      <c r="Z31" s="7">
        <f t="shared" si="19"/>
        <v>0.43066346076566553</v>
      </c>
    </row>
    <row r="32" spans="1:26" s="29" customFormat="1" outlineLevel="1" collapsed="1" x14ac:dyDescent="0.3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28212.579999999994</v>
      </c>
      <c r="E32" s="1"/>
      <c r="F32" s="5">
        <f t="shared" ref="F32:F36" si="20">IF(D$12=0,0,D32/D$12)</f>
        <v>0.55637170750658416</v>
      </c>
      <c r="G32" s="1"/>
      <c r="H32" s="1">
        <f>SUM(OSRRefH22_1x_0)</f>
        <v>15603.07</v>
      </c>
      <c r="I32" s="1"/>
      <c r="J32" s="5">
        <f t="shared" ref="J32:J36" si="21">IF(H$12=0,0,H32/H$12)</f>
        <v>1.5934865775170601</v>
      </c>
      <c r="K32" s="1"/>
      <c r="L32" s="1">
        <f t="shared" ref="L32:L36" si="22">+D32-H32</f>
        <v>12609.509999999995</v>
      </c>
      <c r="M32" s="1"/>
      <c r="N32" s="5">
        <f t="shared" ref="N32:N36" si="23">IF(H32=0,0,L32/H32)</f>
        <v>0.80814288470153595</v>
      </c>
      <c r="O32" s="14"/>
      <c r="P32" s="1">
        <f>SUM(OSRRefP22_1x_0)</f>
        <v>154538.99</v>
      </c>
      <c r="Q32" s="1"/>
      <c r="R32" s="5">
        <f t="shared" ref="R32:R36" si="24">IF(P$12=0,0,P32/P$12)</f>
        <v>0.49111656051161878</v>
      </c>
      <c r="S32" s="1"/>
      <c r="T32" s="1">
        <f>SUM(OSRRefT22_1x_0)</f>
        <v>108077.08000000002</v>
      </c>
      <c r="U32" s="1"/>
      <c r="V32" s="5">
        <f t="shared" ref="V32:V36" si="25">IF(T$12=0,0,T32/T$12)</f>
        <v>2.3944921647387774</v>
      </c>
      <c r="W32" s="1"/>
      <c r="X32" s="1">
        <f t="shared" ref="X32:X36" si="26">+P32-T32</f>
        <v>46461.909999999974</v>
      </c>
      <c r="Y32" s="1"/>
      <c r="Z32" s="5">
        <f t="shared" ref="Z32:Z36" si="27">IF(T32=0,0,X32/T32)</f>
        <v>0.42989605196587444</v>
      </c>
    </row>
    <row r="33" spans="1:26" s="24" customFormat="1" hidden="1" outlineLevel="2" x14ac:dyDescent="0.3">
      <c r="A33" s="28"/>
      <c r="B33" s="11" t="str">
        <f>CONCATENATE("          ", "6002", " - ", "STAFF SALARIES")</f>
        <v xml:space="preserve">          6002 - STAFF SALARIES</v>
      </c>
      <c r="C33" s="11"/>
      <c r="D33" s="6">
        <v>9151.7099999999991</v>
      </c>
      <c r="E33" s="2"/>
      <c r="F33" s="7">
        <f t="shared" si="20"/>
        <v>0.18047808882793001</v>
      </c>
      <c r="G33" s="2"/>
      <c r="H33" s="6">
        <v>12942.91</v>
      </c>
      <c r="I33" s="2"/>
      <c r="J33" s="7">
        <f t="shared" si="21"/>
        <v>1.321813807091254</v>
      </c>
      <c r="K33" s="2"/>
      <c r="L33" s="6">
        <f t="shared" si="22"/>
        <v>-3791.2000000000007</v>
      </c>
      <c r="M33" s="2"/>
      <c r="N33" s="7">
        <f t="shared" si="23"/>
        <v>-0.29291712605588704</v>
      </c>
      <c r="O33" s="11"/>
      <c r="P33" s="6">
        <v>59568.4</v>
      </c>
      <c r="Q33" s="2"/>
      <c r="R33" s="7">
        <f t="shared" si="24"/>
        <v>0.18930515673216394</v>
      </c>
      <c r="S33" s="2"/>
      <c r="T33" s="6">
        <v>85051.03</v>
      </c>
      <c r="U33" s="2"/>
      <c r="V33" s="7">
        <f t="shared" si="25"/>
        <v>1.8843405552589194</v>
      </c>
      <c r="W33" s="2"/>
      <c r="X33" s="6">
        <f t="shared" si="26"/>
        <v>-25482.629999999997</v>
      </c>
      <c r="Y33" s="2"/>
      <c r="Z33" s="7">
        <f t="shared" si="27"/>
        <v>-0.29961577184897109</v>
      </c>
    </row>
    <row r="34" spans="1:26" s="24" customFormat="1" hidden="1" outlineLevel="2" x14ac:dyDescent="0.3">
      <c r="A34" s="28"/>
      <c r="B34" s="11" t="str">
        <f>CONCATENATE("          ", "6004", " - ", "STAFF HOURLY")</f>
        <v xml:space="preserve">          6004 - STAFF HOURLY</v>
      </c>
      <c r="C34" s="11"/>
      <c r="D34" s="6">
        <v>6190.28</v>
      </c>
      <c r="E34" s="2"/>
      <c r="F34" s="7">
        <f t="shared" si="20"/>
        <v>0.12207662870761406</v>
      </c>
      <c r="G34" s="2"/>
      <c r="H34" s="6">
        <v>2426.3000000000002</v>
      </c>
      <c r="I34" s="2"/>
      <c r="J34" s="7">
        <f t="shared" si="21"/>
        <v>0.24778947239419186</v>
      </c>
      <c r="K34" s="2"/>
      <c r="L34" s="6">
        <f t="shared" si="22"/>
        <v>3763.9799999999996</v>
      </c>
      <c r="M34" s="2"/>
      <c r="N34" s="7">
        <f t="shared" si="23"/>
        <v>1.5513250628529034</v>
      </c>
      <c r="O34" s="11"/>
      <c r="P34" s="6">
        <v>28756.17</v>
      </c>
      <c r="Q34" s="2"/>
      <c r="R34" s="7">
        <f t="shared" si="24"/>
        <v>9.1385554570321686E-2</v>
      </c>
      <c r="S34" s="2"/>
      <c r="T34" s="6">
        <v>20524.63</v>
      </c>
      <c r="U34" s="2"/>
      <c r="V34" s="7">
        <f t="shared" si="25"/>
        <v>0.45473162042463067</v>
      </c>
      <c r="W34" s="2"/>
      <c r="X34" s="6">
        <f t="shared" si="26"/>
        <v>8231.5399999999972</v>
      </c>
      <c r="Y34" s="2"/>
      <c r="Z34" s="7">
        <f t="shared" si="27"/>
        <v>0.40105668165516245</v>
      </c>
    </row>
    <row r="35" spans="1:26" s="24" customFormat="1" hidden="1" outlineLevel="2" x14ac:dyDescent="0.3">
      <c r="A35" s="28"/>
      <c r="B35" s="11" t="str">
        <f>CONCATENATE("          ", "6005", " - ", "TEMPORARY WAGES-HOURLY")</f>
        <v xml:space="preserve">          6005 - TEMPORARY WAGES-HOURLY</v>
      </c>
      <c r="C35" s="11"/>
      <c r="D35" s="6">
        <v>8552.3799999999992</v>
      </c>
      <c r="E35" s="2"/>
      <c r="F35" s="7">
        <f t="shared" si="20"/>
        <v>0.16865888422275313</v>
      </c>
      <c r="G35" s="2"/>
      <c r="H35" s="6">
        <v>233.86</v>
      </c>
      <c r="I35" s="2"/>
      <c r="J35" s="7">
        <f t="shared" si="21"/>
        <v>2.3883298031614271E-2</v>
      </c>
      <c r="K35" s="2"/>
      <c r="L35" s="6">
        <f t="shared" si="22"/>
        <v>8318.5199999999986</v>
      </c>
      <c r="M35" s="2"/>
      <c r="N35" s="7">
        <f t="shared" si="23"/>
        <v>35.570512272299659</v>
      </c>
      <c r="O35" s="11"/>
      <c r="P35" s="6">
        <v>40638.839999999997</v>
      </c>
      <c r="Q35" s="2"/>
      <c r="R35" s="7">
        <f t="shared" si="24"/>
        <v>0.12914803781221809</v>
      </c>
      <c r="S35" s="2"/>
      <c r="T35" s="6">
        <v>2431.71</v>
      </c>
      <c r="U35" s="2"/>
      <c r="V35" s="7">
        <f t="shared" si="25"/>
        <v>5.3875535330126713E-2</v>
      </c>
      <c r="W35" s="2"/>
      <c r="X35" s="6">
        <f t="shared" si="26"/>
        <v>38207.129999999997</v>
      </c>
      <c r="Y35" s="2"/>
      <c r="Z35" s="7">
        <f t="shared" si="27"/>
        <v>15.71204214318319</v>
      </c>
    </row>
    <row r="36" spans="1:26" s="24" customFormat="1" hidden="1" outlineLevel="2" x14ac:dyDescent="0.3">
      <c r="A36" s="28"/>
      <c r="B36" s="11" t="str">
        <f>CONCATENATE("          ", "6007", " - ", "STUDENT HOURLY")</f>
        <v xml:space="preserve">          6007 - STUDENT HOURLY</v>
      </c>
      <c r="C36" s="11"/>
      <c r="D36" s="6">
        <v>4318.21</v>
      </c>
      <c r="E36" s="2"/>
      <c r="F36" s="7">
        <f t="shared" si="20"/>
        <v>8.5158105748287014E-2</v>
      </c>
      <c r="G36" s="2"/>
      <c r="H36" s="6"/>
      <c r="I36" s="2"/>
      <c r="J36" s="7">
        <f t="shared" si="21"/>
        <v>0</v>
      </c>
      <c r="K36" s="2"/>
      <c r="L36" s="6">
        <f t="shared" si="22"/>
        <v>4318.21</v>
      </c>
      <c r="M36" s="2"/>
      <c r="N36" s="7">
        <f t="shared" si="23"/>
        <v>0</v>
      </c>
      <c r="O36" s="11"/>
      <c r="P36" s="6">
        <v>25575.58</v>
      </c>
      <c r="Q36" s="2"/>
      <c r="R36" s="7">
        <f t="shared" si="24"/>
        <v>8.1277811396915103E-2</v>
      </c>
      <c r="S36" s="2"/>
      <c r="T36" s="6">
        <v>69.709999999999994</v>
      </c>
      <c r="U36" s="2"/>
      <c r="V36" s="7">
        <f t="shared" si="25"/>
        <v>1.5444537251000871E-3</v>
      </c>
      <c r="W36" s="2"/>
      <c r="X36" s="6">
        <f t="shared" si="26"/>
        <v>25505.870000000003</v>
      </c>
      <c r="Y36" s="2"/>
      <c r="Z36" s="7">
        <f t="shared" si="27"/>
        <v>365.88538229809217</v>
      </c>
    </row>
    <row r="37" spans="1:26" s="29" customFormat="1" outlineLevel="1" collapsed="1" x14ac:dyDescent="0.3">
      <c r="A37" s="27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43.53</v>
      </c>
      <c r="E37" s="1"/>
      <c r="F37" s="5">
        <f t="shared" ref="F37:F45" si="28">IF(D$12=0,0,D37/D$12)</f>
        <v>8.5844188754667639E-4</v>
      </c>
      <c r="G37" s="1"/>
      <c r="H37" s="1">
        <f>SUM(OSRRefH22_2x_0)</f>
        <v>7.42</v>
      </c>
      <c r="I37" s="1"/>
      <c r="J37" s="5">
        <f t="shared" ref="J37:J45" si="29">IF(H$12=0,0,H37/H$12)</f>
        <v>7.5777846315991566E-4</v>
      </c>
      <c r="K37" s="1"/>
      <c r="L37" s="1">
        <f t="shared" ref="L37:L45" si="30">+D37-H37</f>
        <v>36.11</v>
      </c>
      <c r="M37" s="1"/>
      <c r="N37" s="5">
        <f t="shared" ref="N37:N45" si="31">IF(H37=0,0,L37/H37)</f>
        <v>4.8665768194070083</v>
      </c>
      <c r="O37" s="14"/>
      <c r="P37" s="1">
        <f>SUM(OSRRefP22_2x_0)</f>
        <v>431.52</v>
      </c>
      <c r="Q37" s="1"/>
      <c r="R37" s="5">
        <f t="shared" ref="R37:R45" si="32">IF(P$12=0,0,P37/P$12)</f>
        <v>1.3713472450672399E-3</v>
      </c>
      <c r="S37" s="1"/>
      <c r="T37" s="1">
        <f>SUM(OSRRefT22_2x_0)</f>
        <v>133.94999999999999</v>
      </c>
      <c r="U37" s="1"/>
      <c r="V37" s="5">
        <f t="shared" ref="V37:V45" si="33">IF(T$12=0,0,T37/T$12)</f>
        <v>2.9677173501241809E-3</v>
      </c>
      <c r="W37" s="1"/>
      <c r="X37" s="1">
        <f t="shared" ref="X37:X45" si="34">+P37-T37</f>
        <v>297.57</v>
      </c>
      <c r="Y37" s="1"/>
      <c r="Z37" s="5">
        <f t="shared" ref="Z37:Z45" si="35">IF(T37=0,0,X37/T37)</f>
        <v>2.2215005599104143</v>
      </c>
    </row>
    <row r="38" spans="1:26" s="24" customFormat="1" hidden="1" outlineLevel="2" x14ac:dyDescent="0.3">
      <c r="A38" s="28"/>
      <c r="B38" s="11" t="str">
        <f>CONCATENATE("          ", "6362", " - ", "ADVERTISING EXPENSE")</f>
        <v xml:space="preserve">          6362 - ADVERTISING EXPENSE</v>
      </c>
      <c r="C38" s="11"/>
      <c r="D38" s="6">
        <v>43.53</v>
      </c>
      <c r="E38" s="2"/>
      <c r="F38" s="7">
        <f t="shared" si="28"/>
        <v>8.5844188754667639E-4</v>
      </c>
      <c r="G38" s="2"/>
      <c r="H38" s="6">
        <v>7.42</v>
      </c>
      <c r="I38" s="2"/>
      <c r="J38" s="7">
        <f t="shared" si="29"/>
        <v>7.5777846315991566E-4</v>
      </c>
      <c r="K38" s="2"/>
      <c r="L38" s="6">
        <f t="shared" si="30"/>
        <v>36.11</v>
      </c>
      <c r="M38" s="2"/>
      <c r="N38" s="7">
        <f t="shared" si="31"/>
        <v>4.8665768194070083</v>
      </c>
      <c r="O38" s="11"/>
      <c r="P38" s="6">
        <v>431.52</v>
      </c>
      <c r="Q38" s="2"/>
      <c r="R38" s="7">
        <f t="shared" si="32"/>
        <v>1.3713472450672399E-3</v>
      </c>
      <c r="S38" s="2"/>
      <c r="T38" s="6">
        <v>133.94999999999999</v>
      </c>
      <c r="U38" s="2"/>
      <c r="V38" s="7">
        <f t="shared" si="33"/>
        <v>2.9677173501241809E-3</v>
      </c>
      <c r="W38" s="2"/>
      <c r="X38" s="6">
        <f t="shared" si="34"/>
        <v>297.57</v>
      </c>
      <c r="Y38" s="2"/>
      <c r="Z38" s="7">
        <f t="shared" si="35"/>
        <v>2.2215005599104143</v>
      </c>
    </row>
    <row r="39" spans="1:26" s="29" customFormat="1" outlineLevel="1" collapsed="1" x14ac:dyDescent="0.3">
      <c r="A39" s="27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29.9</v>
      </c>
      <c r="E39" s="1"/>
      <c r="F39" s="5">
        <f t="shared" si="28"/>
        <v>5.8964880398910231E-4</v>
      </c>
      <c r="G39" s="1"/>
      <c r="H39" s="1">
        <f>SUM(OSRRefH22_3x_0)</f>
        <v>1.74</v>
      </c>
      <c r="I39" s="1"/>
      <c r="J39" s="5">
        <f t="shared" si="29"/>
        <v>1.7770007087577539E-4</v>
      </c>
      <c r="K39" s="1"/>
      <c r="L39" s="1">
        <f t="shared" si="30"/>
        <v>28.16</v>
      </c>
      <c r="M39" s="1"/>
      <c r="N39" s="5">
        <f t="shared" si="31"/>
        <v>16.183908045977013</v>
      </c>
      <c r="O39" s="14"/>
      <c r="P39" s="1">
        <f>SUM(OSRRefP22_3x_0)</f>
        <v>1.75</v>
      </c>
      <c r="Q39" s="1"/>
      <c r="R39" s="5">
        <f t="shared" si="32"/>
        <v>5.5614054478765061E-6</v>
      </c>
      <c r="S39" s="1"/>
      <c r="T39" s="1">
        <f>SUM(OSRRefT22_3x_0)</f>
        <v>8.7899999999999991</v>
      </c>
      <c r="U39" s="1"/>
      <c r="V39" s="5">
        <f t="shared" si="33"/>
        <v>1.9474606575282978E-4</v>
      </c>
      <c r="W39" s="1"/>
      <c r="X39" s="1">
        <f t="shared" si="34"/>
        <v>-7.0399999999999991</v>
      </c>
      <c r="Y39" s="1"/>
      <c r="Z39" s="5">
        <f t="shared" si="35"/>
        <v>-0.80091012514220705</v>
      </c>
    </row>
    <row r="40" spans="1:26" s="24" customFormat="1" hidden="1" outlineLevel="2" x14ac:dyDescent="0.3">
      <c r="A40" s="28"/>
      <c r="B40" s="11" t="str">
        <f>CONCATENATE("          ", "6272", " - ", "CASH (OVER/SHORT)")</f>
        <v xml:space="preserve">          6272 - CASH (OVER/SHORT)</v>
      </c>
      <c r="C40" s="11"/>
      <c r="D40" s="6">
        <v>29.9</v>
      </c>
      <c r="E40" s="2"/>
      <c r="F40" s="7">
        <f t="shared" si="28"/>
        <v>5.8964880398910231E-4</v>
      </c>
      <c r="G40" s="2"/>
      <c r="H40" s="6">
        <v>1.74</v>
      </c>
      <c r="I40" s="2"/>
      <c r="J40" s="7">
        <f t="shared" si="29"/>
        <v>1.7770007087577539E-4</v>
      </c>
      <c r="K40" s="2"/>
      <c r="L40" s="6">
        <f t="shared" si="30"/>
        <v>28.16</v>
      </c>
      <c r="M40" s="2"/>
      <c r="N40" s="7">
        <f t="shared" si="31"/>
        <v>16.183908045977013</v>
      </c>
      <c r="O40" s="11"/>
      <c r="P40" s="6">
        <v>1.75</v>
      </c>
      <c r="Q40" s="2"/>
      <c r="R40" s="7">
        <f t="shared" si="32"/>
        <v>5.5614054478765061E-6</v>
      </c>
      <c r="S40" s="2"/>
      <c r="T40" s="6">
        <v>8.7899999999999991</v>
      </c>
      <c r="U40" s="2"/>
      <c r="V40" s="7">
        <f t="shared" si="33"/>
        <v>1.9474606575282978E-4</v>
      </c>
      <c r="W40" s="2"/>
      <c r="X40" s="6">
        <f t="shared" si="34"/>
        <v>-7.0399999999999991</v>
      </c>
      <c r="Y40" s="2"/>
      <c r="Z40" s="7">
        <f t="shared" si="35"/>
        <v>-0.80091012514220705</v>
      </c>
    </row>
    <row r="41" spans="1:26" s="29" customFormat="1" outlineLevel="1" collapsed="1" x14ac:dyDescent="0.3">
      <c r="A41" s="27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1901.7</v>
      </c>
      <c r="E41" s="1"/>
      <c r="F41" s="5">
        <f t="shared" si="28"/>
        <v>3.7502847175454046E-2</v>
      </c>
      <c r="G41" s="1"/>
      <c r="H41" s="1">
        <f>SUM(OSRRefH22_4x_0)</f>
        <v>277.60000000000002</v>
      </c>
      <c r="I41" s="1"/>
      <c r="J41" s="5">
        <f t="shared" si="29"/>
        <v>2.8350310158112214E-2</v>
      </c>
      <c r="K41" s="1"/>
      <c r="L41" s="1">
        <f t="shared" si="30"/>
        <v>1624.1</v>
      </c>
      <c r="M41" s="1"/>
      <c r="N41" s="5">
        <f t="shared" si="31"/>
        <v>5.8505043227665698</v>
      </c>
      <c r="O41" s="14"/>
      <c r="P41" s="1">
        <f>SUM(OSRRefP22_4x_0)</f>
        <v>11295</v>
      </c>
      <c r="Q41" s="1"/>
      <c r="R41" s="5">
        <f t="shared" si="32"/>
        <v>3.589489973358008E-2</v>
      </c>
      <c r="S41" s="1"/>
      <c r="T41" s="1">
        <f>SUM(OSRRefT22_4x_0)</f>
        <v>1066.8499999999999</v>
      </c>
      <c r="U41" s="1"/>
      <c r="V41" s="5">
        <f t="shared" si="33"/>
        <v>2.3636500597088335E-2</v>
      </c>
      <c r="W41" s="1"/>
      <c r="X41" s="1">
        <f t="shared" si="34"/>
        <v>10228.15</v>
      </c>
      <c r="Y41" s="1"/>
      <c r="Z41" s="5">
        <f t="shared" si="35"/>
        <v>9.5872428176407176</v>
      </c>
    </row>
    <row r="42" spans="1:26" s="24" customFormat="1" hidden="1" outlineLevel="2" x14ac:dyDescent="0.3">
      <c r="A42" s="28"/>
      <c r="B42" s="11" t="str">
        <f>CONCATENATE("          ", "6381", " - ", "BANK/CREDIT CARD FEES")</f>
        <v xml:space="preserve">          6381 - BANK/CREDIT CARD FEES</v>
      </c>
      <c r="C42" s="11"/>
      <c r="D42" s="6">
        <v>1901.7</v>
      </c>
      <c r="E42" s="2"/>
      <c r="F42" s="7">
        <f t="shared" si="28"/>
        <v>3.7502847175454046E-2</v>
      </c>
      <c r="G42" s="2"/>
      <c r="H42" s="6">
        <v>277.60000000000002</v>
      </c>
      <c r="I42" s="2"/>
      <c r="J42" s="7">
        <f t="shared" si="29"/>
        <v>2.8350310158112214E-2</v>
      </c>
      <c r="K42" s="2"/>
      <c r="L42" s="6">
        <f t="shared" si="30"/>
        <v>1624.1</v>
      </c>
      <c r="M42" s="2"/>
      <c r="N42" s="7">
        <f t="shared" si="31"/>
        <v>5.8505043227665698</v>
      </c>
      <c r="O42" s="11"/>
      <c r="P42" s="6">
        <v>11295</v>
      </c>
      <c r="Q42" s="2"/>
      <c r="R42" s="7">
        <f t="shared" si="32"/>
        <v>3.589489973358008E-2</v>
      </c>
      <c r="S42" s="2"/>
      <c r="T42" s="6">
        <v>1066.8499999999999</v>
      </c>
      <c r="U42" s="2"/>
      <c r="V42" s="7">
        <f t="shared" si="33"/>
        <v>2.3636500597088335E-2</v>
      </c>
      <c r="W42" s="2"/>
      <c r="X42" s="6">
        <f t="shared" si="34"/>
        <v>10228.15</v>
      </c>
      <c r="Y42" s="2"/>
      <c r="Z42" s="7">
        <f t="shared" si="35"/>
        <v>9.5872428176407176</v>
      </c>
    </row>
    <row r="43" spans="1:26" s="29" customFormat="1" outlineLevel="1" collapsed="1" x14ac:dyDescent="0.3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14007.34</v>
      </c>
      <c r="E43" s="1"/>
      <c r="F43" s="5">
        <f t="shared" si="28"/>
        <v>0.27623449090530811</v>
      </c>
      <c r="G43" s="1"/>
      <c r="H43" s="1">
        <f>SUM(OSRRefH22_5x_0)</f>
        <v>13902.32</v>
      </c>
      <c r="I43" s="1"/>
      <c r="J43" s="5">
        <f t="shared" si="29"/>
        <v>1.4197949708837412</v>
      </c>
      <c r="K43" s="1"/>
      <c r="L43" s="1">
        <f t="shared" si="30"/>
        <v>105.02000000000044</v>
      </c>
      <c r="M43" s="1"/>
      <c r="N43" s="5">
        <f t="shared" si="31"/>
        <v>7.5541348494352336E-3</v>
      </c>
      <c r="O43" s="14"/>
      <c r="P43" s="1">
        <f>SUM(OSRRefP22_5x_0)</f>
        <v>84044.04</v>
      </c>
      <c r="Q43" s="1"/>
      <c r="R43" s="5">
        <f t="shared" si="32"/>
        <v>0.26708741823860055</v>
      </c>
      <c r="S43" s="1"/>
      <c r="T43" s="1">
        <f>SUM(OSRRefT22_5x_0)</f>
        <v>83379.199999999997</v>
      </c>
      <c r="U43" s="1"/>
      <c r="V43" s="5">
        <f t="shared" si="33"/>
        <v>1.8473004739042489</v>
      </c>
      <c r="W43" s="1"/>
      <c r="X43" s="1">
        <f t="shared" si="34"/>
        <v>664.83999999999651</v>
      </c>
      <c r="Y43" s="1"/>
      <c r="Z43" s="5">
        <f t="shared" si="35"/>
        <v>7.973691280319271E-3</v>
      </c>
    </row>
    <row r="44" spans="1:26" s="24" customFormat="1" hidden="1" outlineLevel="2" x14ac:dyDescent="0.3">
      <c r="A44" s="28"/>
      <c r="B44" s="11" t="str">
        <f>CONCATENATE("          ", "6321", " - ", "BUILDING DEPRECIATION")</f>
        <v xml:space="preserve">          6321 - BUILDING DEPRECIATION</v>
      </c>
      <c r="C44" s="11"/>
      <c r="D44" s="6">
        <v>10597.26</v>
      </c>
      <c r="E44" s="2"/>
      <c r="F44" s="7">
        <f t="shared" si="28"/>
        <v>0.20898534062078777</v>
      </c>
      <c r="G44" s="2"/>
      <c r="H44" s="6">
        <v>10597.26</v>
      </c>
      <c r="I44" s="2"/>
      <c r="J44" s="7">
        <f t="shared" si="29"/>
        <v>1.0822608351086318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>
        <v>63583.56</v>
      </c>
      <c r="Q44" s="2"/>
      <c r="R44" s="7">
        <f t="shared" si="32"/>
        <v>0.20206511827393298</v>
      </c>
      <c r="S44" s="2"/>
      <c r="T44" s="6">
        <v>63583.56</v>
      </c>
      <c r="U44" s="2"/>
      <c r="V44" s="7">
        <f t="shared" si="33"/>
        <v>1.4087199267985209</v>
      </c>
      <c r="W44" s="2"/>
      <c r="X44" s="6">
        <f t="shared" si="34"/>
        <v>0</v>
      </c>
      <c r="Y44" s="2"/>
      <c r="Z44" s="7">
        <f t="shared" si="35"/>
        <v>0</v>
      </c>
    </row>
    <row r="45" spans="1:26" s="24" customFormat="1" hidden="1" outlineLevel="2" x14ac:dyDescent="0.3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3410.08</v>
      </c>
      <c r="E45" s="2"/>
      <c r="F45" s="7">
        <f t="shared" si="28"/>
        <v>6.7249150284520331E-2</v>
      </c>
      <c r="G45" s="2"/>
      <c r="H45" s="6">
        <v>3305.06</v>
      </c>
      <c r="I45" s="2"/>
      <c r="J45" s="7">
        <f t="shared" si="29"/>
        <v>0.33753413577510932</v>
      </c>
      <c r="K45" s="2"/>
      <c r="L45" s="6">
        <f t="shared" si="30"/>
        <v>105.01999999999998</v>
      </c>
      <c r="M45" s="2"/>
      <c r="N45" s="7">
        <f t="shared" si="31"/>
        <v>3.177551996030329E-2</v>
      </c>
      <c r="O45" s="11"/>
      <c r="P45" s="6">
        <v>20460.48</v>
      </c>
      <c r="Q45" s="2"/>
      <c r="R45" s="7">
        <f t="shared" si="32"/>
        <v>6.5022299964667601E-2</v>
      </c>
      <c r="S45" s="2"/>
      <c r="T45" s="6">
        <v>19795.64</v>
      </c>
      <c r="U45" s="2"/>
      <c r="V45" s="7">
        <f t="shared" si="33"/>
        <v>0.43858054710572786</v>
      </c>
      <c r="W45" s="2"/>
      <c r="X45" s="6">
        <f t="shared" si="34"/>
        <v>664.84000000000015</v>
      </c>
      <c r="Y45" s="2"/>
      <c r="Z45" s="7">
        <f t="shared" si="35"/>
        <v>3.3585173300787453E-2</v>
      </c>
    </row>
    <row r="46" spans="1:26" s="29" customFormat="1" outlineLevel="1" collapsed="1" x14ac:dyDescent="0.3">
      <c r="A46" s="27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SUM(OSRRefD22_6x_0)</f>
        <v>0</v>
      </c>
      <c r="E46" s="1"/>
      <c r="F46" s="5">
        <f t="shared" ref="F46:F58" si="36">IF(D$12=0,0,D46/D$12)</f>
        <v>0</v>
      </c>
      <c r="G46" s="1"/>
      <c r="H46" s="1">
        <f>SUM(OSRRefH22_6x_0)</f>
        <v>10</v>
      </c>
      <c r="I46" s="1"/>
      <c r="J46" s="5">
        <f t="shared" ref="J46:J58" si="37">IF(H$12=0,0,H46/H$12)</f>
        <v>1.0212647751481343E-3</v>
      </c>
      <c r="K46" s="1"/>
      <c r="L46" s="1">
        <f t="shared" ref="L46:L58" si="38">+D46-H46</f>
        <v>-10</v>
      </c>
      <c r="M46" s="1"/>
      <c r="N46" s="5">
        <f t="shared" ref="N46:N58" si="39">IF(H46=0,0,L46/H46)</f>
        <v>-1</v>
      </c>
      <c r="O46" s="14"/>
      <c r="P46" s="1">
        <f>SUM(OSRRefP22_6x_0)</f>
        <v>0</v>
      </c>
      <c r="Q46" s="1"/>
      <c r="R46" s="5">
        <f t="shared" ref="R46:R58" si="40">IF(P$12=0,0,P46/P$12)</f>
        <v>0</v>
      </c>
      <c r="S46" s="1"/>
      <c r="T46" s="1">
        <f>SUM(OSRRefT22_6x_0)</f>
        <v>10</v>
      </c>
      <c r="U46" s="1"/>
      <c r="V46" s="5">
        <f t="shared" ref="V46:V58" si="41">IF(T$12=0,0,T46/T$12)</f>
        <v>2.2155411348444802E-4</v>
      </c>
      <c r="W46" s="1"/>
      <c r="X46" s="1">
        <f t="shared" ref="X46:X58" si="42">+P46-T46</f>
        <v>-10</v>
      </c>
      <c r="Y46" s="1"/>
      <c r="Z46" s="5">
        <f t="shared" ref="Z46:Z58" si="43">IF(T46=0,0,X46/T46)</f>
        <v>-1</v>
      </c>
    </row>
    <row r="47" spans="1:26" s="24" customFormat="1" hidden="1" outlineLevel="2" x14ac:dyDescent="0.3">
      <c r="A47" s="28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36"/>
        <v>0</v>
      </c>
      <c r="G47" s="2"/>
      <c r="H47" s="6">
        <v>10</v>
      </c>
      <c r="I47" s="2"/>
      <c r="J47" s="7">
        <f t="shared" si="37"/>
        <v>1.0212647751481343E-3</v>
      </c>
      <c r="K47" s="2"/>
      <c r="L47" s="6">
        <f t="shared" si="38"/>
        <v>-10</v>
      </c>
      <c r="M47" s="2"/>
      <c r="N47" s="7">
        <f t="shared" si="39"/>
        <v>-1</v>
      </c>
      <c r="O47" s="11"/>
      <c r="P47" s="6"/>
      <c r="Q47" s="2"/>
      <c r="R47" s="7">
        <f t="shared" si="40"/>
        <v>0</v>
      </c>
      <c r="S47" s="2"/>
      <c r="T47" s="6">
        <v>10</v>
      </c>
      <c r="U47" s="2"/>
      <c r="V47" s="7">
        <f t="shared" si="41"/>
        <v>2.2155411348444802E-4</v>
      </c>
      <c r="W47" s="2"/>
      <c r="X47" s="6">
        <f t="shared" si="42"/>
        <v>-10</v>
      </c>
      <c r="Y47" s="2"/>
      <c r="Z47" s="7">
        <f t="shared" si="43"/>
        <v>-1</v>
      </c>
    </row>
    <row r="48" spans="1:26" s="29" customFormat="1" outlineLevel="1" collapsed="1" x14ac:dyDescent="0.3">
      <c r="A48" s="27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SUM(OSRRefD22_7x_0)</f>
        <v>925.97</v>
      </c>
      <c r="E48" s="1"/>
      <c r="F48" s="5">
        <f t="shared" si="36"/>
        <v>1.8260772676581574E-2</v>
      </c>
      <c r="G48" s="1"/>
      <c r="H48" s="1">
        <f>SUM(OSRRefH22_7x_0)</f>
        <v>206.67</v>
      </c>
      <c r="I48" s="1"/>
      <c r="J48" s="5">
        <f t="shared" si="37"/>
        <v>2.1106479107986492E-2</v>
      </c>
      <c r="K48" s="1"/>
      <c r="L48" s="1">
        <f t="shared" si="38"/>
        <v>719.30000000000007</v>
      </c>
      <c r="M48" s="1"/>
      <c r="N48" s="5">
        <f t="shared" si="39"/>
        <v>3.4804277350365322</v>
      </c>
      <c r="O48" s="14"/>
      <c r="P48" s="1">
        <f>SUM(OSRRefP22_7x_0)</f>
        <v>1784.76</v>
      </c>
      <c r="Q48" s="1"/>
      <c r="R48" s="5">
        <f t="shared" si="40"/>
        <v>5.671870849801185E-3</v>
      </c>
      <c r="S48" s="1"/>
      <c r="T48" s="1">
        <f>SUM(OSRRefT22_7x_0)</f>
        <v>1000.07</v>
      </c>
      <c r="U48" s="1"/>
      <c r="V48" s="5">
        <f t="shared" si="41"/>
        <v>2.2156962227239195E-2</v>
      </c>
      <c r="W48" s="1"/>
      <c r="X48" s="1">
        <f t="shared" si="42"/>
        <v>784.68999999999994</v>
      </c>
      <c r="Y48" s="1"/>
      <c r="Z48" s="5">
        <f t="shared" si="43"/>
        <v>0.78463507554471179</v>
      </c>
    </row>
    <row r="49" spans="1:26" s="24" customFormat="1" hidden="1" outlineLevel="2" x14ac:dyDescent="0.3">
      <c r="A49" s="28"/>
      <c r="B49" s="11" t="str">
        <f>CONCATENATE("          ", "6351", " - ", "EQUIPMENT RENTAL")</f>
        <v xml:space="preserve">          6351 - EQUIPMENT RENTAL</v>
      </c>
      <c r="C49" s="11"/>
      <c r="D49" s="6">
        <v>925.97</v>
      </c>
      <c r="E49" s="2"/>
      <c r="F49" s="7">
        <f t="shared" si="36"/>
        <v>1.8260772676581574E-2</v>
      </c>
      <c r="G49" s="2"/>
      <c r="H49" s="6">
        <v>206.67</v>
      </c>
      <c r="I49" s="2"/>
      <c r="J49" s="7">
        <f t="shared" si="37"/>
        <v>2.1106479107986492E-2</v>
      </c>
      <c r="K49" s="2"/>
      <c r="L49" s="6">
        <f t="shared" si="38"/>
        <v>719.30000000000007</v>
      </c>
      <c r="M49" s="2"/>
      <c r="N49" s="7">
        <f t="shared" si="39"/>
        <v>3.4804277350365322</v>
      </c>
      <c r="O49" s="11"/>
      <c r="P49" s="6">
        <v>1784.76</v>
      </c>
      <c r="Q49" s="2"/>
      <c r="R49" s="7">
        <f t="shared" si="40"/>
        <v>5.671870849801185E-3</v>
      </c>
      <c r="S49" s="2"/>
      <c r="T49" s="6">
        <v>1000.07</v>
      </c>
      <c r="U49" s="2"/>
      <c r="V49" s="7">
        <f t="shared" si="41"/>
        <v>2.2156962227239195E-2</v>
      </c>
      <c r="W49" s="2"/>
      <c r="X49" s="6">
        <f t="shared" si="42"/>
        <v>784.68999999999994</v>
      </c>
      <c r="Y49" s="2"/>
      <c r="Z49" s="7">
        <f t="shared" si="43"/>
        <v>0.78463507554471179</v>
      </c>
    </row>
    <row r="50" spans="1:26" s="29" customFormat="1" outlineLevel="1" collapsed="1" x14ac:dyDescent="0.3">
      <c r="A50" s="27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SUM(OSRRefD22_8x_0)</f>
        <v>0</v>
      </c>
      <c r="E50" s="1"/>
      <c r="F50" s="5">
        <f t="shared" si="36"/>
        <v>0</v>
      </c>
      <c r="G50" s="1"/>
      <c r="H50" s="1">
        <f>SUM(OSRRefH22_8x_0)</f>
        <v>455</v>
      </c>
      <c r="I50" s="1"/>
      <c r="J50" s="5">
        <f t="shared" si="37"/>
        <v>4.6467547269240114E-2</v>
      </c>
      <c r="K50" s="1"/>
      <c r="L50" s="1">
        <f t="shared" si="38"/>
        <v>-455</v>
      </c>
      <c r="M50" s="1"/>
      <c r="N50" s="5">
        <f t="shared" si="39"/>
        <v>-1</v>
      </c>
      <c r="O50" s="14"/>
      <c r="P50" s="1">
        <f>SUM(OSRRefP22_8x_0)</f>
        <v>1520.97</v>
      </c>
      <c r="Q50" s="1"/>
      <c r="R50" s="5">
        <f t="shared" si="40"/>
        <v>4.8335604823181314E-3</v>
      </c>
      <c r="S50" s="1"/>
      <c r="T50" s="1">
        <f>SUM(OSRRefT22_8x_0)</f>
        <v>2410.0700000000002</v>
      </c>
      <c r="U50" s="1"/>
      <c r="V50" s="5">
        <f t="shared" si="41"/>
        <v>5.3396092228546368E-2</v>
      </c>
      <c r="W50" s="1"/>
      <c r="X50" s="1">
        <f t="shared" si="42"/>
        <v>-889.10000000000014</v>
      </c>
      <c r="Y50" s="1"/>
      <c r="Z50" s="5">
        <f t="shared" si="43"/>
        <v>-0.36891044658453909</v>
      </c>
    </row>
    <row r="51" spans="1:26" s="24" customFormat="1" hidden="1" outlineLevel="2" x14ac:dyDescent="0.3">
      <c r="A51" s="28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36"/>
        <v>0</v>
      </c>
      <c r="G51" s="2"/>
      <c r="H51" s="6">
        <v>455</v>
      </c>
      <c r="I51" s="2"/>
      <c r="J51" s="7">
        <f t="shared" si="37"/>
        <v>4.6467547269240114E-2</v>
      </c>
      <c r="K51" s="2"/>
      <c r="L51" s="6">
        <f t="shared" si="38"/>
        <v>-455</v>
      </c>
      <c r="M51" s="2"/>
      <c r="N51" s="7">
        <f t="shared" si="39"/>
        <v>-1</v>
      </c>
      <c r="O51" s="11"/>
      <c r="P51" s="6">
        <v>1520.97</v>
      </c>
      <c r="Q51" s="2"/>
      <c r="R51" s="7">
        <f t="shared" si="40"/>
        <v>4.8335604823181314E-3</v>
      </c>
      <c r="S51" s="2"/>
      <c r="T51" s="6">
        <v>2410.0700000000002</v>
      </c>
      <c r="U51" s="2"/>
      <c r="V51" s="7">
        <f t="shared" si="41"/>
        <v>5.3396092228546368E-2</v>
      </c>
      <c r="W51" s="2"/>
      <c r="X51" s="6">
        <f t="shared" si="42"/>
        <v>-889.10000000000014</v>
      </c>
      <c r="Y51" s="2"/>
      <c r="Z51" s="7">
        <f t="shared" si="43"/>
        <v>-0.36891044658453909</v>
      </c>
    </row>
    <row r="52" spans="1:26" s="29" customFormat="1" outlineLevel="1" collapsed="1" x14ac:dyDescent="0.3">
      <c r="A52" s="27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SUM(OSRRefD22_9x_0)</f>
        <v>871.61</v>
      </c>
      <c r="E52" s="1"/>
      <c r="F52" s="5">
        <f t="shared" si="36"/>
        <v>1.7188755653676974E-2</v>
      </c>
      <c r="G52" s="1"/>
      <c r="H52" s="1">
        <f>SUM(OSRRefH22_9x_0)</f>
        <v>641.28</v>
      </c>
      <c r="I52" s="1"/>
      <c r="J52" s="5">
        <f t="shared" si="37"/>
        <v>6.5491667500699555E-2</v>
      </c>
      <c r="K52" s="1"/>
      <c r="L52" s="1">
        <f t="shared" si="38"/>
        <v>230.33000000000004</v>
      </c>
      <c r="M52" s="1"/>
      <c r="N52" s="5">
        <f t="shared" si="39"/>
        <v>0.35917228043912186</v>
      </c>
      <c r="O52" s="14"/>
      <c r="P52" s="1">
        <f>SUM(OSRRefP22_9x_0)</f>
        <v>5229.66</v>
      </c>
      <c r="Q52" s="1"/>
      <c r="R52" s="5">
        <f t="shared" si="40"/>
        <v>1.6619576922595344E-2</v>
      </c>
      <c r="S52" s="1"/>
      <c r="T52" s="1">
        <f>SUM(OSRRefT22_9x_0)</f>
        <v>3847.68</v>
      </c>
      <c r="U52" s="1"/>
      <c r="V52" s="5">
        <f t="shared" si="41"/>
        <v>8.5246933137184094E-2</v>
      </c>
      <c r="W52" s="1"/>
      <c r="X52" s="1">
        <f t="shared" si="42"/>
        <v>1381.98</v>
      </c>
      <c r="Y52" s="1"/>
      <c r="Z52" s="5">
        <f t="shared" si="43"/>
        <v>0.35917228043912175</v>
      </c>
    </row>
    <row r="53" spans="1:26" s="24" customFormat="1" hidden="1" outlineLevel="2" x14ac:dyDescent="0.3">
      <c r="A53" s="28"/>
      <c r="B53" s="11" t="str">
        <f>CONCATENATE("          ", "6314", " - ", "LIABILITY INSURANCE")</f>
        <v xml:space="preserve">          6314 - LIABILITY INSURANCE</v>
      </c>
      <c r="C53" s="11"/>
      <c r="D53" s="6">
        <v>871.61</v>
      </c>
      <c r="E53" s="2"/>
      <c r="F53" s="7">
        <f t="shared" si="36"/>
        <v>1.7188755653676974E-2</v>
      </c>
      <c r="G53" s="2"/>
      <c r="H53" s="6">
        <v>641.28</v>
      </c>
      <c r="I53" s="2"/>
      <c r="J53" s="7">
        <f t="shared" si="37"/>
        <v>6.5491667500699555E-2</v>
      </c>
      <c r="K53" s="2"/>
      <c r="L53" s="6">
        <f t="shared" si="38"/>
        <v>230.33000000000004</v>
      </c>
      <c r="M53" s="2"/>
      <c r="N53" s="7">
        <f t="shared" si="39"/>
        <v>0.35917228043912186</v>
      </c>
      <c r="O53" s="11"/>
      <c r="P53" s="6">
        <v>5229.66</v>
      </c>
      <c r="Q53" s="2"/>
      <c r="R53" s="7">
        <f t="shared" si="40"/>
        <v>1.6619576922595344E-2</v>
      </c>
      <c r="S53" s="2"/>
      <c r="T53" s="6">
        <v>3847.68</v>
      </c>
      <c r="U53" s="2"/>
      <c r="V53" s="7">
        <f t="shared" si="41"/>
        <v>8.5246933137184094E-2</v>
      </c>
      <c r="W53" s="2"/>
      <c r="X53" s="6">
        <f t="shared" si="42"/>
        <v>1381.98</v>
      </c>
      <c r="Y53" s="2"/>
      <c r="Z53" s="7">
        <f t="shared" si="43"/>
        <v>0.35917228043912175</v>
      </c>
    </row>
    <row r="54" spans="1:26" s="29" customFormat="1" outlineLevel="1" collapsed="1" x14ac:dyDescent="0.3">
      <c r="A54" s="27"/>
      <c r="B54" s="14" t="str">
        <f>CONCATENATE("     ","Interest                                          ")</f>
        <v xml:space="preserve">     Interest                                          </v>
      </c>
      <c r="C54" s="14"/>
      <c r="D54" s="1">
        <f>SUM(OSRRefD22_10x_0)</f>
        <v>7253</v>
      </c>
      <c r="E54" s="1"/>
      <c r="F54" s="5">
        <f t="shared" si="36"/>
        <v>0.14303420653287488</v>
      </c>
      <c r="G54" s="1"/>
      <c r="H54" s="1">
        <f>SUM(OSRRefH22_10x_0)</f>
        <v>7510</v>
      </c>
      <c r="I54" s="1"/>
      <c r="J54" s="5">
        <f t="shared" si="37"/>
        <v>0.76696984613624897</v>
      </c>
      <c r="K54" s="1"/>
      <c r="L54" s="1">
        <f t="shared" si="38"/>
        <v>-257</v>
      </c>
      <c r="M54" s="1"/>
      <c r="N54" s="5">
        <f t="shared" si="39"/>
        <v>-3.4221038615179764E-2</v>
      </c>
      <c r="O54" s="14"/>
      <c r="P54" s="1">
        <f>SUM(OSRRefP22_10x_0)</f>
        <v>43004</v>
      </c>
      <c r="Q54" s="1"/>
      <c r="R54" s="5">
        <f t="shared" si="40"/>
        <v>0.13666438850313217</v>
      </c>
      <c r="S54" s="1"/>
      <c r="T54" s="1">
        <f>SUM(OSRRefT22_10x_0)</f>
        <v>44573.15</v>
      </c>
      <c r="U54" s="1"/>
      <c r="V54" s="5">
        <f t="shared" si="41"/>
        <v>0.98753647334593242</v>
      </c>
      <c r="W54" s="1"/>
      <c r="X54" s="1">
        <f t="shared" si="42"/>
        <v>-1569.1500000000015</v>
      </c>
      <c r="Y54" s="1"/>
      <c r="Z54" s="5">
        <f t="shared" si="43"/>
        <v>-3.5203928822620821E-2</v>
      </c>
    </row>
    <row r="55" spans="1:26" s="24" customFormat="1" hidden="1" outlineLevel="2" x14ac:dyDescent="0.3">
      <c r="A55" s="28"/>
      <c r="B55" s="11" t="str">
        <f>CONCATENATE("          ", "6401", " - ", "INTEREST EXPENSE")</f>
        <v xml:space="preserve">          6401 - INTEREST EXPENSE</v>
      </c>
      <c r="C55" s="11"/>
      <c r="D55" s="6">
        <v>7253</v>
      </c>
      <c r="E55" s="2"/>
      <c r="F55" s="7">
        <f t="shared" si="36"/>
        <v>0.14303420653287488</v>
      </c>
      <c r="G55" s="2"/>
      <c r="H55" s="6">
        <v>7510</v>
      </c>
      <c r="I55" s="2"/>
      <c r="J55" s="7">
        <f t="shared" si="37"/>
        <v>0.76696984613624897</v>
      </c>
      <c r="K55" s="2"/>
      <c r="L55" s="6">
        <f t="shared" si="38"/>
        <v>-257</v>
      </c>
      <c r="M55" s="2"/>
      <c r="N55" s="7">
        <f t="shared" si="39"/>
        <v>-3.4221038615179764E-2</v>
      </c>
      <c r="O55" s="11"/>
      <c r="P55" s="6">
        <v>43004</v>
      </c>
      <c r="Q55" s="2"/>
      <c r="R55" s="7">
        <f t="shared" si="40"/>
        <v>0.13666438850313217</v>
      </c>
      <c r="S55" s="2"/>
      <c r="T55" s="6">
        <v>44573.15</v>
      </c>
      <c r="U55" s="2"/>
      <c r="V55" s="7">
        <f t="shared" si="41"/>
        <v>0.98753647334593242</v>
      </c>
      <c r="W55" s="2"/>
      <c r="X55" s="6">
        <f t="shared" si="42"/>
        <v>-1569.1500000000015</v>
      </c>
      <c r="Y55" s="2"/>
      <c r="Z55" s="7">
        <f t="shared" si="43"/>
        <v>-3.5203928822620821E-2</v>
      </c>
    </row>
    <row r="56" spans="1:26" s="29" customFormat="1" outlineLevel="1" collapsed="1" x14ac:dyDescent="0.3">
      <c r="A56" s="27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SUM(OSRRefD22_11x_0)</f>
        <v>4801</v>
      </c>
      <c r="E56" s="1"/>
      <c r="F56" s="5">
        <f t="shared" si="36"/>
        <v>9.4679060466611384E-2</v>
      </c>
      <c r="G56" s="1"/>
      <c r="H56" s="1">
        <f>SUM(OSRRefH22_11x_0)</f>
        <v>387.52</v>
      </c>
      <c r="I56" s="1"/>
      <c r="J56" s="5">
        <f t="shared" si="37"/>
        <v>3.9576052566540502E-2</v>
      </c>
      <c r="K56" s="1"/>
      <c r="L56" s="1">
        <f t="shared" si="38"/>
        <v>4413.4799999999996</v>
      </c>
      <c r="M56" s="1"/>
      <c r="N56" s="5">
        <f t="shared" si="39"/>
        <v>11.38903798513625</v>
      </c>
      <c r="O56" s="14"/>
      <c r="P56" s="1">
        <f>SUM(OSRRefP22_11x_0)</f>
        <v>21239.66</v>
      </c>
      <c r="Q56" s="1"/>
      <c r="R56" s="5">
        <f t="shared" si="40"/>
        <v>6.7498491905739838E-2</v>
      </c>
      <c r="S56" s="1"/>
      <c r="T56" s="1">
        <f>SUM(OSRRefT22_11x_0)</f>
        <v>12571.59</v>
      </c>
      <c r="U56" s="1"/>
      <c r="V56" s="5">
        <f t="shared" si="41"/>
        <v>0.27852874775399522</v>
      </c>
      <c r="W56" s="1"/>
      <c r="X56" s="1">
        <f t="shared" si="42"/>
        <v>8668.07</v>
      </c>
      <c r="Y56" s="1"/>
      <c r="Z56" s="5">
        <f t="shared" si="43"/>
        <v>0.68949671441718985</v>
      </c>
    </row>
    <row r="57" spans="1:26" s="24" customFormat="1" hidden="1" outlineLevel="2" x14ac:dyDescent="0.3">
      <c r="A57" s="28"/>
      <c r="B57" s="11" t="str">
        <f>CONCATENATE("          ", "6373", " - ", "MAINTENANCE CONTRACTS")</f>
        <v xml:space="preserve">          6373 - MAINTENANCE CONTRACTS</v>
      </c>
      <c r="C57" s="11"/>
      <c r="D57" s="6">
        <v>1109.3399999999999</v>
      </c>
      <c r="E57" s="2"/>
      <c r="F57" s="7">
        <f t="shared" si="36"/>
        <v>2.1876956662784976E-2</v>
      </c>
      <c r="G57" s="2"/>
      <c r="H57" s="6">
        <v>108.52</v>
      </c>
      <c r="I57" s="2"/>
      <c r="J57" s="7">
        <f t="shared" si="37"/>
        <v>1.1082765339907553E-2</v>
      </c>
      <c r="K57" s="2"/>
      <c r="L57" s="6">
        <f t="shared" si="38"/>
        <v>1000.8199999999999</v>
      </c>
      <c r="M57" s="2"/>
      <c r="N57" s="7">
        <f t="shared" si="39"/>
        <v>9.2224474751197931</v>
      </c>
      <c r="O57" s="11"/>
      <c r="P57" s="6">
        <v>2648.48</v>
      </c>
      <c r="Q57" s="2"/>
      <c r="R57" s="7">
        <f t="shared" si="40"/>
        <v>8.4167263431954107E-3</v>
      </c>
      <c r="S57" s="2"/>
      <c r="T57" s="6">
        <v>6596.34</v>
      </c>
      <c r="U57" s="2"/>
      <c r="V57" s="7">
        <f t="shared" si="41"/>
        <v>0.1461446260942004</v>
      </c>
      <c r="W57" s="2"/>
      <c r="X57" s="6">
        <f t="shared" si="42"/>
        <v>-3947.86</v>
      </c>
      <c r="Y57" s="2"/>
      <c r="Z57" s="7">
        <f t="shared" si="43"/>
        <v>-0.59849249735459364</v>
      </c>
    </row>
    <row r="58" spans="1:26" s="24" customFormat="1" hidden="1" outlineLevel="2" x14ac:dyDescent="0.3">
      <c r="A58" s="28"/>
      <c r="B58" s="11" t="str">
        <f>CONCATENATE("          ", "6375", " - ", "OUTSIDE REPAIRS &amp; MAINTENANCE")</f>
        <v xml:space="preserve">          6375 - OUTSIDE REPAIRS &amp; MAINTENANCE</v>
      </c>
      <c r="C58" s="11"/>
      <c r="D58" s="6">
        <v>3691.66</v>
      </c>
      <c r="E58" s="2"/>
      <c r="F58" s="7">
        <f t="shared" si="36"/>
        <v>7.2802103803826401E-2</v>
      </c>
      <c r="G58" s="2"/>
      <c r="H58" s="6">
        <v>279</v>
      </c>
      <c r="I58" s="2"/>
      <c r="J58" s="7">
        <f t="shared" si="37"/>
        <v>2.8493287226632951E-2</v>
      </c>
      <c r="K58" s="2"/>
      <c r="L58" s="6">
        <f t="shared" si="38"/>
        <v>3412.66</v>
      </c>
      <c r="M58" s="2"/>
      <c r="N58" s="7">
        <f t="shared" si="39"/>
        <v>12.231756272401434</v>
      </c>
      <c r="O58" s="11"/>
      <c r="P58" s="6">
        <v>18591.18</v>
      </c>
      <c r="Q58" s="2"/>
      <c r="R58" s="7">
        <f t="shared" si="40"/>
        <v>5.9081765562544429E-2</v>
      </c>
      <c r="S58" s="2"/>
      <c r="T58" s="6">
        <v>5975.25</v>
      </c>
      <c r="U58" s="2"/>
      <c r="V58" s="7">
        <f t="shared" si="41"/>
        <v>0.1323841216597948</v>
      </c>
      <c r="W58" s="2"/>
      <c r="X58" s="6">
        <f t="shared" si="42"/>
        <v>12615.93</v>
      </c>
      <c r="Y58" s="2"/>
      <c r="Z58" s="7">
        <f t="shared" si="43"/>
        <v>2.1113643780594953</v>
      </c>
    </row>
    <row r="59" spans="1:26" s="29" customFormat="1" outlineLevel="1" collapsed="1" x14ac:dyDescent="0.3">
      <c r="A59" s="27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SUM(OSRRefD22_12x_0)</f>
        <v>670.75</v>
      </c>
      <c r="E59" s="1"/>
      <c r="F59" s="5">
        <f t="shared" ref="F59:F63" si="44">IF(D$12=0,0,D59/D$12)</f>
        <v>1.3227656698183625E-2</v>
      </c>
      <c r="G59" s="1"/>
      <c r="H59" s="1">
        <f>SUM(OSRRefH22_12x_0)</f>
        <v>4285.9900000000007</v>
      </c>
      <c r="I59" s="1"/>
      <c r="J59" s="5">
        <f t="shared" ref="J59:J63" si="45">IF(H$12=0,0,H59/H$12)</f>
        <v>0.43771306136371529</v>
      </c>
      <c r="K59" s="1"/>
      <c r="L59" s="1">
        <f t="shared" ref="L59:L63" si="46">+D59-H59</f>
        <v>-3615.2400000000007</v>
      </c>
      <c r="M59" s="1"/>
      <c r="N59" s="5">
        <f t="shared" ref="N59:N63" si="47">IF(H59=0,0,L59/H59)</f>
        <v>-0.84350173472173295</v>
      </c>
      <c r="O59" s="14"/>
      <c r="P59" s="1">
        <f>SUM(OSRRefP22_12x_0)</f>
        <v>29110.84</v>
      </c>
      <c r="Q59" s="1"/>
      <c r="R59" s="5">
        <f t="shared" ref="R59:R63" si="48">IF(P$12=0,0,P59/P$12)</f>
        <v>9.2512676667577898E-2</v>
      </c>
      <c r="S59" s="1"/>
      <c r="T59" s="1">
        <f>SUM(OSRRefT22_12x_0)</f>
        <v>20470.02</v>
      </c>
      <c r="U59" s="1"/>
      <c r="V59" s="5">
        <f t="shared" ref="V59:V63" si="49">IF(T$12=0,0,T59/T$12)</f>
        <v>0.45352171341089209</v>
      </c>
      <c r="W59" s="1"/>
      <c r="X59" s="1">
        <f t="shared" ref="X59:X63" si="50">+P59-T59</f>
        <v>8640.82</v>
      </c>
      <c r="Y59" s="1"/>
      <c r="Z59" s="5">
        <f t="shared" ref="Z59:Z63" si="51">IF(T59=0,0,X59/T59)</f>
        <v>0.42212074047802589</v>
      </c>
    </row>
    <row r="60" spans="1:26" s="24" customFormat="1" hidden="1" outlineLevel="2" x14ac:dyDescent="0.3">
      <c r="A60" s="28"/>
      <c r="B60" s="11" t="str">
        <f>CONCATENATE("          ", "6282", " - ", "JANITORIAL/EXTERMINATOR EXPENS")</f>
        <v xml:space="preserve">          6282 - JANITORIAL/EXTERMINATOR EXPENS</v>
      </c>
      <c r="C60" s="11"/>
      <c r="D60" s="6">
        <v>351.55</v>
      </c>
      <c r="E60" s="2"/>
      <c r="F60" s="7">
        <f t="shared" si="44"/>
        <v>6.9328106034237096E-3</v>
      </c>
      <c r="G60" s="2"/>
      <c r="H60" s="6"/>
      <c r="I60" s="2"/>
      <c r="J60" s="7">
        <f t="shared" si="45"/>
        <v>0</v>
      </c>
      <c r="K60" s="2"/>
      <c r="L60" s="6">
        <f t="shared" si="46"/>
        <v>351.55</v>
      </c>
      <c r="M60" s="2"/>
      <c r="N60" s="7">
        <f t="shared" si="47"/>
        <v>0</v>
      </c>
      <c r="O60" s="11"/>
      <c r="P60" s="6">
        <v>2109.3000000000002</v>
      </c>
      <c r="Q60" s="2"/>
      <c r="R60" s="7">
        <f t="shared" si="48"/>
        <v>6.7032414349748092E-3</v>
      </c>
      <c r="S60" s="2"/>
      <c r="T60" s="6">
        <v>1466.03</v>
      </c>
      <c r="U60" s="2"/>
      <c r="V60" s="7">
        <f t="shared" si="49"/>
        <v>3.2480497699160532E-2</v>
      </c>
      <c r="W60" s="2"/>
      <c r="X60" s="6">
        <f t="shared" si="50"/>
        <v>643.27000000000021</v>
      </c>
      <c r="Y60" s="2"/>
      <c r="Z60" s="7">
        <f t="shared" si="51"/>
        <v>0.43878365381336004</v>
      </c>
    </row>
    <row r="61" spans="1:26" s="24" customFormat="1" hidden="1" outlineLevel="2" x14ac:dyDescent="0.3">
      <c r="A61" s="28"/>
      <c r="B61" s="11" t="str">
        <f>CONCATENATE("          ", "6284", " - ", "TRASH REMOVAL EXPENSE")</f>
        <v xml:space="preserve">          6284 - TRASH REMOVAL EXPENSE</v>
      </c>
      <c r="C61" s="11"/>
      <c r="D61" s="6"/>
      <c r="E61" s="2"/>
      <c r="F61" s="7">
        <f t="shared" si="44"/>
        <v>0</v>
      </c>
      <c r="G61" s="2"/>
      <c r="H61" s="6">
        <v>1000</v>
      </c>
      <c r="I61" s="2"/>
      <c r="J61" s="7">
        <f t="shared" si="45"/>
        <v>0.10212647751481344</v>
      </c>
      <c r="K61" s="2"/>
      <c r="L61" s="6">
        <f t="shared" si="46"/>
        <v>-1000</v>
      </c>
      <c r="M61" s="2"/>
      <c r="N61" s="7">
        <f t="shared" si="47"/>
        <v>-1</v>
      </c>
      <c r="O61" s="11"/>
      <c r="P61" s="6"/>
      <c r="Q61" s="2"/>
      <c r="R61" s="7">
        <f t="shared" si="48"/>
        <v>0</v>
      </c>
      <c r="S61" s="2"/>
      <c r="T61" s="6">
        <v>5761</v>
      </c>
      <c r="U61" s="2"/>
      <c r="V61" s="7">
        <f t="shared" si="49"/>
        <v>0.12763732477839052</v>
      </c>
      <c r="W61" s="2"/>
      <c r="X61" s="6">
        <f t="shared" si="50"/>
        <v>-5761</v>
      </c>
      <c r="Y61" s="2"/>
      <c r="Z61" s="7">
        <f t="shared" si="51"/>
        <v>-1</v>
      </c>
    </row>
    <row r="62" spans="1:26" s="24" customFormat="1" hidden="1" outlineLevel="2" x14ac:dyDescent="0.3">
      <c r="A62" s="28"/>
      <c r="B62" s="11" t="str">
        <f>CONCATENATE("          ", "6285", " - ", "JANITORIAL SERVICES")</f>
        <v xml:space="preserve">          6285 - JANITORIAL SERVICES</v>
      </c>
      <c r="C62" s="11"/>
      <c r="D62" s="6"/>
      <c r="E62" s="2"/>
      <c r="F62" s="7">
        <f t="shared" si="44"/>
        <v>0</v>
      </c>
      <c r="G62" s="2"/>
      <c r="H62" s="6">
        <v>3179.44</v>
      </c>
      <c r="I62" s="2"/>
      <c r="J62" s="7">
        <f t="shared" si="45"/>
        <v>0.32470500766969845</v>
      </c>
      <c r="K62" s="2"/>
      <c r="L62" s="6">
        <f t="shared" si="46"/>
        <v>-3179.44</v>
      </c>
      <c r="M62" s="2"/>
      <c r="N62" s="7">
        <f t="shared" si="47"/>
        <v>-1</v>
      </c>
      <c r="O62" s="11"/>
      <c r="P62" s="6">
        <v>25353.48</v>
      </c>
      <c r="Q62" s="2"/>
      <c r="R62" s="7">
        <f t="shared" si="48"/>
        <v>8.0571989596930307E-2</v>
      </c>
      <c r="S62" s="2"/>
      <c r="T62" s="6">
        <v>12770.81</v>
      </c>
      <c r="U62" s="2"/>
      <c r="V62" s="7">
        <f t="shared" si="49"/>
        <v>0.28294254880283237</v>
      </c>
      <c r="W62" s="2"/>
      <c r="X62" s="6">
        <f t="shared" si="50"/>
        <v>12582.67</v>
      </c>
      <c r="Y62" s="2"/>
      <c r="Z62" s="7">
        <f t="shared" si="51"/>
        <v>0.98526796655811189</v>
      </c>
    </row>
    <row r="63" spans="1:26" s="24" customFormat="1" hidden="1" outlineLevel="2" x14ac:dyDescent="0.3">
      <c r="A63" s="28"/>
      <c r="B63" s="11" t="str">
        <f>CONCATENATE("          ", "6286", " - ", "LAUNDRY EXPENSE")</f>
        <v xml:space="preserve">          6286 - LAUNDRY EXPENSE</v>
      </c>
      <c r="C63" s="11"/>
      <c r="D63" s="6">
        <v>319.2</v>
      </c>
      <c r="E63" s="2"/>
      <c r="F63" s="7">
        <f t="shared" si="44"/>
        <v>6.294846094759915E-3</v>
      </c>
      <c r="G63" s="2"/>
      <c r="H63" s="6">
        <v>106.55</v>
      </c>
      <c r="I63" s="2"/>
      <c r="J63" s="7">
        <f t="shared" si="45"/>
        <v>1.0881576179203371E-2</v>
      </c>
      <c r="K63" s="2"/>
      <c r="L63" s="6">
        <f t="shared" si="46"/>
        <v>212.64999999999998</v>
      </c>
      <c r="M63" s="2"/>
      <c r="N63" s="7">
        <f t="shared" si="47"/>
        <v>1.9957766306898168</v>
      </c>
      <c r="O63" s="11"/>
      <c r="P63" s="6">
        <v>1648.06</v>
      </c>
      <c r="Q63" s="2"/>
      <c r="R63" s="7">
        <f t="shared" si="48"/>
        <v>5.2374456356727743E-3</v>
      </c>
      <c r="S63" s="2"/>
      <c r="T63" s="6">
        <v>472.18</v>
      </c>
      <c r="U63" s="2"/>
      <c r="V63" s="7">
        <f t="shared" si="49"/>
        <v>1.0461342130508667E-2</v>
      </c>
      <c r="W63" s="2"/>
      <c r="X63" s="6">
        <f t="shared" si="50"/>
        <v>1175.8799999999999</v>
      </c>
      <c r="Y63" s="2"/>
      <c r="Z63" s="7">
        <f t="shared" si="51"/>
        <v>2.4903214875682997</v>
      </c>
    </row>
    <row r="64" spans="1:26" s="29" customFormat="1" outlineLevel="1" collapsed="1" x14ac:dyDescent="0.3">
      <c r="A64" s="27"/>
      <c r="B64" s="14" t="str">
        <f>CONCATENATE("     ","Subscriptions &amp; Dues                              ")</f>
        <v xml:space="preserve">     Subscriptions &amp; Dues                              </v>
      </c>
      <c r="C64" s="14"/>
      <c r="D64" s="1">
        <f>SUM(OSRRefD22_13x_0)</f>
        <v>802.63</v>
      </c>
      <c r="E64" s="1"/>
      <c r="F64" s="5">
        <f t="shared" ref="F64:F72" si="52">IF(D$12=0,0,D64/D$12)</f>
        <v>1.5828422058387064E-2</v>
      </c>
      <c r="G64" s="1"/>
      <c r="H64" s="1">
        <f>SUM(OSRRefH22_13x_0)</f>
        <v>262.83999999999997</v>
      </c>
      <c r="I64" s="1"/>
      <c r="J64" s="5">
        <f t="shared" ref="J64:J72" si="53">IF(H$12=0,0,H64/H$12)</f>
        <v>2.6842923349993563E-2</v>
      </c>
      <c r="K64" s="1"/>
      <c r="L64" s="1">
        <f t="shared" ref="L64:L72" si="54">+D64-H64</f>
        <v>539.79</v>
      </c>
      <c r="M64" s="1"/>
      <c r="N64" s="5">
        <f t="shared" ref="N64:N72" si="55">IF(H64=0,0,L64/H64)</f>
        <v>2.0536828488814489</v>
      </c>
      <c r="O64" s="14"/>
      <c r="P64" s="1">
        <f>SUM(OSRRefP22_13x_0)</f>
        <v>2510.52</v>
      </c>
      <c r="Q64" s="1"/>
      <c r="R64" s="5">
        <f t="shared" ref="R64:R72" si="56">IF(P$12=0,0,P64/P$12)</f>
        <v>7.9782969171445298E-3</v>
      </c>
      <c r="S64" s="1"/>
      <c r="T64" s="1">
        <f>SUM(OSRRefT22_13x_0)</f>
        <v>534.16999999999996</v>
      </c>
      <c r="U64" s="1"/>
      <c r="V64" s="5">
        <f t="shared" ref="V64:V72" si="57">IF(T$12=0,0,T64/T$12)</f>
        <v>1.1834756079998759E-2</v>
      </c>
      <c r="W64" s="1"/>
      <c r="X64" s="1">
        <f t="shared" ref="X64:X72" si="58">+P64-T64</f>
        <v>1976.35</v>
      </c>
      <c r="Y64" s="1"/>
      <c r="Z64" s="5">
        <f t="shared" ref="Z64:Z72" si="59">IF(T64=0,0,X64/T64)</f>
        <v>3.6998521070071329</v>
      </c>
    </row>
    <row r="65" spans="1:26" s="24" customFormat="1" hidden="1" outlineLevel="2" x14ac:dyDescent="0.3">
      <c r="A65" s="28"/>
      <c r="B65" s="11" t="str">
        <f>CONCATENATE("          ", "6275", " - ", "SUBSCRIPTIONS")</f>
        <v xml:space="preserve">          6275 - SUBSCRIPTIONS</v>
      </c>
      <c r="C65" s="11"/>
      <c r="D65" s="6">
        <v>802.63</v>
      </c>
      <c r="E65" s="2"/>
      <c r="F65" s="7">
        <f t="shared" si="52"/>
        <v>1.5828422058387064E-2</v>
      </c>
      <c r="G65" s="2"/>
      <c r="H65" s="6">
        <v>262.83999999999997</v>
      </c>
      <c r="I65" s="2"/>
      <c r="J65" s="7">
        <f t="shared" si="53"/>
        <v>2.6842923349993563E-2</v>
      </c>
      <c r="K65" s="2"/>
      <c r="L65" s="6">
        <f t="shared" si="54"/>
        <v>539.79</v>
      </c>
      <c r="M65" s="2"/>
      <c r="N65" s="7">
        <f t="shared" si="55"/>
        <v>2.0536828488814489</v>
      </c>
      <c r="O65" s="11"/>
      <c r="P65" s="6">
        <v>2510.52</v>
      </c>
      <c r="Q65" s="2"/>
      <c r="R65" s="7">
        <f t="shared" si="56"/>
        <v>7.9782969171445298E-3</v>
      </c>
      <c r="S65" s="2"/>
      <c r="T65" s="6">
        <v>534.16999999999996</v>
      </c>
      <c r="U65" s="2"/>
      <c r="V65" s="7">
        <f t="shared" si="57"/>
        <v>1.1834756079998759E-2</v>
      </c>
      <c r="W65" s="2"/>
      <c r="X65" s="6">
        <f t="shared" si="58"/>
        <v>1976.35</v>
      </c>
      <c r="Y65" s="2"/>
      <c r="Z65" s="7">
        <f t="shared" si="59"/>
        <v>3.6998521070071329</v>
      </c>
    </row>
    <row r="66" spans="1:26" s="29" customFormat="1" outlineLevel="1" collapsed="1" x14ac:dyDescent="0.3">
      <c r="A66" s="27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SUM(OSRRefD22_14x_0)</f>
        <v>913.6</v>
      </c>
      <c r="E66" s="1"/>
      <c r="F66" s="5">
        <f t="shared" si="52"/>
        <v>1.8016827669713843E-2</v>
      </c>
      <c r="G66" s="1"/>
      <c r="H66" s="1">
        <f>SUM(OSRRefH22_14x_0)</f>
        <v>18.86</v>
      </c>
      <c r="I66" s="1"/>
      <c r="J66" s="5">
        <f t="shared" si="53"/>
        <v>1.9261053659293814E-3</v>
      </c>
      <c r="K66" s="1"/>
      <c r="L66" s="1">
        <f t="shared" si="54"/>
        <v>894.74</v>
      </c>
      <c r="M66" s="1"/>
      <c r="N66" s="5">
        <f t="shared" si="55"/>
        <v>47.441145281018031</v>
      </c>
      <c r="O66" s="14"/>
      <c r="P66" s="1">
        <f>SUM(OSRRefP22_14x_0)</f>
        <v>10070.91</v>
      </c>
      <c r="Q66" s="1"/>
      <c r="R66" s="5">
        <f t="shared" si="56"/>
        <v>3.2004807850899424E-2</v>
      </c>
      <c r="S66" s="1"/>
      <c r="T66" s="1">
        <f>SUM(OSRRefT22_14x_0)</f>
        <v>7505.36</v>
      </c>
      <c r="U66" s="1"/>
      <c r="V66" s="5">
        <f t="shared" si="57"/>
        <v>0.16628433811816368</v>
      </c>
      <c r="W66" s="1"/>
      <c r="X66" s="1">
        <f t="shared" si="58"/>
        <v>2565.5500000000002</v>
      </c>
      <c r="Y66" s="1"/>
      <c r="Z66" s="5">
        <f t="shared" si="59"/>
        <v>0.34182903951309468</v>
      </c>
    </row>
    <row r="67" spans="1:26" s="24" customFormat="1" hidden="1" outlineLevel="2" x14ac:dyDescent="0.3">
      <c r="A67" s="28"/>
      <c r="B67" s="11" t="str">
        <f>CONCATENATE("          ", "6234", " - ", "EXPENDABLE SUPPLIES &amp; EQUIPMEN")</f>
        <v xml:space="preserve">          6234 - EXPENDABLE SUPPLIES &amp; EQUIPMEN</v>
      </c>
      <c r="C67" s="11"/>
      <c r="D67" s="6"/>
      <c r="E67" s="2"/>
      <c r="F67" s="7">
        <f t="shared" si="52"/>
        <v>0</v>
      </c>
      <c r="G67" s="2"/>
      <c r="H67" s="6"/>
      <c r="I67" s="2"/>
      <c r="J67" s="7">
        <f t="shared" si="53"/>
        <v>0</v>
      </c>
      <c r="K67" s="2"/>
      <c r="L67" s="6">
        <f t="shared" si="54"/>
        <v>0</v>
      </c>
      <c r="M67" s="2"/>
      <c r="N67" s="7">
        <f t="shared" si="55"/>
        <v>0</v>
      </c>
      <c r="O67" s="11"/>
      <c r="P67" s="6"/>
      <c r="Q67" s="2"/>
      <c r="R67" s="7">
        <f t="shared" si="56"/>
        <v>0</v>
      </c>
      <c r="S67" s="2"/>
      <c r="T67" s="6">
        <v>310.91000000000003</v>
      </c>
      <c r="U67" s="2"/>
      <c r="V67" s="7">
        <f t="shared" si="57"/>
        <v>6.8883389423449737E-3</v>
      </c>
      <c r="W67" s="2"/>
      <c r="X67" s="6">
        <f t="shared" si="58"/>
        <v>-310.91000000000003</v>
      </c>
      <c r="Y67" s="2"/>
      <c r="Z67" s="7">
        <f t="shared" si="59"/>
        <v>-1</v>
      </c>
    </row>
    <row r="68" spans="1:26" s="24" customFormat="1" hidden="1" outlineLevel="2" x14ac:dyDescent="0.3">
      <c r="A68" s="28"/>
      <c r="B68" s="11" t="str">
        <f>CONCATENATE("          ", "6235", " - ", "COVID-19 EXPENSES")</f>
        <v xml:space="preserve">          6235 - COVID-19 EXPENSES</v>
      </c>
      <c r="C68" s="11"/>
      <c r="D68" s="6"/>
      <c r="E68" s="2"/>
      <c r="F68" s="7">
        <f t="shared" si="52"/>
        <v>0</v>
      </c>
      <c r="G68" s="2"/>
      <c r="H68" s="6"/>
      <c r="I68" s="2"/>
      <c r="J68" s="7">
        <f t="shared" si="53"/>
        <v>0</v>
      </c>
      <c r="K68" s="2"/>
      <c r="L68" s="6">
        <f t="shared" si="54"/>
        <v>0</v>
      </c>
      <c r="M68" s="2"/>
      <c r="N68" s="7">
        <f t="shared" si="55"/>
        <v>0</v>
      </c>
      <c r="O68" s="11"/>
      <c r="P68" s="6"/>
      <c r="Q68" s="2"/>
      <c r="R68" s="7">
        <f t="shared" si="56"/>
        <v>0</v>
      </c>
      <c r="S68" s="2"/>
      <c r="T68" s="6">
        <v>6753.97</v>
      </c>
      <c r="U68" s="2"/>
      <c r="V68" s="7">
        <f t="shared" si="57"/>
        <v>0.14963698358505576</v>
      </c>
      <c r="W68" s="2"/>
      <c r="X68" s="6">
        <f t="shared" si="58"/>
        <v>-6753.97</v>
      </c>
      <c r="Y68" s="2"/>
      <c r="Z68" s="7">
        <f t="shared" si="59"/>
        <v>-1</v>
      </c>
    </row>
    <row r="69" spans="1:26" s="24" customFormat="1" hidden="1" outlineLevel="2" x14ac:dyDescent="0.3">
      <c r="A69" s="28"/>
      <c r="B69" s="11" t="str">
        <f>CONCATENATE("          ", "6237", " - ", "JANITORIAL SUPPLIES")</f>
        <v xml:space="preserve">          6237 - JANITORIAL SUPPLIES</v>
      </c>
      <c r="C69" s="11"/>
      <c r="D69" s="6">
        <v>815.51</v>
      </c>
      <c r="E69" s="2"/>
      <c r="F69" s="7">
        <f t="shared" si="52"/>
        <v>1.6082424620105448E-2</v>
      </c>
      <c r="G69" s="2"/>
      <c r="H69" s="6">
        <v>18.86</v>
      </c>
      <c r="I69" s="2"/>
      <c r="J69" s="7">
        <f t="shared" si="53"/>
        <v>1.9261053659293814E-3</v>
      </c>
      <c r="K69" s="2"/>
      <c r="L69" s="6">
        <f t="shared" si="54"/>
        <v>796.65</v>
      </c>
      <c r="M69" s="2"/>
      <c r="N69" s="7">
        <f t="shared" si="55"/>
        <v>42.240190880169671</v>
      </c>
      <c r="O69" s="11"/>
      <c r="P69" s="6">
        <v>5002.7299999999996</v>
      </c>
      <c r="Q69" s="2"/>
      <c r="R69" s="7">
        <f t="shared" si="56"/>
        <v>1.589840564357442E-2</v>
      </c>
      <c r="S69" s="2"/>
      <c r="T69" s="6">
        <v>286.91000000000003</v>
      </c>
      <c r="U69" s="2"/>
      <c r="V69" s="7">
        <f t="shared" si="57"/>
        <v>6.3566090699822986E-3</v>
      </c>
      <c r="W69" s="2"/>
      <c r="X69" s="6">
        <f t="shared" si="58"/>
        <v>4715.82</v>
      </c>
      <c r="Y69" s="2"/>
      <c r="Z69" s="7">
        <f t="shared" si="59"/>
        <v>16.436582900561149</v>
      </c>
    </row>
    <row r="70" spans="1:26" s="24" customFormat="1" hidden="1" outlineLevel="2" x14ac:dyDescent="0.3">
      <c r="A70" s="28"/>
      <c r="B70" s="11" t="str">
        <f>CONCATENATE("          ", "6239", " - ", "KITCHEN SUPPLIES")</f>
        <v xml:space="preserve">          6239 - KITCHEN SUPPLIES</v>
      </c>
      <c r="C70" s="11"/>
      <c r="D70" s="6"/>
      <c r="E70" s="2"/>
      <c r="F70" s="7">
        <f t="shared" si="52"/>
        <v>0</v>
      </c>
      <c r="G70" s="2"/>
      <c r="H70" s="6"/>
      <c r="I70" s="2"/>
      <c r="J70" s="7">
        <f t="shared" si="53"/>
        <v>0</v>
      </c>
      <c r="K70" s="2"/>
      <c r="L70" s="6">
        <f t="shared" si="54"/>
        <v>0</v>
      </c>
      <c r="M70" s="2"/>
      <c r="N70" s="7">
        <f t="shared" si="55"/>
        <v>0</v>
      </c>
      <c r="O70" s="11"/>
      <c r="P70" s="6">
        <v>1339.38</v>
      </c>
      <c r="Q70" s="2"/>
      <c r="R70" s="7">
        <f t="shared" si="56"/>
        <v>4.2564772735867633E-3</v>
      </c>
      <c r="S70" s="2"/>
      <c r="T70" s="6">
        <v>19.829999999999998</v>
      </c>
      <c r="U70" s="2"/>
      <c r="V70" s="7">
        <f t="shared" si="57"/>
        <v>4.3934180703966041E-4</v>
      </c>
      <c r="W70" s="2"/>
      <c r="X70" s="6">
        <f t="shared" si="58"/>
        <v>1319.5500000000002</v>
      </c>
      <c r="Y70" s="2"/>
      <c r="Z70" s="7">
        <f t="shared" si="59"/>
        <v>66.543116490166426</v>
      </c>
    </row>
    <row r="71" spans="1:26" s="24" customFormat="1" hidden="1" outlineLevel="2" x14ac:dyDescent="0.3">
      <c r="A71" s="28"/>
      <c r="B71" s="11" t="str">
        <f>CONCATENATE("          ", "6241", " - ", "OFFICE EXPENSE")</f>
        <v xml:space="preserve">          6241 - OFFICE EXPENSE</v>
      </c>
      <c r="C71" s="11"/>
      <c r="D71" s="6">
        <v>98.09</v>
      </c>
      <c r="E71" s="2"/>
      <c r="F71" s="7">
        <f t="shared" si="52"/>
        <v>1.9344030496083963E-3</v>
      </c>
      <c r="G71" s="2"/>
      <c r="H71" s="6"/>
      <c r="I71" s="2"/>
      <c r="J71" s="7">
        <f t="shared" si="53"/>
        <v>0</v>
      </c>
      <c r="K71" s="2"/>
      <c r="L71" s="6">
        <f t="shared" si="54"/>
        <v>98.09</v>
      </c>
      <c r="M71" s="2"/>
      <c r="N71" s="7">
        <f t="shared" si="55"/>
        <v>0</v>
      </c>
      <c r="O71" s="11"/>
      <c r="P71" s="6">
        <v>3242.57</v>
      </c>
      <c r="Q71" s="2"/>
      <c r="R71" s="7">
        <f t="shared" si="56"/>
        <v>1.0304712264640529E-2</v>
      </c>
      <c r="S71" s="2"/>
      <c r="T71" s="6">
        <v>133.74</v>
      </c>
      <c r="U71" s="2"/>
      <c r="V71" s="7">
        <f t="shared" si="57"/>
        <v>2.9630647137410082E-3</v>
      </c>
      <c r="W71" s="2"/>
      <c r="X71" s="6">
        <f t="shared" si="58"/>
        <v>3108.83</v>
      </c>
      <c r="Y71" s="2"/>
      <c r="Z71" s="7">
        <f t="shared" si="59"/>
        <v>23.245326753402122</v>
      </c>
    </row>
    <row r="72" spans="1:26" s="24" customFormat="1" hidden="1" outlineLevel="2" x14ac:dyDescent="0.3">
      <c r="A72" s="28"/>
      <c r="B72" s="11" t="str">
        <f>CONCATENATE("          ", "6243", " - ", "PAPER SUPPLIES")</f>
        <v xml:space="preserve">          6243 - PAPER SUPPLIES</v>
      </c>
      <c r="C72" s="11"/>
      <c r="D72" s="6"/>
      <c r="E72" s="2"/>
      <c r="F72" s="7">
        <f t="shared" si="52"/>
        <v>0</v>
      </c>
      <c r="G72" s="2"/>
      <c r="H72" s="6"/>
      <c r="I72" s="2"/>
      <c r="J72" s="7">
        <f t="shared" si="53"/>
        <v>0</v>
      </c>
      <c r="K72" s="2"/>
      <c r="L72" s="6">
        <f t="shared" si="54"/>
        <v>0</v>
      </c>
      <c r="M72" s="2"/>
      <c r="N72" s="7">
        <f t="shared" si="55"/>
        <v>0</v>
      </c>
      <c r="O72" s="11"/>
      <c r="P72" s="6">
        <v>486.23</v>
      </c>
      <c r="Q72" s="2"/>
      <c r="R72" s="7">
        <f t="shared" si="56"/>
        <v>1.5452126690977108E-3</v>
      </c>
      <c r="S72" s="2"/>
      <c r="T72" s="6"/>
      <c r="U72" s="2"/>
      <c r="V72" s="7">
        <f t="shared" si="57"/>
        <v>0</v>
      </c>
      <c r="W72" s="2"/>
      <c r="X72" s="6">
        <f t="shared" si="58"/>
        <v>486.23</v>
      </c>
      <c r="Y72" s="2"/>
      <c r="Z72" s="7">
        <f t="shared" si="59"/>
        <v>0</v>
      </c>
    </row>
    <row r="73" spans="1:26" s="29" customFormat="1" outlineLevel="1" collapsed="1" x14ac:dyDescent="0.3">
      <c r="A73" s="27"/>
      <c r="B73" s="14" t="str">
        <f>CONCATENATE("     ","Telephone/Data Lines                              ")</f>
        <v xml:space="preserve">     Telephone/Data Lines                              </v>
      </c>
      <c r="C73" s="14"/>
      <c r="D73" s="1">
        <f>SUM(OSRRefD22_15x_0)</f>
        <v>105.15</v>
      </c>
      <c r="E73" s="1"/>
      <c r="F73" s="5">
        <f t="shared" ref="F73:F78" si="60">IF(D$12=0,0,D73/D$12)</f>
        <v>2.0736311618546528E-3</v>
      </c>
      <c r="G73" s="1"/>
      <c r="H73" s="1">
        <f>SUM(OSRRefH22_15x_0)</f>
        <v>366</v>
      </c>
      <c r="I73" s="1"/>
      <c r="J73" s="5">
        <f t="shared" ref="J73:J78" si="61">IF(H$12=0,0,H73/H$12)</f>
        <v>3.7378290770421721E-2</v>
      </c>
      <c r="K73" s="1"/>
      <c r="L73" s="1">
        <f t="shared" ref="L73:L78" si="62">+D73-H73</f>
        <v>-260.85000000000002</v>
      </c>
      <c r="M73" s="1"/>
      <c r="N73" s="5">
        <f t="shared" ref="N73:N78" si="63">IF(H73=0,0,L73/H73)</f>
        <v>-0.7127049180327869</v>
      </c>
      <c r="O73" s="14"/>
      <c r="P73" s="1">
        <f>SUM(OSRRefP22_15x_0)</f>
        <v>1556.93</v>
      </c>
      <c r="Q73" s="1"/>
      <c r="R73" s="5">
        <f t="shared" ref="R73:R78" si="64">IF(P$12=0,0,P73/P$12)</f>
        <v>4.947839419407068E-3</v>
      </c>
      <c r="S73" s="1"/>
      <c r="T73" s="1">
        <f>SUM(OSRRefT22_15x_0)</f>
        <v>1444</v>
      </c>
      <c r="U73" s="1"/>
      <c r="V73" s="5">
        <f t="shared" ref="V73:V78" si="65">IF(T$12=0,0,T73/T$12)</f>
        <v>3.1992413987154293E-2</v>
      </c>
      <c r="W73" s="1"/>
      <c r="X73" s="1">
        <f t="shared" ref="X73:X78" si="66">+P73-T73</f>
        <v>112.93000000000006</v>
      </c>
      <c r="Y73" s="1"/>
      <c r="Z73" s="5">
        <f t="shared" ref="Z73:Z78" si="67">IF(T73=0,0,X73/T73)</f>
        <v>7.8206371191135785E-2</v>
      </c>
    </row>
    <row r="74" spans="1:26" s="24" customFormat="1" hidden="1" outlineLevel="2" x14ac:dyDescent="0.3">
      <c r="A74" s="28"/>
      <c r="B74" s="11" t="str">
        <f>CONCATENATE("          ", "6309", " - ", "TELEPHONE")</f>
        <v xml:space="preserve">          6309 - TELEPHONE</v>
      </c>
      <c r="C74" s="11"/>
      <c r="D74" s="6">
        <v>105.15</v>
      </c>
      <c r="E74" s="2"/>
      <c r="F74" s="7">
        <f t="shared" si="60"/>
        <v>2.0736311618546528E-3</v>
      </c>
      <c r="G74" s="2"/>
      <c r="H74" s="6">
        <v>366</v>
      </c>
      <c r="I74" s="2"/>
      <c r="J74" s="7">
        <f t="shared" si="61"/>
        <v>3.7378290770421721E-2</v>
      </c>
      <c r="K74" s="2"/>
      <c r="L74" s="6">
        <f t="shared" si="62"/>
        <v>-260.85000000000002</v>
      </c>
      <c r="M74" s="2"/>
      <c r="N74" s="7">
        <f t="shared" si="63"/>
        <v>-0.7127049180327869</v>
      </c>
      <c r="O74" s="11"/>
      <c r="P74" s="6">
        <v>1556.93</v>
      </c>
      <c r="Q74" s="2"/>
      <c r="R74" s="7">
        <f t="shared" si="64"/>
        <v>4.947839419407068E-3</v>
      </c>
      <c r="S74" s="2"/>
      <c r="T74" s="6">
        <v>1444</v>
      </c>
      <c r="U74" s="2"/>
      <c r="V74" s="7">
        <f t="shared" si="65"/>
        <v>3.1992413987154293E-2</v>
      </c>
      <c r="W74" s="2"/>
      <c r="X74" s="6">
        <f t="shared" si="66"/>
        <v>112.93000000000006</v>
      </c>
      <c r="Y74" s="2"/>
      <c r="Z74" s="7">
        <f t="shared" si="67"/>
        <v>7.8206371191135785E-2</v>
      </c>
    </row>
    <row r="75" spans="1:26" s="29" customFormat="1" outlineLevel="1" collapsed="1" x14ac:dyDescent="0.3">
      <c r="A75" s="27"/>
      <c r="B75" s="14" t="str">
        <f>CONCATENATE("     ","Training                                          ")</f>
        <v xml:space="preserve">     Training                                          </v>
      </c>
      <c r="C75" s="14"/>
      <c r="D75" s="1">
        <f>SUM(OSRRefD22_16x_0)</f>
        <v>0</v>
      </c>
      <c r="E75" s="1"/>
      <c r="F75" s="5">
        <f t="shared" si="60"/>
        <v>0</v>
      </c>
      <c r="G75" s="1"/>
      <c r="H75" s="1">
        <f>SUM(OSRRefH22_16x_0)</f>
        <v>0</v>
      </c>
      <c r="I75" s="1"/>
      <c r="J75" s="5">
        <f t="shared" si="61"/>
        <v>0</v>
      </c>
      <c r="K75" s="1"/>
      <c r="L75" s="1">
        <f t="shared" si="62"/>
        <v>0</v>
      </c>
      <c r="M75" s="1"/>
      <c r="N75" s="5">
        <f t="shared" si="63"/>
        <v>0</v>
      </c>
      <c r="O75" s="14"/>
      <c r="P75" s="1">
        <f>SUM(OSRRefP22_16x_0)</f>
        <v>0</v>
      </c>
      <c r="Q75" s="1"/>
      <c r="R75" s="5">
        <f t="shared" si="64"/>
        <v>0</v>
      </c>
      <c r="S75" s="1"/>
      <c r="T75" s="1">
        <f>SUM(OSRRefT22_16x_0)</f>
        <v>400</v>
      </c>
      <c r="U75" s="1"/>
      <c r="V75" s="5">
        <f t="shared" si="65"/>
        <v>8.8621645393779213E-3</v>
      </c>
      <c r="W75" s="1"/>
      <c r="X75" s="1">
        <f t="shared" si="66"/>
        <v>-400</v>
      </c>
      <c r="Y75" s="1"/>
      <c r="Z75" s="5">
        <f t="shared" si="67"/>
        <v>-1</v>
      </c>
    </row>
    <row r="76" spans="1:26" s="24" customFormat="1" hidden="1" outlineLevel="2" x14ac:dyDescent="0.3">
      <c r="A76" s="28"/>
      <c r="B76" s="11" t="str">
        <f>CONCATENATE("          ", "6376", " - ", "TRAINING")</f>
        <v xml:space="preserve">          6376 - TRAINING</v>
      </c>
      <c r="C76" s="11"/>
      <c r="D76" s="6"/>
      <c r="E76" s="2"/>
      <c r="F76" s="7">
        <f t="shared" si="60"/>
        <v>0</v>
      </c>
      <c r="G76" s="2"/>
      <c r="H76" s="6"/>
      <c r="I76" s="2"/>
      <c r="J76" s="7">
        <f t="shared" si="61"/>
        <v>0</v>
      </c>
      <c r="K76" s="2"/>
      <c r="L76" s="6">
        <f t="shared" si="62"/>
        <v>0</v>
      </c>
      <c r="M76" s="2"/>
      <c r="N76" s="7">
        <f t="shared" si="63"/>
        <v>0</v>
      </c>
      <c r="O76" s="11"/>
      <c r="P76" s="6"/>
      <c r="Q76" s="2"/>
      <c r="R76" s="7">
        <f t="shared" si="64"/>
        <v>0</v>
      </c>
      <c r="S76" s="2"/>
      <c r="T76" s="6">
        <v>400</v>
      </c>
      <c r="U76" s="2"/>
      <c r="V76" s="7">
        <f t="shared" si="65"/>
        <v>8.8621645393779213E-3</v>
      </c>
      <c r="W76" s="2"/>
      <c r="X76" s="6">
        <f t="shared" si="66"/>
        <v>-400</v>
      </c>
      <c r="Y76" s="2"/>
      <c r="Z76" s="7">
        <f t="shared" si="67"/>
        <v>-1</v>
      </c>
    </row>
    <row r="77" spans="1:26" s="29" customFormat="1" outlineLevel="1" collapsed="1" x14ac:dyDescent="0.3">
      <c r="A77" s="27"/>
      <c r="B77" s="14" t="str">
        <f>CONCATENATE("     ","Utilities                                         ")</f>
        <v xml:space="preserve">     Utilities                                         </v>
      </c>
      <c r="C77" s="14"/>
      <c r="D77" s="1">
        <f>SUM(OSRRefD22_17x_0)</f>
        <v>2400</v>
      </c>
      <c r="E77" s="1"/>
      <c r="F77" s="5">
        <f t="shared" si="60"/>
        <v>4.7329669885412894E-2</v>
      </c>
      <c r="G77" s="1"/>
      <c r="H77" s="1">
        <f>SUM(OSRRefH22_17x_0)</f>
        <v>2312</v>
      </c>
      <c r="I77" s="1"/>
      <c r="J77" s="5">
        <f t="shared" si="61"/>
        <v>0.23611641601424868</v>
      </c>
      <c r="K77" s="1"/>
      <c r="L77" s="1">
        <f t="shared" si="62"/>
        <v>88</v>
      </c>
      <c r="M77" s="1"/>
      <c r="N77" s="5">
        <f t="shared" si="63"/>
        <v>3.8062283737024222E-2</v>
      </c>
      <c r="O77" s="14"/>
      <c r="P77" s="1">
        <f>SUM(OSRRefP22_17x_0)</f>
        <v>12000</v>
      </c>
      <c r="Q77" s="1"/>
      <c r="R77" s="5">
        <f t="shared" si="64"/>
        <v>3.8135351642581757E-2</v>
      </c>
      <c r="S77" s="1"/>
      <c r="T77" s="1">
        <f>SUM(OSRRefT22_17x_0)</f>
        <v>13824</v>
      </c>
      <c r="U77" s="1"/>
      <c r="V77" s="5">
        <f t="shared" si="65"/>
        <v>0.30627640648090093</v>
      </c>
      <c r="W77" s="1"/>
      <c r="X77" s="1">
        <f t="shared" si="66"/>
        <v>-1824</v>
      </c>
      <c r="Y77" s="1"/>
      <c r="Z77" s="5">
        <f t="shared" si="67"/>
        <v>-0.13194444444444445</v>
      </c>
    </row>
    <row r="78" spans="1:26" s="24" customFormat="1" hidden="1" outlineLevel="2" x14ac:dyDescent="0.3">
      <c r="A78" s="28"/>
      <c r="B78" s="11" t="str">
        <f>CONCATENATE("          ", "6274", " - ", "UTILITIES")</f>
        <v xml:space="preserve">          6274 - UTILITIES</v>
      </c>
      <c r="C78" s="11"/>
      <c r="D78" s="6">
        <v>2400</v>
      </c>
      <c r="E78" s="2"/>
      <c r="F78" s="7">
        <f t="shared" si="60"/>
        <v>4.7329669885412894E-2</v>
      </c>
      <c r="G78" s="2"/>
      <c r="H78" s="6">
        <v>2312</v>
      </c>
      <c r="I78" s="2"/>
      <c r="J78" s="7">
        <f t="shared" si="61"/>
        <v>0.23611641601424868</v>
      </c>
      <c r="K78" s="2"/>
      <c r="L78" s="6">
        <f t="shared" si="62"/>
        <v>88</v>
      </c>
      <c r="M78" s="2"/>
      <c r="N78" s="7">
        <f t="shared" si="63"/>
        <v>3.8062283737024222E-2</v>
      </c>
      <c r="O78" s="11"/>
      <c r="P78" s="6">
        <v>12000</v>
      </c>
      <c r="Q78" s="2"/>
      <c r="R78" s="7">
        <f t="shared" si="64"/>
        <v>3.8135351642581757E-2</v>
      </c>
      <c r="S78" s="2"/>
      <c r="T78" s="6">
        <v>13824</v>
      </c>
      <c r="U78" s="2"/>
      <c r="V78" s="7">
        <f t="shared" si="65"/>
        <v>0.30627640648090093</v>
      </c>
      <c r="W78" s="2"/>
      <c r="X78" s="6">
        <f t="shared" si="66"/>
        <v>-1824</v>
      </c>
      <c r="Y78" s="2"/>
      <c r="Z78" s="7">
        <f t="shared" si="67"/>
        <v>-0.13194444444444445</v>
      </c>
    </row>
    <row r="79" spans="1:26" s="53" customFormat="1" x14ac:dyDescent="0.3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collapsed="1" x14ac:dyDescent="0.3">
      <c r="A80" s="10"/>
      <c r="B80" s="25" t="s">
        <v>292</v>
      </c>
      <c r="C80" s="10"/>
      <c r="D80" s="4">
        <f>SUM(OSRRefD25x_0)</f>
        <v>0</v>
      </c>
      <c r="E80" s="4"/>
      <c r="F80" s="12">
        <f t="shared" ref="F80:F81" si="68">IF(D$12=0,0,D80/D$12)</f>
        <v>0</v>
      </c>
      <c r="G80" s="4"/>
      <c r="H80" s="4">
        <f>SUM(OSRRefH25x_0)</f>
        <v>0</v>
      </c>
      <c r="I80" s="4"/>
      <c r="J80" s="12">
        <f t="shared" ref="J80:J81" si="69">IF(H$12=0,0,H80/H$12)</f>
        <v>0</v>
      </c>
      <c r="K80" s="4"/>
      <c r="L80" s="4">
        <f t="shared" ref="L80:L81" si="70">+D80-H80</f>
        <v>0</v>
      </c>
      <c r="M80" s="4"/>
      <c r="N80" s="12">
        <f t="shared" ref="N80:N81" si="71">IF(H80=0,0,L80/H80)</f>
        <v>0</v>
      </c>
      <c r="O80" s="10"/>
      <c r="P80" s="4">
        <f>SUM(OSRRefP25x_0)</f>
        <v>2.33</v>
      </c>
      <c r="Q80" s="4"/>
      <c r="R80" s="12">
        <f t="shared" ref="R80:R81" si="72">IF(P$12=0,0,P80/P$12)</f>
        <v>7.4046141106012917E-6</v>
      </c>
      <c r="S80" s="4"/>
      <c r="T80" s="4">
        <f>SUM(OSRRefT25x_0)</f>
        <v>0</v>
      </c>
      <c r="U80" s="4"/>
      <c r="V80" s="12">
        <f t="shared" ref="V80:V81" si="73">IF(T$12=0,0,T80/T$12)</f>
        <v>0</v>
      </c>
      <c r="W80" s="4"/>
      <c r="X80" s="4">
        <f t="shared" ref="X80:X81" si="74">+P80-T80</f>
        <v>2.33</v>
      </c>
      <c r="Y80" s="4"/>
      <c r="Z80" s="12">
        <f t="shared" ref="Z80:Z81" si="75">IF(T80=0,0,X80/T80)</f>
        <v>0</v>
      </c>
    </row>
    <row r="81" spans="1:26" s="24" customFormat="1" hidden="1" outlineLevel="1" x14ac:dyDescent="0.3">
      <c r="A81" s="44"/>
      <c r="B81" s="11" t="str">
        <f>CONCATENATE("          ", "9150", " - ", "MISC. INCOME")</f>
        <v xml:space="preserve">          9150 - MISC. INCOME</v>
      </c>
      <c r="C81" s="11"/>
      <c r="D81" s="2">
        <f>0</f>
        <v>0</v>
      </c>
      <c r="E81" s="2"/>
      <c r="F81" s="19">
        <f t="shared" si="68"/>
        <v>0</v>
      </c>
      <c r="G81" s="2"/>
      <c r="H81" s="2">
        <f>0</f>
        <v>0</v>
      </c>
      <c r="I81" s="2"/>
      <c r="J81" s="19">
        <f t="shared" si="69"/>
        <v>0</v>
      </c>
      <c r="K81" s="2"/>
      <c r="L81" s="2">
        <f t="shared" si="70"/>
        <v>0</v>
      </c>
      <c r="M81" s="2"/>
      <c r="N81" s="19">
        <f t="shared" si="71"/>
        <v>0</v>
      </c>
      <c r="O81" s="11"/>
      <c r="P81" s="2">
        <f>--2.33</f>
        <v>2.33</v>
      </c>
      <c r="Q81" s="2"/>
      <c r="R81" s="19">
        <f t="shared" si="72"/>
        <v>7.4046141106012917E-6</v>
      </c>
      <c r="S81" s="2"/>
      <c r="T81" s="2">
        <f>0</f>
        <v>0</v>
      </c>
      <c r="U81" s="2"/>
      <c r="V81" s="19">
        <f t="shared" si="73"/>
        <v>0</v>
      </c>
      <c r="W81" s="2"/>
      <c r="X81" s="2">
        <f t="shared" si="74"/>
        <v>2.33</v>
      </c>
      <c r="Y81" s="2"/>
      <c r="Z81" s="19">
        <f t="shared" si="75"/>
        <v>0</v>
      </c>
    </row>
    <row r="82" spans="1:26" x14ac:dyDescent="0.3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3">
      <c r="A83" s="10"/>
      <c r="B83" s="26" t="s">
        <v>276</v>
      </c>
      <c r="C83" s="26"/>
      <c r="D83" s="20">
        <f>+D20-D22+D80</f>
        <v>-45938.509999999987</v>
      </c>
      <c r="E83" s="13"/>
      <c r="F83" s="21">
        <f>IF(D$12=0,0,D83/D$12)</f>
        <v>-0.90593938055322443</v>
      </c>
      <c r="G83" s="13"/>
      <c r="H83" s="20">
        <f>+H20-H22+H80</f>
        <v>-53976.359999999986</v>
      </c>
      <c r="I83" s="13"/>
      <c r="J83" s="21">
        <f>IF(H$12=0,0,H83/H$12)</f>
        <v>-5.5124155158714743</v>
      </c>
      <c r="K83" s="15"/>
      <c r="L83" s="20">
        <f>+D83-H83</f>
        <v>8037.8499999999985</v>
      </c>
      <c r="M83" s="15"/>
      <c r="N83" s="21">
        <f>IF(H83=0,0,L83/H83)</f>
        <v>-0.14891426543027356</v>
      </c>
      <c r="O83" s="25"/>
      <c r="P83" s="20">
        <f>+P20-P22+P80</f>
        <v>-253469.74999999991</v>
      </c>
      <c r="Q83" s="13"/>
      <c r="R83" s="21">
        <f>IF(P$12=0,0,P83/P$12)</f>
        <v>-0.80551317058394034</v>
      </c>
      <c r="S83" s="13"/>
      <c r="T83" s="20">
        <f>+T20-T22+T80</f>
        <v>-357092.34</v>
      </c>
      <c r="U83" s="13"/>
      <c r="V83" s="21">
        <f>IF(T$12=0,0,T83/T$12)</f>
        <v>-7.9115276820787104</v>
      </c>
      <c r="W83" s="15"/>
      <c r="X83" s="20">
        <f>+P83-T83</f>
        <v>103622.59000000011</v>
      </c>
      <c r="Y83" s="15"/>
      <c r="Z83" s="21">
        <f>IF(T83=0,0,X83/T83)</f>
        <v>-0.2901842979885822</v>
      </c>
    </row>
    <row r="84" spans="1:26" x14ac:dyDescent="0.3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3">
      <c r="A85" s="51"/>
      <c r="B85" s="10" t="s">
        <v>127</v>
      </c>
      <c r="C85" s="10"/>
      <c r="D85" s="4">
        <v>6436.12</v>
      </c>
      <c r="E85" s="4"/>
      <c r="F85" s="12">
        <f>IF(D$12=0,0,D85/D$12)</f>
        <v>0.12692476455954319</v>
      </c>
      <c r="G85" s="4"/>
      <c r="H85" s="4">
        <v>2734.91</v>
      </c>
      <c r="I85" s="4"/>
      <c r="J85" s="12">
        <f>IF(H$12=0,0,H85/H$12)</f>
        <v>0.27930672462003842</v>
      </c>
      <c r="K85" s="4"/>
      <c r="L85" s="4">
        <f>+D85-H85</f>
        <v>3701.21</v>
      </c>
      <c r="M85" s="4"/>
      <c r="N85" s="12">
        <f>IF(H85=0,0,L85/H85)</f>
        <v>1.353320584589621</v>
      </c>
      <c r="O85" s="10"/>
      <c r="P85" s="4">
        <v>37876.92</v>
      </c>
      <c r="Q85" s="4"/>
      <c r="R85" s="12">
        <f>IF(P$12=0,0,P85/P$12)</f>
        <v>0.12037080527816148</v>
      </c>
      <c r="S85" s="4"/>
      <c r="T85" s="4">
        <v>8351.06</v>
      </c>
      <c r="U85" s="4"/>
      <c r="V85" s="12">
        <f>IF(T$12=0,0,T85/T$12)</f>
        <v>0.18502116949554345</v>
      </c>
      <c r="W85" s="4"/>
      <c r="X85" s="4">
        <f>+P85-T85</f>
        <v>29525.86</v>
      </c>
      <c r="Y85" s="4"/>
      <c r="Z85" s="12">
        <f>IF(T85=0,0,X85/T85)</f>
        <v>3.5355823093116325</v>
      </c>
    </row>
    <row r="86" spans="1:26" x14ac:dyDescent="0.3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" thickBot="1" x14ac:dyDescent="0.35">
      <c r="A87" s="10"/>
      <c r="B87" s="26" t="s">
        <v>125</v>
      </c>
      <c r="C87" s="26"/>
      <c r="D87" s="32">
        <f>+D83-D85</f>
        <v>-52374.62999999999</v>
      </c>
      <c r="E87" s="13"/>
      <c r="F87" s="35">
        <f>IF(D$12=0,0,D87/D$12)</f>
        <v>-1.0328641451127676</v>
      </c>
      <c r="G87" s="13"/>
      <c r="H87" s="32">
        <f>+H83-H85</f>
        <v>-56711.26999999999</v>
      </c>
      <c r="I87" s="13"/>
      <c r="J87" s="35">
        <f>IF(H$12=0,0,H87/H$12)</f>
        <v>-5.791722240491513</v>
      </c>
      <c r="K87" s="15"/>
      <c r="L87" s="32">
        <f>D87-H87</f>
        <v>4336.6399999999994</v>
      </c>
      <c r="M87" s="15"/>
      <c r="N87" s="35">
        <f>IF(H87=0,0,L87/H87)</f>
        <v>-7.6468751272895139E-2</v>
      </c>
      <c r="O87" s="25"/>
      <c r="P87" s="32">
        <f>+P83-P85</f>
        <v>-291346.66999999993</v>
      </c>
      <c r="Q87" s="13"/>
      <c r="R87" s="35">
        <f>IF(P$12=0,0,P87/P$12)</f>
        <v>-0.92588397586210192</v>
      </c>
      <c r="S87" s="13"/>
      <c r="T87" s="32">
        <f>+T83-T85</f>
        <v>-365443.4</v>
      </c>
      <c r="U87" s="13"/>
      <c r="V87" s="35">
        <f>IF(T$12=0,0,T87/T$12)</f>
        <v>-8.0965488515742532</v>
      </c>
      <c r="W87" s="15"/>
      <c r="X87" s="32">
        <f>P87-T87</f>
        <v>74096.730000000098</v>
      </c>
      <c r="Y87" s="15"/>
      <c r="Z87" s="35">
        <f>IF(T87=0,0,X87/T87)</f>
        <v>-0.20275842989639462</v>
      </c>
    </row>
    <row r="88" spans="1:26" ht="15" thickTop="1" x14ac:dyDescent="0.3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3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" thickBot="1" x14ac:dyDescent="0.35">
      <c r="A90" s="10"/>
      <c r="B90" s="26" t="s">
        <v>293</v>
      </c>
      <c r="C90" s="26"/>
      <c r="D90" s="31">
        <f>SUM(D87:D89)</f>
        <v>-52374.62999999999</v>
      </c>
      <c r="E90" s="13"/>
      <c r="F90" s="33">
        <f>IF(D$12=0,0,D90/D$12)</f>
        <v>-1.0328641451127676</v>
      </c>
      <c r="G90" s="13"/>
      <c r="H90" s="31">
        <f>SUM(H87:H89)</f>
        <v>-56711.26999999999</v>
      </c>
      <c r="I90" s="13"/>
      <c r="J90" s="33">
        <f>IF(H$12=0,0,H90/H$12)</f>
        <v>-5.791722240491513</v>
      </c>
      <c r="K90" s="15"/>
      <c r="L90" s="31">
        <f>+D90-H90</f>
        <v>4336.6399999999994</v>
      </c>
      <c r="M90" s="15"/>
      <c r="N90" s="33">
        <f>IF(H90=0,0,L90/H90)</f>
        <v>-7.6468751272895139E-2</v>
      </c>
      <c r="O90" s="25"/>
      <c r="P90" s="31">
        <f>SUM(P87:P89)</f>
        <v>-291346.66999999993</v>
      </c>
      <c r="Q90" s="13"/>
      <c r="R90" s="33">
        <f>IF(P$12=0,0,P90/P$12)</f>
        <v>-0.92588397586210192</v>
      </c>
      <c r="S90" s="13"/>
      <c r="T90" s="31">
        <f>SUM(T87:T89)</f>
        <v>-365443.4</v>
      </c>
      <c r="U90" s="13"/>
      <c r="V90" s="33">
        <f>IF(T$12=0,0,T90/T$12)</f>
        <v>-8.0965488515742532</v>
      </c>
      <c r="W90" s="15"/>
      <c r="X90" s="31">
        <f>+P90-T90</f>
        <v>74096.730000000098</v>
      </c>
      <c r="Y90" s="15"/>
      <c r="Z90" s="33">
        <f>IF(T90=0,0,X90/T90)</f>
        <v>-0.20275842989639462</v>
      </c>
    </row>
    <row r="91" spans="1:26" ht="15" thickTop="1" x14ac:dyDescent="0.3">
      <c r="A91" s="9"/>
      <c r="C91" s="9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3">
      <c r="A92" s="9"/>
      <c r="B92" s="60">
        <v>44575.854680405093</v>
      </c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3">
      <c r="A93" s="9"/>
      <c r="B93" s="57" t="s">
        <v>56</v>
      </c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3">
      <c r="A94" s="9"/>
      <c r="B94" s="59"/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3"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outlinePr summaryBelow="0" summaryRight="0"/>
  </sheetPr>
  <dimension ref="A2:Z7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","418", " - ", "Nugget")</f>
        <v>Department 418 - Nugget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3">
      <c r="A14" s="10"/>
      <c r="B14" s="25" t="s">
        <v>256</v>
      </c>
      <c r="C14" s="10"/>
      <c r="D14" s="4">
        <f>SUM(OSRRefD16x_0)</f>
        <v>223.3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223.3</v>
      </c>
      <c r="M14" s="4"/>
      <c r="N14" s="12">
        <f t="shared" ref="N14:N15" si="3">IF(H14=0,0,L14/H14)</f>
        <v>0</v>
      </c>
      <c r="O14" s="10"/>
      <c r="P14" s="4">
        <f>SUM(OSRRefP16x_0)</f>
        <v>1349.42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1349.42</v>
      </c>
      <c r="Y14" s="4"/>
      <c r="Z14" s="12">
        <f t="shared" ref="Z14:Z15" si="7">IF(T14=0,0,X14/T14)</f>
        <v>0</v>
      </c>
    </row>
    <row r="15" spans="1:26" s="24" customFormat="1" hidden="1" outlineLevel="1" x14ac:dyDescent="0.3">
      <c r="A15" s="44"/>
      <c r="B15" s="11" t="str">
        <f>CONCATENATE("          ", "5053", " - ", "PURCHASES @ COST-FOOD")</f>
        <v xml:space="preserve">          5053 - PURCHASES @ COST-FOOD</v>
      </c>
      <c r="C15" s="11"/>
      <c r="D15" s="2">
        <v>223.3</v>
      </c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223.3</v>
      </c>
      <c r="M15" s="2"/>
      <c r="N15" s="19">
        <f t="shared" si="3"/>
        <v>0</v>
      </c>
      <c r="O15" s="11"/>
      <c r="P15" s="2">
        <v>1349.42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1349.42</v>
      </c>
      <c r="Y15" s="2"/>
      <c r="Z15" s="19">
        <f t="shared" si="7"/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6" t="s">
        <v>107</v>
      </c>
      <c r="C17" s="26"/>
      <c r="D17" s="20">
        <f>D12-D14</f>
        <v>-223.3</v>
      </c>
      <c r="E17" s="13"/>
      <c r="F17" s="21">
        <f>IF(D$12=0,0,D17/D$12)</f>
        <v>0</v>
      </c>
      <c r="G17" s="13"/>
      <c r="H17" s="20">
        <f>H12-H14</f>
        <v>0</v>
      </c>
      <c r="I17" s="13"/>
      <c r="J17" s="21">
        <f>IF(H$12=0,0,H17/H$12)</f>
        <v>0</v>
      </c>
      <c r="K17" s="15"/>
      <c r="L17" s="20">
        <f>+D17-H17</f>
        <v>-223.3</v>
      </c>
      <c r="M17" s="15"/>
      <c r="N17" s="21">
        <f>IF(H17=0,0,L17/H17)</f>
        <v>0</v>
      </c>
      <c r="O17" s="25"/>
      <c r="P17" s="20">
        <f>P12-P14</f>
        <v>-1349.42</v>
      </c>
      <c r="Q17" s="13"/>
      <c r="R17" s="21">
        <f>IF(P$12=0,0,P17/P$12)</f>
        <v>0</v>
      </c>
      <c r="S17" s="13"/>
      <c r="T17" s="20">
        <f>T12-T14</f>
        <v>0</v>
      </c>
      <c r="U17" s="13"/>
      <c r="V17" s="21">
        <f>IF(T$12=0,0,T17/T$12)</f>
        <v>0</v>
      </c>
      <c r="W17" s="15"/>
      <c r="X17" s="20">
        <f>+P17-T17</f>
        <v>-1349.42</v>
      </c>
      <c r="Y17" s="15"/>
      <c r="Z17" s="21">
        <f>IF(T17=0,0,X17/T17)</f>
        <v>0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294</v>
      </c>
      <c r="C19" s="10"/>
      <c r="D19" s="22">
        <f>SUM(OSRRefD22x_0)</f>
        <v>17424.939999999999</v>
      </c>
      <c r="E19" s="22"/>
      <c r="F19" s="34">
        <f t="shared" ref="F19:F28" si="8">IF(D$12=0,0,D19/D$12)</f>
        <v>0</v>
      </c>
      <c r="G19" s="22"/>
      <c r="H19" s="22">
        <f>SUM(OSRRefH22x_0)</f>
        <v>6944.03</v>
      </c>
      <c r="I19" s="22"/>
      <c r="J19" s="34">
        <f t="shared" ref="J19:J28" si="9">IF(H$12=0,0,H19/H$12)</f>
        <v>0</v>
      </c>
      <c r="K19" s="4"/>
      <c r="L19" s="22">
        <f t="shared" ref="L19:L28" si="10">+D19-H19</f>
        <v>10480.91</v>
      </c>
      <c r="M19" s="4"/>
      <c r="N19" s="34">
        <f t="shared" ref="N19:N28" si="11">IF(H19=0,0,L19/H19)</f>
        <v>1.509341117477891</v>
      </c>
      <c r="O19" s="10"/>
      <c r="P19" s="22">
        <f>SUM(OSRRefP22x_0)</f>
        <v>102264.45</v>
      </c>
      <c r="Q19" s="22"/>
      <c r="R19" s="34">
        <f t="shared" ref="R19:R28" si="12">IF(P$12=0,0,P19/P$12)</f>
        <v>0</v>
      </c>
      <c r="S19" s="22"/>
      <c r="T19" s="22">
        <f>SUM(OSRRefT22x_0)</f>
        <v>52281.650000000016</v>
      </c>
      <c r="U19" s="22"/>
      <c r="V19" s="34">
        <f t="shared" ref="V19:V28" si="13">IF(T$12=0,0,T19/T$12)</f>
        <v>0</v>
      </c>
      <c r="W19" s="4"/>
      <c r="X19" s="22">
        <f t="shared" ref="X19:X28" si="14">+P19-T19</f>
        <v>49982.799999999981</v>
      </c>
      <c r="Y19" s="4"/>
      <c r="Z19" s="34">
        <f t="shared" ref="Z19:Z28" si="15">IF(T19=0,0,X19/T19)</f>
        <v>0.9560295055722221</v>
      </c>
    </row>
    <row r="20" spans="1:26" s="29" customFormat="1" outlineLevel="1" collapsed="1" x14ac:dyDescent="0.3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1745.8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1745.8</v>
      </c>
      <c r="M20" s="1"/>
      <c r="N20" s="5">
        <f t="shared" si="11"/>
        <v>0</v>
      </c>
      <c r="O20" s="14"/>
      <c r="P20" s="1">
        <f>SUM(OSRRefP22_0x_0)</f>
        <v>16959.97</v>
      </c>
      <c r="Q20" s="1"/>
      <c r="R20" s="5">
        <f t="shared" si="12"/>
        <v>0</v>
      </c>
      <c r="S20" s="1"/>
      <c r="T20" s="1">
        <f>SUM(OSRRefT22_0x_0)</f>
        <v>6086.32</v>
      </c>
      <c r="U20" s="1"/>
      <c r="V20" s="5">
        <f t="shared" si="13"/>
        <v>0</v>
      </c>
      <c r="W20" s="1"/>
      <c r="X20" s="1">
        <f t="shared" si="14"/>
        <v>10873.650000000001</v>
      </c>
      <c r="Y20" s="1"/>
      <c r="Z20" s="5">
        <f t="shared" si="15"/>
        <v>1.7865721815481279</v>
      </c>
    </row>
    <row r="21" spans="1:26" s="24" customFormat="1" hidden="1" outlineLevel="2" x14ac:dyDescent="0.3">
      <c r="A21" s="28"/>
      <c r="B21" s="11" t="str">
        <f>CONCATENATE("          ", "6111", " - ", "F.I.C.A.")</f>
        <v xml:space="preserve">          6111 - F.I.C.A.</v>
      </c>
      <c r="C21" s="11"/>
      <c r="D21" s="6">
        <v>424.03</v>
      </c>
      <c r="E21" s="2"/>
      <c r="F21" s="7">
        <f t="shared" si="8"/>
        <v>0</v>
      </c>
      <c r="G21" s="2"/>
      <c r="H21" s="6"/>
      <c r="I21" s="2"/>
      <c r="J21" s="7">
        <f t="shared" si="9"/>
        <v>0</v>
      </c>
      <c r="K21" s="2"/>
      <c r="L21" s="6">
        <f t="shared" si="10"/>
        <v>424.03</v>
      </c>
      <c r="M21" s="2"/>
      <c r="N21" s="7">
        <f t="shared" si="11"/>
        <v>0</v>
      </c>
      <c r="O21" s="11"/>
      <c r="P21" s="6">
        <v>2341.9</v>
      </c>
      <c r="Q21" s="2"/>
      <c r="R21" s="7">
        <f t="shared" si="12"/>
        <v>0</v>
      </c>
      <c r="S21" s="2"/>
      <c r="T21" s="6">
        <v>237.51</v>
      </c>
      <c r="U21" s="2"/>
      <c r="V21" s="7">
        <f t="shared" si="13"/>
        <v>0</v>
      </c>
      <c r="W21" s="2"/>
      <c r="X21" s="6">
        <f t="shared" si="14"/>
        <v>2104.3900000000003</v>
      </c>
      <c r="Y21" s="2"/>
      <c r="Z21" s="7">
        <f t="shared" si="15"/>
        <v>8.8602164119405522</v>
      </c>
    </row>
    <row r="22" spans="1:26" s="24" customFormat="1" hidden="1" outlineLevel="2" x14ac:dyDescent="0.3">
      <c r="A22" s="28"/>
      <c r="B22" s="11" t="str">
        <f>CONCATENATE("          ", "6112", " - ", "COMPENSATION INSURANCE")</f>
        <v xml:space="preserve">          6112 - COMPENSATION INSURANCE</v>
      </c>
      <c r="C22" s="11"/>
      <c r="D22" s="6">
        <v>199.39</v>
      </c>
      <c r="E22" s="2"/>
      <c r="F22" s="7">
        <f t="shared" si="8"/>
        <v>0</v>
      </c>
      <c r="G22" s="2"/>
      <c r="H22" s="6"/>
      <c r="I22" s="2"/>
      <c r="J22" s="7">
        <f t="shared" si="9"/>
        <v>0</v>
      </c>
      <c r="K22" s="2"/>
      <c r="L22" s="6">
        <f t="shared" si="10"/>
        <v>199.39</v>
      </c>
      <c r="M22" s="2"/>
      <c r="N22" s="7">
        <f t="shared" si="11"/>
        <v>0</v>
      </c>
      <c r="O22" s="11"/>
      <c r="P22" s="6">
        <v>999.77</v>
      </c>
      <c r="Q22" s="2"/>
      <c r="R22" s="7">
        <f t="shared" si="12"/>
        <v>0</v>
      </c>
      <c r="S22" s="2"/>
      <c r="T22" s="6"/>
      <c r="U22" s="2"/>
      <c r="V22" s="7">
        <f t="shared" si="13"/>
        <v>0</v>
      </c>
      <c r="W22" s="2"/>
      <c r="X22" s="6">
        <f t="shared" si="14"/>
        <v>999.77</v>
      </c>
      <c r="Y22" s="2"/>
      <c r="Z22" s="7">
        <f t="shared" si="15"/>
        <v>0</v>
      </c>
    </row>
    <row r="23" spans="1:26" s="24" customFormat="1" hidden="1" outlineLevel="2" x14ac:dyDescent="0.3">
      <c r="A23" s="28"/>
      <c r="B23" s="11" t="str">
        <f>CONCATENATE("          ", "6113", " - ", "GROUP INSURANCE")</f>
        <v xml:space="preserve">          6113 - GROUP INSURANCE</v>
      </c>
      <c r="C23" s="11"/>
      <c r="D23" s="6">
        <v>44.18</v>
      </c>
      <c r="E23" s="2"/>
      <c r="F23" s="7">
        <f t="shared" si="8"/>
        <v>0</v>
      </c>
      <c r="G23" s="2"/>
      <c r="H23" s="6"/>
      <c r="I23" s="2"/>
      <c r="J23" s="7">
        <f t="shared" si="9"/>
        <v>0</v>
      </c>
      <c r="K23" s="2"/>
      <c r="L23" s="6">
        <f t="shared" si="10"/>
        <v>44.18</v>
      </c>
      <c r="M23" s="2"/>
      <c r="N23" s="7">
        <f t="shared" si="11"/>
        <v>0</v>
      </c>
      <c r="O23" s="11"/>
      <c r="P23" s="6">
        <v>10097.26</v>
      </c>
      <c r="Q23" s="2"/>
      <c r="R23" s="7">
        <f t="shared" si="12"/>
        <v>0</v>
      </c>
      <c r="S23" s="2"/>
      <c r="T23" s="6">
        <v>4780.67</v>
      </c>
      <c r="U23" s="2"/>
      <c r="V23" s="7">
        <f t="shared" si="13"/>
        <v>0</v>
      </c>
      <c r="W23" s="2"/>
      <c r="X23" s="6">
        <f t="shared" si="14"/>
        <v>5316.59</v>
      </c>
      <c r="Y23" s="2"/>
      <c r="Z23" s="7">
        <f t="shared" si="15"/>
        <v>1.1121014418481092</v>
      </c>
    </row>
    <row r="24" spans="1:26" s="24" customFormat="1" hidden="1" outlineLevel="2" x14ac:dyDescent="0.3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6">
        <v>14.4</v>
      </c>
      <c r="E24" s="2"/>
      <c r="F24" s="7">
        <f t="shared" si="8"/>
        <v>0</v>
      </c>
      <c r="G24" s="2"/>
      <c r="H24" s="6"/>
      <c r="I24" s="2"/>
      <c r="J24" s="7">
        <f t="shared" si="9"/>
        <v>0</v>
      </c>
      <c r="K24" s="2"/>
      <c r="L24" s="6">
        <f t="shared" si="10"/>
        <v>14.4</v>
      </c>
      <c r="M24" s="2"/>
      <c r="N24" s="7">
        <f t="shared" si="11"/>
        <v>0</v>
      </c>
      <c r="O24" s="11"/>
      <c r="P24" s="6">
        <v>73.569999999999993</v>
      </c>
      <c r="Q24" s="2"/>
      <c r="R24" s="7">
        <f t="shared" si="12"/>
        <v>0</v>
      </c>
      <c r="S24" s="2"/>
      <c r="T24" s="6"/>
      <c r="U24" s="2"/>
      <c r="V24" s="7">
        <f t="shared" si="13"/>
        <v>0</v>
      </c>
      <c r="W24" s="2"/>
      <c r="X24" s="6">
        <f t="shared" si="14"/>
        <v>73.569999999999993</v>
      </c>
      <c r="Y24" s="2"/>
      <c r="Z24" s="7">
        <f t="shared" si="15"/>
        <v>0</v>
      </c>
    </row>
    <row r="25" spans="1:26" s="24" customFormat="1" hidden="1" outlineLevel="2" x14ac:dyDescent="0.3">
      <c r="A25" s="28"/>
      <c r="B25" s="11" t="str">
        <f>CONCATENATE("          ", "6115", " - ", "P.E.R.S.")</f>
        <v xml:space="preserve">          6115 - P.E.R.S.</v>
      </c>
      <c r="C25" s="11"/>
      <c r="D25" s="6">
        <v>420.37</v>
      </c>
      <c r="E25" s="2"/>
      <c r="F25" s="7">
        <f t="shared" si="8"/>
        <v>0</v>
      </c>
      <c r="G25" s="2"/>
      <c r="H25" s="6"/>
      <c r="I25" s="2"/>
      <c r="J25" s="7">
        <f t="shared" si="9"/>
        <v>0</v>
      </c>
      <c r="K25" s="2"/>
      <c r="L25" s="6">
        <f t="shared" si="10"/>
        <v>420.37</v>
      </c>
      <c r="M25" s="2"/>
      <c r="N25" s="7">
        <f t="shared" si="11"/>
        <v>0</v>
      </c>
      <c r="O25" s="11"/>
      <c r="P25" s="6">
        <v>483.42</v>
      </c>
      <c r="Q25" s="2"/>
      <c r="R25" s="7">
        <f t="shared" si="12"/>
        <v>0</v>
      </c>
      <c r="S25" s="2"/>
      <c r="T25" s="6">
        <v>678.15</v>
      </c>
      <c r="U25" s="2"/>
      <c r="V25" s="7">
        <f t="shared" si="13"/>
        <v>0</v>
      </c>
      <c r="W25" s="2"/>
      <c r="X25" s="6">
        <f t="shared" si="14"/>
        <v>-194.72999999999996</v>
      </c>
      <c r="Y25" s="2"/>
      <c r="Z25" s="7">
        <f t="shared" si="15"/>
        <v>-0.28714886087148855</v>
      </c>
    </row>
    <row r="26" spans="1:26" s="24" customFormat="1" hidden="1" outlineLevel="2" x14ac:dyDescent="0.3">
      <c r="A26" s="28"/>
      <c r="B26" s="11" t="str">
        <f>CONCATENATE("          ", "6118", " - ", "VACATION")</f>
        <v xml:space="preserve">          6118 - VACATION</v>
      </c>
      <c r="C26" s="11"/>
      <c r="D26" s="6">
        <v>213.24</v>
      </c>
      <c r="E26" s="2"/>
      <c r="F26" s="7">
        <f t="shared" si="8"/>
        <v>0</v>
      </c>
      <c r="G26" s="2"/>
      <c r="H26" s="6"/>
      <c r="I26" s="2"/>
      <c r="J26" s="7">
        <f t="shared" si="9"/>
        <v>0</v>
      </c>
      <c r="K26" s="2"/>
      <c r="L26" s="6">
        <f t="shared" si="10"/>
        <v>213.24</v>
      </c>
      <c r="M26" s="2"/>
      <c r="N26" s="7">
        <f t="shared" si="11"/>
        <v>0</v>
      </c>
      <c r="O26" s="11"/>
      <c r="P26" s="6">
        <v>1031.18</v>
      </c>
      <c r="Q26" s="2"/>
      <c r="R26" s="7">
        <f t="shared" si="12"/>
        <v>0</v>
      </c>
      <c r="S26" s="2"/>
      <c r="T26" s="6">
        <v>248.21</v>
      </c>
      <c r="U26" s="2"/>
      <c r="V26" s="7">
        <f t="shared" si="13"/>
        <v>0</v>
      </c>
      <c r="W26" s="2"/>
      <c r="X26" s="6">
        <f t="shared" si="14"/>
        <v>782.97</v>
      </c>
      <c r="Y26" s="2"/>
      <c r="Z26" s="7">
        <f t="shared" si="15"/>
        <v>3.1544659763909593</v>
      </c>
    </row>
    <row r="27" spans="1:26" s="24" customFormat="1" hidden="1" outlineLevel="2" x14ac:dyDescent="0.3">
      <c r="A27" s="28"/>
      <c r="B27" s="11" t="str">
        <f>CONCATENATE("          ", "6119", " - ", "SICK LEAVE")</f>
        <v xml:space="preserve">          6119 - SICK LEAVE</v>
      </c>
      <c r="C27" s="11"/>
      <c r="D27" s="6">
        <v>255.46</v>
      </c>
      <c r="E27" s="2"/>
      <c r="F27" s="7">
        <f t="shared" si="8"/>
        <v>0</v>
      </c>
      <c r="G27" s="2"/>
      <c r="H27" s="6"/>
      <c r="I27" s="2"/>
      <c r="J27" s="7">
        <f t="shared" si="9"/>
        <v>0</v>
      </c>
      <c r="K27" s="2"/>
      <c r="L27" s="6">
        <f t="shared" si="10"/>
        <v>255.46</v>
      </c>
      <c r="M27" s="2"/>
      <c r="N27" s="7">
        <f t="shared" si="11"/>
        <v>0</v>
      </c>
      <c r="O27" s="11"/>
      <c r="P27" s="6">
        <v>1056.6500000000001</v>
      </c>
      <c r="Q27" s="2"/>
      <c r="R27" s="7">
        <f t="shared" si="12"/>
        <v>0</v>
      </c>
      <c r="S27" s="2"/>
      <c r="T27" s="6">
        <v>141.78</v>
      </c>
      <c r="U27" s="2"/>
      <c r="V27" s="7">
        <f t="shared" si="13"/>
        <v>0</v>
      </c>
      <c r="W27" s="2"/>
      <c r="X27" s="6">
        <f t="shared" si="14"/>
        <v>914.87000000000012</v>
      </c>
      <c r="Y27" s="2"/>
      <c r="Z27" s="7">
        <f t="shared" si="15"/>
        <v>6.4527436874030197</v>
      </c>
    </row>
    <row r="28" spans="1:26" s="24" customFormat="1" hidden="1" outlineLevel="2" x14ac:dyDescent="0.3">
      <c r="A28" s="28"/>
      <c r="B28" s="11" t="str">
        <f>CONCATENATE("          ", "6156", " - ", "EMPLOYEE MEALS")</f>
        <v xml:space="preserve">          6156 - EMPLOYEE MEALS</v>
      </c>
      <c r="C28" s="11"/>
      <c r="D28" s="6">
        <v>174.73</v>
      </c>
      <c r="E28" s="2"/>
      <c r="F28" s="7">
        <f t="shared" si="8"/>
        <v>0</v>
      </c>
      <c r="G28" s="2"/>
      <c r="H28" s="6"/>
      <c r="I28" s="2"/>
      <c r="J28" s="7">
        <f t="shared" si="9"/>
        <v>0</v>
      </c>
      <c r="K28" s="2"/>
      <c r="L28" s="6">
        <f t="shared" si="10"/>
        <v>174.73</v>
      </c>
      <c r="M28" s="2"/>
      <c r="N28" s="7">
        <f t="shared" si="11"/>
        <v>0</v>
      </c>
      <c r="O28" s="11"/>
      <c r="P28" s="6">
        <v>876.22</v>
      </c>
      <c r="Q28" s="2"/>
      <c r="R28" s="7">
        <f t="shared" si="12"/>
        <v>0</v>
      </c>
      <c r="S28" s="2"/>
      <c r="T28" s="6"/>
      <c r="U28" s="2"/>
      <c r="V28" s="7">
        <f t="shared" si="13"/>
        <v>0</v>
      </c>
      <c r="W28" s="2"/>
      <c r="X28" s="6">
        <f t="shared" si="14"/>
        <v>876.22</v>
      </c>
      <c r="Y28" s="2"/>
      <c r="Z28" s="7">
        <f t="shared" si="15"/>
        <v>0</v>
      </c>
    </row>
    <row r="29" spans="1:26" s="29" customFormat="1" outlineLevel="1" collapsed="1" x14ac:dyDescent="0.3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5538.48</v>
      </c>
      <c r="E29" s="1"/>
      <c r="F29" s="5">
        <f t="shared" ref="F29:F33" si="16">IF(D$12=0,0,D29/D$12)</f>
        <v>0</v>
      </c>
      <c r="G29" s="1"/>
      <c r="H29" s="1">
        <f>SUM(OSRRefH22_1x_0)</f>
        <v>0</v>
      </c>
      <c r="I29" s="1"/>
      <c r="J29" s="5">
        <f t="shared" ref="J29:J33" si="17">IF(H$12=0,0,H29/H$12)</f>
        <v>0</v>
      </c>
      <c r="K29" s="1"/>
      <c r="L29" s="1">
        <f t="shared" ref="L29:L33" si="18">+D29-H29</f>
        <v>5538.48</v>
      </c>
      <c r="M29" s="1"/>
      <c r="N29" s="5">
        <f t="shared" ref="N29:N33" si="19">IF(H29=0,0,L29/H29)</f>
        <v>0</v>
      </c>
      <c r="O29" s="14"/>
      <c r="P29" s="1">
        <f>SUM(OSRRefP22_1x_0)</f>
        <v>28985.94</v>
      </c>
      <c r="Q29" s="1"/>
      <c r="R29" s="5">
        <f t="shared" ref="R29:R33" si="20">IF(P$12=0,0,P29/P$12)</f>
        <v>0</v>
      </c>
      <c r="S29" s="1"/>
      <c r="T29" s="1">
        <f>SUM(OSRRefT22_1x_0)</f>
        <v>2151.69</v>
      </c>
      <c r="U29" s="1"/>
      <c r="V29" s="5">
        <f t="shared" ref="V29:V33" si="21">IF(T$12=0,0,T29/T$12)</f>
        <v>0</v>
      </c>
      <c r="W29" s="1"/>
      <c r="X29" s="1">
        <f t="shared" ref="X29:X33" si="22">+P29-T29</f>
        <v>26834.25</v>
      </c>
      <c r="Y29" s="1"/>
      <c r="Z29" s="5">
        <f t="shared" ref="Z29:Z33" si="23">IF(T29=0,0,X29/T29)</f>
        <v>12.471243534152224</v>
      </c>
    </row>
    <row r="30" spans="1:26" s="24" customFormat="1" hidden="1" outlineLevel="2" x14ac:dyDescent="0.3">
      <c r="A30" s="28"/>
      <c r="B30" s="11" t="str">
        <f>CONCATENATE("          ", "6002", " - ", "STAFF SALARIES")</f>
        <v xml:space="preserve">          6002 - STAFF SALARIES</v>
      </c>
      <c r="C30" s="11"/>
      <c r="D30" s="6">
        <v>5538.48</v>
      </c>
      <c r="E30" s="2"/>
      <c r="F30" s="7">
        <f t="shared" si="16"/>
        <v>0</v>
      </c>
      <c r="G30" s="2"/>
      <c r="H30" s="6"/>
      <c r="I30" s="2"/>
      <c r="J30" s="7">
        <f t="shared" si="17"/>
        <v>0</v>
      </c>
      <c r="K30" s="2"/>
      <c r="L30" s="6">
        <f t="shared" si="18"/>
        <v>5538.48</v>
      </c>
      <c r="M30" s="2"/>
      <c r="N30" s="7">
        <f t="shared" si="19"/>
        <v>0</v>
      </c>
      <c r="O30" s="11"/>
      <c r="P30" s="6">
        <v>6369.24</v>
      </c>
      <c r="Q30" s="2"/>
      <c r="R30" s="7">
        <f t="shared" si="20"/>
        <v>0</v>
      </c>
      <c r="S30" s="2"/>
      <c r="T30" s="6">
        <v>2151.69</v>
      </c>
      <c r="U30" s="2"/>
      <c r="V30" s="7">
        <f t="shared" si="21"/>
        <v>0</v>
      </c>
      <c r="W30" s="2"/>
      <c r="X30" s="6">
        <f t="shared" si="22"/>
        <v>4217.5499999999993</v>
      </c>
      <c r="Y30" s="2"/>
      <c r="Z30" s="7">
        <f t="shared" si="23"/>
        <v>1.960110424828855</v>
      </c>
    </row>
    <row r="31" spans="1:26" s="24" customFormat="1" hidden="1" outlineLevel="2" x14ac:dyDescent="0.3">
      <c r="A31" s="28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16"/>
        <v>0</v>
      </c>
      <c r="G31" s="2"/>
      <c r="H31" s="6"/>
      <c r="I31" s="2"/>
      <c r="J31" s="7">
        <f t="shared" si="17"/>
        <v>0</v>
      </c>
      <c r="K31" s="2"/>
      <c r="L31" s="6">
        <f t="shared" si="18"/>
        <v>0</v>
      </c>
      <c r="M31" s="2"/>
      <c r="N31" s="7">
        <f t="shared" si="19"/>
        <v>0</v>
      </c>
      <c r="O31" s="11"/>
      <c r="P31" s="6">
        <v>14370.65</v>
      </c>
      <c r="Q31" s="2"/>
      <c r="R31" s="7">
        <f t="shared" si="20"/>
        <v>0</v>
      </c>
      <c r="S31" s="2"/>
      <c r="T31" s="6"/>
      <c r="U31" s="2"/>
      <c r="V31" s="7">
        <f t="shared" si="21"/>
        <v>0</v>
      </c>
      <c r="W31" s="2"/>
      <c r="X31" s="6">
        <f t="shared" si="22"/>
        <v>14370.65</v>
      </c>
      <c r="Y31" s="2"/>
      <c r="Z31" s="7">
        <f t="shared" si="23"/>
        <v>0</v>
      </c>
    </row>
    <row r="32" spans="1:26" s="24" customFormat="1" hidden="1" outlineLevel="2" x14ac:dyDescent="0.3">
      <c r="A32" s="28"/>
      <c r="B32" s="11" t="str">
        <f>CONCATENATE("          ", "6005", " - ", "TEMPORARY WAGES-HOURLY")</f>
        <v xml:space="preserve">          6005 - TEMPORARY WAGES-HOURLY</v>
      </c>
      <c r="C32" s="11"/>
      <c r="D32" s="6"/>
      <c r="E32" s="2"/>
      <c r="F32" s="7">
        <f t="shared" si="16"/>
        <v>0</v>
      </c>
      <c r="G32" s="2"/>
      <c r="H32" s="6"/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>
        <v>8246.0499999999993</v>
      </c>
      <c r="Q32" s="2"/>
      <c r="R32" s="7">
        <f t="shared" si="20"/>
        <v>0</v>
      </c>
      <c r="S32" s="2"/>
      <c r="T32" s="6"/>
      <c r="U32" s="2"/>
      <c r="V32" s="7">
        <f t="shared" si="21"/>
        <v>0</v>
      </c>
      <c r="W32" s="2"/>
      <c r="X32" s="6">
        <f t="shared" si="22"/>
        <v>8246.0499999999993</v>
      </c>
      <c r="Y32" s="2"/>
      <c r="Z32" s="7">
        <f t="shared" si="23"/>
        <v>0</v>
      </c>
    </row>
    <row r="33" spans="1:26" s="24" customFormat="1" hidden="1" outlineLevel="2" x14ac:dyDescent="0.3">
      <c r="A33" s="28"/>
      <c r="B33" s="11" t="str">
        <f>CONCATENATE("          ", "6007", " - ", "STUDENT HOURLY")</f>
        <v xml:space="preserve">          6007 - STUDENT HOURLY</v>
      </c>
      <c r="C33" s="11"/>
      <c r="D33" s="6"/>
      <c r="E33" s="2"/>
      <c r="F33" s="7">
        <f t="shared" si="16"/>
        <v>0</v>
      </c>
      <c r="G33" s="2"/>
      <c r="H33" s="6"/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>
        <v>0</v>
      </c>
      <c r="Q33" s="2"/>
      <c r="R33" s="7">
        <f t="shared" si="20"/>
        <v>0</v>
      </c>
      <c r="S33" s="2"/>
      <c r="T33" s="6"/>
      <c r="U33" s="2"/>
      <c r="V33" s="7">
        <f t="shared" si="21"/>
        <v>0</v>
      </c>
      <c r="W33" s="2"/>
      <c r="X33" s="6">
        <f t="shared" si="22"/>
        <v>0</v>
      </c>
      <c r="Y33" s="2"/>
      <c r="Z33" s="7">
        <f t="shared" si="23"/>
        <v>0</v>
      </c>
    </row>
    <row r="34" spans="1:26" s="29" customFormat="1" outlineLevel="1" collapsed="1" x14ac:dyDescent="0.3">
      <c r="A34" s="27"/>
      <c r="B34" s="14" t="str">
        <f>CONCATENATE("     ","Advertising/Promo                                 ")</f>
        <v xml:space="preserve">     Advertising/Promo                                 </v>
      </c>
      <c r="C34" s="14"/>
      <c r="D34" s="1">
        <f>SUM(OSRRefD22_2x_0)</f>
        <v>0</v>
      </c>
      <c r="E34" s="1"/>
      <c r="F34" s="5">
        <f t="shared" ref="F34:F40" si="24">IF(D$12=0,0,D34/D$12)</f>
        <v>0</v>
      </c>
      <c r="G34" s="1"/>
      <c r="H34" s="1">
        <f>SUM(OSRRefH22_2x_0)</f>
        <v>0</v>
      </c>
      <c r="I34" s="1"/>
      <c r="J34" s="5">
        <f t="shared" ref="J34:J40" si="25">IF(H$12=0,0,H34/H$12)</f>
        <v>0</v>
      </c>
      <c r="K34" s="1"/>
      <c r="L34" s="1">
        <f t="shared" ref="L34:L40" si="26">+D34-H34</f>
        <v>0</v>
      </c>
      <c r="M34" s="1"/>
      <c r="N34" s="5">
        <f t="shared" ref="N34:N40" si="27">IF(H34=0,0,L34/H34)</f>
        <v>0</v>
      </c>
      <c r="O34" s="14"/>
      <c r="P34" s="1">
        <f>SUM(OSRRefP22_2x_0)</f>
        <v>263.58</v>
      </c>
      <c r="Q34" s="1"/>
      <c r="R34" s="5">
        <f t="shared" ref="R34:R40" si="28">IF(P$12=0,0,P34/P$12)</f>
        <v>0</v>
      </c>
      <c r="S34" s="1"/>
      <c r="T34" s="1">
        <f>SUM(OSRRefT22_2x_0)</f>
        <v>0</v>
      </c>
      <c r="U34" s="1"/>
      <c r="V34" s="5">
        <f t="shared" ref="V34:V40" si="29">IF(T$12=0,0,T34/T$12)</f>
        <v>0</v>
      </c>
      <c r="W34" s="1"/>
      <c r="X34" s="1">
        <f t="shared" ref="X34:X40" si="30">+P34-T34</f>
        <v>263.58</v>
      </c>
      <c r="Y34" s="1"/>
      <c r="Z34" s="5">
        <f t="shared" ref="Z34:Z40" si="31">IF(T34=0,0,X34/T34)</f>
        <v>0</v>
      </c>
    </row>
    <row r="35" spans="1:26" s="24" customFormat="1" hidden="1" outlineLevel="2" x14ac:dyDescent="0.3">
      <c r="A35" s="28"/>
      <c r="B35" s="11" t="str">
        <f>CONCATENATE("          ", "6362", " - ", "ADVERTISING EXPENSE")</f>
        <v xml:space="preserve">          6362 - ADVERTISING EXPENSE</v>
      </c>
      <c r="C35" s="11"/>
      <c r="D35" s="6"/>
      <c r="E35" s="2"/>
      <c r="F35" s="7">
        <f t="shared" si="24"/>
        <v>0</v>
      </c>
      <c r="G35" s="2"/>
      <c r="H35" s="6"/>
      <c r="I35" s="2"/>
      <c r="J35" s="7">
        <f t="shared" si="25"/>
        <v>0</v>
      </c>
      <c r="K35" s="2"/>
      <c r="L35" s="6">
        <f t="shared" si="26"/>
        <v>0</v>
      </c>
      <c r="M35" s="2"/>
      <c r="N35" s="7">
        <f t="shared" si="27"/>
        <v>0</v>
      </c>
      <c r="O35" s="11"/>
      <c r="P35" s="6">
        <v>263.58</v>
      </c>
      <c r="Q35" s="2"/>
      <c r="R35" s="7">
        <f t="shared" si="28"/>
        <v>0</v>
      </c>
      <c r="S35" s="2"/>
      <c r="T35" s="6"/>
      <c r="U35" s="2"/>
      <c r="V35" s="7">
        <f t="shared" si="29"/>
        <v>0</v>
      </c>
      <c r="W35" s="2"/>
      <c r="X35" s="6">
        <f t="shared" si="30"/>
        <v>263.58</v>
      </c>
      <c r="Y35" s="2"/>
      <c r="Z35" s="7">
        <f t="shared" si="31"/>
        <v>0</v>
      </c>
    </row>
    <row r="36" spans="1:26" s="29" customFormat="1" outlineLevel="1" collapsed="1" x14ac:dyDescent="0.3">
      <c r="A36" s="27"/>
      <c r="B36" s="14" t="str">
        <f>CONCATENATE("     ","Bank/card Fees                                    ")</f>
        <v xml:space="preserve">     Bank/card Fees                                    </v>
      </c>
      <c r="C36" s="14"/>
      <c r="D36" s="1">
        <f>SUM(OSRRefD22_3x_0)</f>
        <v>0</v>
      </c>
      <c r="E36" s="1"/>
      <c r="F36" s="5">
        <f t="shared" si="24"/>
        <v>0</v>
      </c>
      <c r="G36" s="1"/>
      <c r="H36" s="1">
        <f>SUM(OSRRefH22_3x_0)</f>
        <v>0</v>
      </c>
      <c r="I36" s="1"/>
      <c r="J36" s="5">
        <f t="shared" si="25"/>
        <v>0</v>
      </c>
      <c r="K36" s="1"/>
      <c r="L36" s="1">
        <f t="shared" si="26"/>
        <v>0</v>
      </c>
      <c r="M36" s="1"/>
      <c r="N36" s="5">
        <f t="shared" si="27"/>
        <v>0</v>
      </c>
      <c r="O36" s="14"/>
      <c r="P36" s="1">
        <f>SUM(OSRRefP22_3x_0)</f>
        <v>0.37</v>
      </c>
      <c r="Q36" s="1"/>
      <c r="R36" s="5">
        <f t="shared" si="28"/>
        <v>0</v>
      </c>
      <c r="S36" s="1"/>
      <c r="T36" s="1">
        <f>SUM(OSRRefT22_3x_0)</f>
        <v>0</v>
      </c>
      <c r="U36" s="1"/>
      <c r="V36" s="5">
        <f t="shared" si="29"/>
        <v>0</v>
      </c>
      <c r="W36" s="1"/>
      <c r="X36" s="1">
        <f t="shared" si="30"/>
        <v>0.37</v>
      </c>
      <c r="Y36" s="1"/>
      <c r="Z36" s="5">
        <f t="shared" si="31"/>
        <v>0</v>
      </c>
    </row>
    <row r="37" spans="1:26" s="24" customFormat="1" hidden="1" outlineLevel="2" x14ac:dyDescent="0.3">
      <c r="A37" s="28"/>
      <c r="B37" s="11" t="str">
        <f>CONCATENATE("          ", "6381", " - ", "BANK/CREDIT CARD FEES")</f>
        <v xml:space="preserve">          6381 - BANK/CREDIT CARD FEES</v>
      </c>
      <c r="C37" s="11"/>
      <c r="D37" s="6"/>
      <c r="E37" s="2"/>
      <c r="F37" s="7">
        <f t="shared" si="24"/>
        <v>0</v>
      </c>
      <c r="G37" s="2"/>
      <c r="H37" s="6"/>
      <c r="I37" s="2"/>
      <c r="J37" s="7">
        <f t="shared" si="25"/>
        <v>0</v>
      </c>
      <c r="K37" s="2"/>
      <c r="L37" s="6">
        <f t="shared" si="26"/>
        <v>0</v>
      </c>
      <c r="M37" s="2"/>
      <c r="N37" s="7">
        <f t="shared" si="27"/>
        <v>0</v>
      </c>
      <c r="O37" s="11"/>
      <c r="P37" s="6">
        <v>0.37</v>
      </c>
      <c r="Q37" s="2"/>
      <c r="R37" s="7">
        <f t="shared" si="28"/>
        <v>0</v>
      </c>
      <c r="S37" s="2"/>
      <c r="T37" s="6"/>
      <c r="U37" s="2"/>
      <c r="V37" s="7">
        <f t="shared" si="29"/>
        <v>0</v>
      </c>
      <c r="W37" s="2"/>
      <c r="X37" s="6">
        <f t="shared" si="30"/>
        <v>0.37</v>
      </c>
      <c r="Y37" s="2"/>
      <c r="Z37" s="7">
        <f t="shared" si="31"/>
        <v>0</v>
      </c>
    </row>
    <row r="38" spans="1:26" s="29" customFormat="1" outlineLevel="1" collapsed="1" x14ac:dyDescent="0.3">
      <c r="A38" s="27"/>
      <c r="B38" s="14" t="str">
        <f>CONCATENATE("     ","Depreciation                                      ")</f>
        <v xml:space="preserve">     Depreciation                                      </v>
      </c>
      <c r="C38" s="14"/>
      <c r="D38" s="1">
        <f>SUM(OSRRefD22_4x_0)</f>
        <v>6701.08</v>
      </c>
      <c r="E38" s="1"/>
      <c r="F38" s="5">
        <f t="shared" si="24"/>
        <v>0</v>
      </c>
      <c r="G38" s="1"/>
      <c r="H38" s="1">
        <f>SUM(OSRRefH22_4x_0)</f>
        <v>6745.17</v>
      </c>
      <c r="I38" s="1"/>
      <c r="J38" s="5">
        <f t="shared" si="25"/>
        <v>0</v>
      </c>
      <c r="K38" s="1"/>
      <c r="L38" s="1">
        <f t="shared" si="26"/>
        <v>-44.090000000000146</v>
      </c>
      <c r="M38" s="1"/>
      <c r="N38" s="5">
        <f t="shared" si="27"/>
        <v>-6.5365291015645486E-3</v>
      </c>
      <c r="O38" s="14"/>
      <c r="P38" s="1">
        <f>SUM(OSRRefP22_4x_0)</f>
        <v>40294.620000000003</v>
      </c>
      <c r="Q38" s="1"/>
      <c r="R38" s="5">
        <f t="shared" si="28"/>
        <v>0</v>
      </c>
      <c r="S38" s="1"/>
      <c r="T38" s="1">
        <f>SUM(OSRRefT22_4x_0)</f>
        <v>41768.170000000006</v>
      </c>
      <c r="U38" s="1"/>
      <c r="V38" s="5">
        <f t="shared" si="29"/>
        <v>0</v>
      </c>
      <c r="W38" s="1"/>
      <c r="X38" s="1">
        <f t="shared" si="30"/>
        <v>-1473.5500000000029</v>
      </c>
      <c r="Y38" s="1"/>
      <c r="Z38" s="5">
        <f t="shared" si="31"/>
        <v>-3.5279256907832034E-2</v>
      </c>
    </row>
    <row r="39" spans="1:26" s="24" customFormat="1" hidden="1" outlineLevel="2" x14ac:dyDescent="0.3">
      <c r="A39" s="28"/>
      <c r="B39" s="11" t="str">
        <f>CONCATENATE("          ", "6321", " - ", "BUILDING DEPRECIATION")</f>
        <v xml:space="preserve">          6321 - BUILDING DEPRECIATION</v>
      </c>
      <c r="C39" s="11"/>
      <c r="D39" s="6">
        <v>6492.96</v>
      </c>
      <c r="E39" s="2"/>
      <c r="F39" s="7">
        <f t="shared" si="24"/>
        <v>0</v>
      </c>
      <c r="G39" s="2"/>
      <c r="H39" s="6">
        <v>6537.05</v>
      </c>
      <c r="I39" s="2"/>
      <c r="J39" s="7">
        <f t="shared" si="25"/>
        <v>0</v>
      </c>
      <c r="K39" s="2"/>
      <c r="L39" s="6">
        <f t="shared" si="26"/>
        <v>-44.090000000000146</v>
      </c>
      <c r="M39" s="2"/>
      <c r="N39" s="7">
        <f t="shared" si="27"/>
        <v>-6.7446325177259077E-3</v>
      </c>
      <c r="O39" s="11"/>
      <c r="P39" s="6">
        <v>39045.9</v>
      </c>
      <c r="Q39" s="2"/>
      <c r="R39" s="7">
        <f t="shared" si="28"/>
        <v>0</v>
      </c>
      <c r="S39" s="2"/>
      <c r="T39" s="6">
        <v>39222.300000000003</v>
      </c>
      <c r="U39" s="2"/>
      <c r="V39" s="7">
        <f t="shared" si="29"/>
        <v>0</v>
      </c>
      <c r="W39" s="2"/>
      <c r="X39" s="6">
        <f t="shared" si="30"/>
        <v>-176.40000000000146</v>
      </c>
      <c r="Y39" s="2"/>
      <c r="Z39" s="7">
        <f t="shared" si="31"/>
        <v>-4.4974415064899676E-3</v>
      </c>
    </row>
    <row r="40" spans="1:26" s="24" customFormat="1" hidden="1" outlineLevel="2" x14ac:dyDescent="0.3">
      <c r="A40" s="28"/>
      <c r="B40" s="11" t="str">
        <f>CONCATENATE("          ", "6322", " - ", "EQUIPMENT DEPRECIATION EXPENSE")</f>
        <v xml:space="preserve">          6322 - EQUIPMENT DEPRECIATION EXPENSE</v>
      </c>
      <c r="C40" s="11"/>
      <c r="D40" s="6">
        <v>208.12</v>
      </c>
      <c r="E40" s="2"/>
      <c r="F40" s="7">
        <f t="shared" si="24"/>
        <v>0</v>
      </c>
      <c r="G40" s="2"/>
      <c r="H40" s="6">
        <v>208.12</v>
      </c>
      <c r="I40" s="2"/>
      <c r="J40" s="7">
        <f t="shared" si="25"/>
        <v>0</v>
      </c>
      <c r="K40" s="2"/>
      <c r="L40" s="6">
        <f t="shared" si="26"/>
        <v>0</v>
      </c>
      <c r="M40" s="2"/>
      <c r="N40" s="7">
        <f t="shared" si="27"/>
        <v>0</v>
      </c>
      <c r="O40" s="11"/>
      <c r="P40" s="6">
        <v>1248.72</v>
      </c>
      <c r="Q40" s="2"/>
      <c r="R40" s="7">
        <f t="shared" si="28"/>
        <v>0</v>
      </c>
      <c r="S40" s="2"/>
      <c r="T40" s="6">
        <v>2545.87</v>
      </c>
      <c r="U40" s="2"/>
      <c r="V40" s="7">
        <f t="shared" si="29"/>
        <v>0</v>
      </c>
      <c r="W40" s="2"/>
      <c r="X40" s="6">
        <f t="shared" si="30"/>
        <v>-1297.1499999999999</v>
      </c>
      <c r="Y40" s="2"/>
      <c r="Z40" s="7">
        <f t="shared" si="31"/>
        <v>-0.50951148330433205</v>
      </c>
    </row>
    <row r="41" spans="1:26" s="29" customFormat="1" outlineLevel="1" collapsed="1" x14ac:dyDescent="0.3">
      <c r="A41" s="27"/>
      <c r="B41" s="14" t="str">
        <f>CONCATENATE("     ","Employees' Appreciation                           ")</f>
        <v xml:space="preserve">     Employees' Appreciation                           </v>
      </c>
      <c r="C41" s="14"/>
      <c r="D41" s="1">
        <f>SUM(OSRRefD22_5x_0)</f>
        <v>0</v>
      </c>
      <c r="E41" s="1"/>
      <c r="F41" s="5">
        <f t="shared" ref="F41:F49" si="32">IF(D$12=0,0,D41/D$12)</f>
        <v>0</v>
      </c>
      <c r="G41" s="1"/>
      <c r="H41" s="1">
        <f>SUM(OSRRefH22_5x_0)</f>
        <v>0</v>
      </c>
      <c r="I41" s="1"/>
      <c r="J41" s="5">
        <f t="shared" ref="J41:J49" si="33">IF(H$12=0,0,H41/H$12)</f>
        <v>0</v>
      </c>
      <c r="K41" s="1"/>
      <c r="L41" s="1">
        <f t="shared" ref="L41:L49" si="34">+D41-H41</f>
        <v>0</v>
      </c>
      <c r="M41" s="1"/>
      <c r="N41" s="5">
        <f t="shared" ref="N41:N49" si="35">IF(H41=0,0,L41/H41)</f>
        <v>0</v>
      </c>
      <c r="O41" s="14"/>
      <c r="P41" s="1">
        <f>SUM(OSRRefP22_5x_0)</f>
        <v>49.95</v>
      </c>
      <c r="Q41" s="1"/>
      <c r="R41" s="5">
        <f t="shared" ref="R41:R49" si="36">IF(P$12=0,0,P41/P$12)</f>
        <v>0</v>
      </c>
      <c r="S41" s="1"/>
      <c r="T41" s="1">
        <f>SUM(OSRRefT22_5x_0)</f>
        <v>0</v>
      </c>
      <c r="U41" s="1"/>
      <c r="V41" s="5">
        <f t="shared" ref="V41:V49" si="37">IF(T$12=0,0,T41/T$12)</f>
        <v>0</v>
      </c>
      <c r="W41" s="1"/>
      <c r="X41" s="1">
        <f t="shared" ref="X41:X49" si="38">+P41-T41</f>
        <v>49.95</v>
      </c>
      <c r="Y41" s="1"/>
      <c r="Z41" s="5">
        <f t="shared" ref="Z41:Z49" si="39">IF(T41=0,0,X41/T41)</f>
        <v>0</v>
      </c>
    </row>
    <row r="42" spans="1:26" s="24" customFormat="1" hidden="1" outlineLevel="2" x14ac:dyDescent="0.3">
      <c r="A42" s="28"/>
      <c r="B42" s="11" t="str">
        <f>CONCATENATE("          ", "6277", " - ", "EMPLOYEE APPRECIATION")</f>
        <v xml:space="preserve">          6277 - EMPLOYEE APPRECIATION</v>
      </c>
      <c r="C42" s="11"/>
      <c r="D42" s="6"/>
      <c r="E42" s="2"/>
      <c r="F42" s="7">
        <f t="shared" si="32"/>
        <v>0</v>
      </c>
      <c r="G42" s="2"/>
      <c r="H42" s="6"/>
      <c r="I42" s="2"/>
      <c r="J42" s="7">
        <f t="shared" si="33"/>
        <v>0</v>
      </c>
      <c r="K42" s="2"/>
      <c r="L42" s="6">
        <f t="shared" si="34"/>
        <v>0</v>
      </c>
      <c r="M42" s="2"/>
      <c r="N42" s="7">
        <f t="shared" si="35"/>
        <v>0</v>
      </c>
      <c r="O42" s="11"/>
      <c r="P42" s="6">
        <v>49.95</v>
      </c>
      <c r="Q42" s="2"/>
      <c r="R42" s="7">
        <f t="shared" si="36"/>
        <v>0</v>
      </c>
      <c r="S42" s="2"/>
      <c r="T42" s="6"/>
      <c r="U42" s="2"/>
      <c r="V42" s="7">
        <f t="shared" si="37"/>
        <v>0</v>
      </c>
      <c r="W42" s="2"/>
      <c r="X42" s="6">
        <f t="shared" si="38"/>
        <v>49.95</v>
      </c>
      <c r="Y42" s="2"/>
      <c r="Z42" s="7">
        <f t="shared" si="39"/>
        <v>0</v>
      </c>
    </row>
    <row r="43" spans="1:26" s="29" customFormat="1" outlineLevel="1" collapsed="1" x14ac:dyDescent="0.3">
      <c r="A43" s="27"/>
      <c r="B43" s="14" t="str">
        <f>CONCATENATE("     ","Equipment Rental                                  ")</f>
        <v xml:space="preserve">     Equipment Rental                                  </v>
      </c>
      <c r="C43" s="14"/>
      <c r="D43" s="1">
        <f>SUM(OSRRefD22_6x_0)</f>
        <v>699.53</v>
      </c>
      <c r="E43" s="1"/>
      <c r="F43" s="5">
        <f t="shared" si="32"/>
        <v>0</v>
      </c>
      <c r="G43" s="1"/>
      <c r="H43" s="1">
        <f>SUM(OSRRefH22_6x_0)</f>
        <v>0</v>
      </c>
      <c r="I43" s="1"/>
      <c r="J43" s="5">
        <f t="shared" si="33"/>
        <v>0</v>
      </c>
      <c r="K43" s="1"/>
      <c r="L43" s="1">
        <f t="shared" si="34"/>
        <v>699.53</v>
      </c>
      <c r="M43" s="1"/>
      <c r="N43" s="5">
        <f t="shared" si="35"/>
        <v>0</v>
      </c>
      <c r="O43" s="14"/>
      <c r="P43" s="1">
        <f>SUM(OSRRefP22_6x_0)</f>
        <v>2916.92</v>
      </c>
      <c r="Q43" s="1"/>
      <c r="R43" s="5">
        <f t="shared" si="36"/>
        <v>0</v>
      </c>
      <c r="S43" s="1"/>
      <c r="T43" s="1">
        <f>SUM(OSRRefT22_6x_0)</f>
        <v>263.72000000000003</v>
      </c>
      <c r="U43" s="1"/>
      <c r="V43" s="5">
        <f t="shared" si="37"/>
        <v>0</v>
      </c>
      <c r="W43" s="1"/>
      <c r="X43" s="1">
        <f t="shared" si="38"/>
        <v>2653.2</v>
      </c>
      <c r="Y43" s="1"/>
      <c r="Z43" s="5">
        <f t="shared" si="39"/>
        <v>10.060670408008493</v>
      </c>
    </row>
    <row r="44" spans="1:26" s="24" customFormat="1" hidden="1" outlineLevel="2" x14ac:dyDescent="0.3">
      <c r="A44" s="28"/>
      <c r="B44" s="11" t="str">
        <f>CONCATENATE("          ", "6351", " - ", "EQUIPMENT RENTAL")</f>
        <v xml:space="preserve">          6351 - EQUIPMENT RENTAL</v>
      </c>
      <c r="C44" s="11"/>
      <c r="D44" s="6">
        <v>699.53</v>
      </c>
      <c r="E44" s="2"/>
      <c r="F44" s="7">
        <f t="shared" si="32"/>
        <v>0</v>
      </c>
      <c r="G44" s="2"/>
      <c r="H44" s="6"/>
      <c r="I44" s="2"/>
      <c r="J44" s="7">
        <f t="shared" si="33"/>
        <v>0</v>
      </c>
      <c r="K44" s="2"/>
      <c r="L44" s="6">
        <f t="shared" si="34"/>
        <v>699.53</v>
      </c>
      <c r="M44" s="2"/>
      <c r="N44" s="7">
        <f t="shared" si="35"/>
        <v>0</v>
      </c>
      <c r="O44" s="11"/>
      <c r="P44" s="6">
        <v>2916.92</v>
      </c>
      <c r="Q44" s="2"/>
      <c r="R44" s="7">
        <f t="shared" si="36"/>
        <v>0</v>
      </c>
      <c r="S44" s="2"/>
      <c r="T44" s="6">
        <v>263.72000000000003</v>
      </c>
      <c r="U44" s="2"/>
      <c r="V44" s="7">
        <f t="shared" si="37"/>
        <v>0</v>
      </c>
      <c r="W44" s="2"/>
      <c r="X44" s="6">
        <f t="shared" si="38"/>
        <v>2653.2</v>
      </c>
      <c r="Y44" s="2"/>
      <c r="Z44" s="7">
        <f t="shared" si="39"/>
        <v>10.060670408008493</v>
      </c>
    </row>
    <row r="45" spans="1:26" s="29" customFormat="1" outlineLevel="1" collapsed="1" x14ac:dyDescent="0.3">
      <c r="A45" s="27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SUM(OSRRefD22_7x_0)</f>
        <v>0</v>
      </c>
      <c r="E45" s="1"/>
      <c r="F45" s="5">
        <f t="shared" si="32"/>
        <v>0</v>
      </c>
      <c r="G45" s="1"/>
      <c r="H45" s="1">
        <f>SUM(OSRRefH22_7x_0)</f>
        <v>0</v>
      </c>
      <c r="I45" s="1"/>
      <c r="J45" s="5">
        <f t="shared" si="33"/>
        <v>0</v>
      </c>
      <c r="K45" s="1"/>
      <c r="L45" s="1">
        <f t="shared" si="34"/>
        <v>0</v>
      </c>
      <c r="M45" s="1"/>
      <c r="N45" s="5">
        <f t="shared" si="35"/>
        <v>0</v>
      </c>
      <c r="O45" s="14"/>
      <c r="P45" s="1">
        <f>SUM(OSRRefP22_7x_0)</f>
        <v>1314.55</v>
      </c>
      <c r="Q45" s="1"/>
      <c r="R45" s="5">
        <f t="shared" si="36"/>
        <v>0</v>
      </c>
      <c r="S45" s="1"/>
      <c r="T45" s="1">
        <f>SUM(OSRRefT22_7x_0)</f>
        <v>1284.55</v>
      </c>
      <c r="U45" s="1"/>
      <c r="V45" s="5">
        <f t="shared" si="37"/>
        <v>0</v>
      </c>
      <c r="W45" s="1"/>
      <c r="X45" s="1">
        <f t="shared" si="38"/>
        <v>30</v>
      </c>
      <c r="Y45" s="1"/>
      <c r="Z45" s="5">
        <f t="shared" si="39"/>
        <v>2.3354482114359115E-2</v>
      </c>
    </row>
    <row r="46" spans="1:26" s="24" customFormat="1" hidden="1" outlineLevel="2" x14ac:dyDescent="0.3">
      <c r="A46" s="28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32"/>
        <v>0</v>
      </c>
      <c r="G46" s="2"/>
      <c r="H46" s="6"/>
      <c r="I46" s="2"/>
      <c r="J46" s="7">
        <f t="shared" si="33"/>
        <v>0</v>
      </c>
      <c r="K46" s="2"/>
      <c r="L46" s="6">
        <f t="shared" si="34"/>
        <v>0</v>
      </c>
      <c r="M46" s="2"/>
      <c r="N46" s="7">
        <f t="shared" si="35"/>
        <v>0</v>
      </c>
      <c r="O46" s="11"/>
      <c r="P46" s="6">
        <v>1314.55</v>
      </c>
      <c r="Q46" s="2"/>
      <c r="R46" s="7">
        <f t="shared" si="36"/>
        <v>0</v>
      </c>
      <c r="S46" s="2"/>
      <c r="T46" s="6">
        <v>1284.55</v>
      </c>
      <c r="U46" s="2"/>
      <c r="V46" s="7">
        <f t="shared" si="37"/>
        <v>0</v>
      </c>
      <c r="W46" s="2"/>
      <c r="X46" s="6">
        <f t="shared" si="38"/>
        <v>30</v>
      </c>
      <c r="Y46" s="2"/>
      <c r="Z46" s="7">
        <f t="shared" si="39"/>
        <v>2.3354482114359115E-2</v>
      </c>
    </row>
    <row r="47" spans="1:26" s="29" customFormat="1" outlineLevel="1" collapsed="1" x14ac:dyDescent="0.3">
      <c r="A47" s="27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SUM(OSRRefD22_8x_0)</f>
        <v>1952.51</v>
      </c>
      <c r="E47" s="1"/>
      <c r="F47" s="5">
        <f t="shared" si="32"/>
        <v>0</v>
      </c>
      <c r="G47" s="1"/>
      <c r="H47" s="1">
        <f>SUM(OSRRefH22_8x_0)</f>
        <v>198.86</v>
      </c>
      <c r="I47" s="1"/>
      <c r="J47" s="5">
        <f t="shared" si="33"/>
        <v>0</v>
      </c>
      <c r="K47" s="1"/>
      <c r="L47" s="1">
        <f t="shared" si="34"/>
        <v>1753.65</v>
      </c>
      <c r="M47" s="1"/>
      <c r="N47" s="5">
        <f t="shared" si="35"/>
        <v>8.8185155385698479</v>
      </c>
      <c r="O47" s="14"/>
      <c r="P47" s="1">
        <f>SUM(OSRRefP22_8x_0)</f>
        <v>7564.0599999999995</v>
      </c>
      <c r="Q47" s="1"/>
      <c r="R47" s="5">
        <f t="shared" si="36"/>
        <v>0</v>
      </c>
      <c r="S47" s="1"/>
      <c r="T47" s="1">
        <f>SUM(OSRRefT22_8x_0)</f>
        <v>476.33</v>
      </c>
      <c r="U47" s="1"/>
      <c r="V47" s="5">
        <f t="shared" si="37"/>
        <v>0</v>
      </c>
      <c r="W47" s="1"/>
      <c r="X47" s="1">
        <f t="shared" si="38"/>
        <v>7087.73</v>
      </c>
      <c r="Y47" s="1"/>
      <c r="Z47" s="5">
        <f t="shared" si="39"/>
        <v>14.879873197153234</v>
      </c>
    </row>
    <row r="48" spans="1:26" s="24" customFormat="1" hidden="1" outlineLevel="2" x14ac:dyDescent="0.3">
      <c r="A48" s="28"/>
      <c r="B48" s="11" t="str">
        <f>CONCATENATE("          ", "6373", " - ", "MAINTENANCE CONTRACTS")</f>
        <v xml:space="preserve">          6373 - MAINTENANCE CONTRACTS</v>
      </c>
      <c r="C48" s="11"/>
      <c r="D48" s="6">
        <v>426.16</v>
      </c>
      <c r="E48" s="2"/>
      <c r="F48" s="7">
        <f t="shared" si="32"/>
        <v>0</v>
      </c>
      <c r="G48" s="2"/>
      <c r="H48" s="6">
        <v>198.86</v>
      </c>
      <c r="I48" s="2"/>
      <c r="J48" s="7">
        <f t="shared" si="33"/>
        <v>0</v>
      </c>
      <c r="K48" s="2"/>
      <c r="L48" s="6">
        <f t="shared" si="34"/>
        <v>227.3</v>
      </c>
      <c r="M48" s="2"/>
      <c r="N48" s="7">
        <f t="shared" si="35"/>
        <v>1.1430151865634115</v>
      </c>
      <c r="O48" s="11"/>
      <c r="P48" s="6">
        <v>2441.4299999999998</v>
      </c>
      <c r="Q48" s="2"/>
      <c r="R48" s="7">
        <f t="shared" si="36"/>
        <v>0</v>
      </c>
      <c r="S48" s="2"/>
      <c r="T48" s="6">
        <v>476.33</v>
      </c>
      <c r="U48" s="2"/>
      <c r="V48" s="7">
        <f t="shared" si="37"/>
        <v>0</v>
      </c>
      <c r="W48" s="2"/>
      <c r="X48" s="6">
        <f t="shared" si="38"/>
        <v>1965.1</v>
      </c>
      <c r="Y48" s="2"/>
      <c r="Z48" s="7">
        <f t="shared" si="39"/>
        <v>4.1255012281401546</v>
      </c>
    </row>
    <row r="49" spans="1:26" s="24" customFormat="1" hidden="1" outlineLevel="2" x14ac:dyDescent="0.3">
      <c r="A49" s="28"/>
      <c r="B49" s="11" t="str">
        <f>CONCATENATE("          ", "6375", " - ", "OUTSIDE REPAIRS &amp; MAINTENANCE")</f>
        <v xml:space="preserve">          6375 - OUTSIDE REPAIRS &amp; MAINTENANCE</v>
      </c>
      <c r="C49" s="11"/>
      <c r="D49" s="6">
        <v>1526.35</v>
      </c>
      <c r="E49" s="2"/>
      <c r="F49" s="7">
        <f t="shared" si="32"/>
        <v>0</v>
      </c>
      <c r="G49" s="2"/>
      <c r="H49" s="6"/>
      <c r="I49" s="2"/>
      <c r="J49" s="7">
        <f t="shared" si="33"/>
        <v>0</v>
      </c>
      <c r="K49" s="2"/>
      <c r="L49" s="6">
        <f t="shared" si="34"/>
        <v>1526.35</v>
      </c>
      <c r="M49" s="2"/>
      <c r="N49" s="7">
        <f t="shared" si="35"/>
        <v>0</v>
      </c>
      <c r="O49" s="11"/>
      <c r="P49" s="6">
        <v>5122.63</v>
      </c>
      <c r="Q49" s="2"/>
      <c r="R49" s="7">
        <f t="shared" si="36"/>
        <v>0</v>
      </c>
      <c r="S49" s="2"/>
      <c r="T49" s="6"/>
      <c r="U49" s="2"/>
      <c r="V49" s="7">
        <f t="shared" si="37"/>
        <v>0</v>
      </c>
      <c r="W49" s="2"/>
      <c r="X49" s="6">
        <f t="shared" si="38"/>
        <v>5122.63</v>
      </c>
      <c r="Y49" s="2"/>
      <c r="Z49" s="7">
        <f t="shared" si="39"/>
        <v>0</v>
      </c>
    </row>
    <row r="50" spans="1:26" s="29" customFormat="1" outlineLevel="1" collapsed="1" x14ac:dyDescent="0.3">
      <c r="A50" s="27"/>
      <c r="B50" s="14" t="str">
        <f>CONCATENATE("     ","Services                                          ")</f>
        <v xml:space="preserve">     Services                                          </v>
      </c>
      <c r="C50" s="14"/>
      <c r="D50" s="1">
        <f>SUM(OSRRefD22_9x_0)</f>
        <v>0</v>
      </c>
      <c r="E50" s="1"/>
      <c r="F50" s="5">
        <f t="shared" ref="F50:F59" si="40">IF(D$12=0,0,D50/D$12)</f>
        <v>0</v>
      </c>
      <c r="G50" s="1"/>
      <c r="H50" s="1">
        <f>SUM(OSRRefH22_9x_0)</f>
        <v>0</v>
      </c>
      <c r="I50" s="1"/>
      <c r="J50" s="5">
        <f t="shared" ref="J50:J59" si="41">IF(H$12=0,0,H50/H$12)</f>
        <v>0</v>
      </c>
      <c r="K50" s="1"/>
      <c r="L50" s="1">
        <f t="shared" ref="L50:L59" si="42">+D50-H50</f>
        <v>0</v>
      </c>
      <c r="M50" s="1"/>
      <c r="N50" s="5">
        <f t="shared" ref="N50:N59" si="43">IF(H50=0,0,L50/H50)</f>
        <v>0</v>
      </c>
      <c r="O50" s="14"/>
      <c r="P50" s="1">
        <f>SUM(OSRRefP22_9x_0)</f>
        <v>260</v>
      </c>
      <c r="Q50" s="1"/>
      <c r="R50" s="5">
        <f t="shared" ref="R50:R59" si="44">IF(P$12=0,0,P50/P$12)</f>
        <v>0</v>
      </c>
      <c r="S50" s="1"/>
      <c r="T50" s="1">
        <f>SUM(OSRRefT22_9x_0)</f>
        <v>0</v>
      </c>
      <c r="U50" s="1"/>
      <c r="V50" s="5">
        <f t="shared" ref="V50:V59" si="45">IF(T$12=0,0,T50/T$12)</f>
        <v>0</v>
      </c>
      <c r="W50" s="1"/>
      <c r="X50" s="1">
        <f t="shared" ref="X50:X59" si="46">+P50-T50</f>
        <v>260</v>
      </c>
      <c r="Y50" s="1"/>
      <c r="Z50" s="5">
        <f t="shared" ref="Z50:Z59" si="47">IF(T50=0,0,X50/T50)</f>
        <v>0</v>
      </c>
    </row>
    <row r="51" spans="1:26" s="24" customFormat="1" hidden="1" outlineLevel="2" x14ac:dyDescent="0.3">
      <c r="A51" s="28"/>
      <c r="B51" s="11" t="str">
        <f>CONCATENATE("          ", "6285", " - ", "JANITORIAL SERVICES")</f>
        <v xml:space="preserve">          6285 - JANITORIAL SERVICES</v>
      </c>
      <c r="C51" s="11"/>
      <c r="D51" s="6"/>
      <c r="E51" s="2"/>
      <c r="F51" s="7">
        <f t="shared" si="40"/>
        <v>0</v>
      </c>
      <c r="G51" s="2"/>
      <c r="H51" s="6"/>
      <c r="I51" s="2"/>
      <c r="J51" s="7">
        <f t="shared" si="41"/>
        <v>0</v>
      </c>
      <c r="K51" s="2"/>
      <c r="L51" s="6">
        <f t="shared" si="42"/>
        <v>0</v>
      </c>
      <c r="M51" s="2"/>
      <c r="N51" s="7">
        <f t="shared" si="43"/>
        <v>0</v>
      </c>
      <c r="O51" s="11"/>
      <c r="P51" s="6">
        <v>260</v>
      </c>
      <c r="Q51" s="2"/>
      <c r="R51" s="7">
        <f t="shared" si="44"/>
        <v>0</v>
      </c>
      <c r="S51" s="2"/>
      <c r="T51" s="6"/>
      <c r="U51" s="2"/>
      <c r="V51" s="7">
        <f t="shared" si="45"/>
        <v>0</v>
      </c>
      <c r="W51" s="2"/>
      <c r="X51" s="6">
        <f t="shared" si="46"/>
        <v>260</v>
      </c>
      <c r="Y51" s="2"/>
      <c r="Z51" s="7">
        <f t="shared" si="47"/>
        <v>0</v>
      </c>
    </row>
    <row r="52" spans="1:26" s="29" customFormat="1" outlineLevel="1" collapsed="1" x14ac:dyDescent="0.3">
      <c r="A52" s="27"/>
      <c r="B52" s="14" t="str">
        <f>CONCATENATE("     ","Subscriptions &amp; Dues                              ")</f>
        <v xml:space="preserve">     Subscriptions &amp; Dues                              </v>
      </c>
      <c r="C52" s="14"/>
      <c r="D52" s="1">
        <f>SUM(OSRRefD22_10x_0)</f>
        <v>635.53</v>
      </c>
      <c r="E52" s="1"/>
      <c r="F52" s="5">
        <f t="shared" si="40"/>
        <v>0</v>
      </c>
      <c r="G52" s="1"/>
      <c r="H52" s="1">
        <f>SUM(OSRRefH22_10x_0)</f>
        <v>0</v>
      </c>
      <c r="I52" s="1"/>
      <c r="J52" s="5">
        <f t="shared" si="41"/>
        <v>0</v>
      </c>
      <c r="K52" s="1"/>
      <c r="L52" s="1">
        <f t="shared" si="42"/>
        <v>635.53</v>
      </c>
      <c r="M52" s="1"/>
      <c r="N52" s="5">
        <f t="shared" si="43"/>
        <v>0</v>
      </c>
      <c r="O52" s="14"/>
      <c r="P52" s="1">
        <f>SUM(OSRRefP22_10x_0)</f>
        <v>1226.2</v>
      </c>
      <c r="Q52" s="1"/>
      <c r="R52" s="5">
        <f t="shared" si="44"/>
        <v>0</v>
      </c>
      <c r="S52" s="1"/>
      <c r="T52" s="1">
        <f>SUM(OSRRefT22_10x_0)</f>
        <v>0</v>
      </c>
      <c r="U52" s="1"/>
      <c r="V52" s="5">
        <f t="shared" si="45"/>
        <v>0</v>
      </c>
      <c r="W52" s="1"/>
      <c r="X52" s="1">
        <f t="shared" si="46"/>
        <v>1226.2</v>
      </c>
      <c r="Y52" s="1"/>
      <c r="Z52" s="5">
        <f t="shared" si="47"/>
        <v>0</v>
      </c>
    </row>
    <row r="53" spans="1:26" s="24" customFormat="1" hidden="1" outlineLevel="2" x14ac:dyDescent="0.3">
      <c r="A53" s="28"/>
      <c r="B53" s="11" t="str">
        <f>CONCATENATE("          ", "6275", " - ", "SUBSCRIPTIONS")</f>
        <v xml:space="preserve">          6275 - SUBSCRIPTIONS</v>
      </c>
      <c r="C53" s="11"/>
      <c r="D53" s="6">
        <v>635.53</v>
      </c>
      <c r="E53" s="2"/>
      <c r="F53" s="7">
        <f t="shared" si="40"/>
        <v>0</v>
      </c>
      <c r="G53" s="2"/>
      <c r="H53" s="6"/>
      <c r="I53" s="2"/>
      <c r="J53" s="7">
        <f t="shared" si="41"/>
        <v>0</v>
      </c>
      <c r="K53" s="2"/>
      <c r="L53" s="6">
        <f t="shared" si="42"/>
        <v>635.53</v>
      </c>
      <c r="M53" s="2"/>
      <c r="N53" s="7">
        <f t="shared" si="43"/>
        <v>0</v>
      </c>
      <c r="O53" s="11"/>
      <c r="P53" s="6">
        <v>1226.2</v>
      </c>
      <c r="Q53" s="2"/>
      <c r="R53" s="7">
        <f t="shared" si="44"/>
        <v>0</v>
      </c>
      <c r="S53" s="2"/>
      <c r="T53" s="6"/>
      <c r="U53" s="2"/>
      <c r="V53" s="7">
        <f t="shared" si="45"/>
        <v>0</v>
      </c>
      <c r="W53" s="2"/>
      <c r="X53" s="6">
        <f t="shared" si="46"/>
        <v>1226.2</v>
      </c>
      <c r="Y53" s="2"/>
      <c r="Z53" s="7">
        <f t="shared" si="47"/>
        <v>0</v>
      </c>
    </row>
    <row r="54" spans="1:26" s="29" customFormat="1" outlineLevel="1" collapsed="1" x14ac:dyDescent="0.3">
      <c r="A54" s="27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SUM(OSRRefD22_11x_0)</f>
        <v>152.01</v>
      </c>
      <c r="E54" s="1"/>
      <c r="F54" s="5">
        <f t="shared" si="40"/>
        <v>0</v>
      </c>
      <c r="G54" s="1"/>
      <c r="H54" s="1">
        <f>SUM(OSRRefH22_11x_0)</f>
        <v>0</v>
      </c>
      <c r="I54" s="1"/>
      <c r="J54" s="5">
        <f t="shared" si="41"/>
        <v>0</v>
      </c>
      <c r="K54" s="1"/>
      <c r="L54" s="1">
        <f t="shared" si="42"/>
        <v>152.01</v>
      </c>
      <c r="M54" s="1"/>
      <c r="N54" s="5">
        <f t="shared" si="43"/>
        <v>0</v>
      </c>
      <c r="O54" s="14"/>
      <c r="P54" s="1">
        <f>SUM(OSRRefP22_11x_0)</f>
        <v>2353.29</v>
      </c>
      <c r="Q54" s="1"/>
      <c r="R54" s="5">
        <f t="shared" si="44"/>
        <v>0</v>
      </c>
      <c r="S54" s="1"/>
      <c r="T54" s="1">
        <f>SUM(OSRRefT22_11x_0)</f>
        <v>0</v>
      </c>
      <c r="U54" s="1"/>
      <c r="V54" s="5">
        <f t="shared" si="45"/>
        <v>0</v>
      </c>
      <c r="W54" s="1"/>
      <c r="X54" s="1">
        <f t="shared" si="46"/>
        <v>2353.29</v>
      </c>
      <c r="Y54" s="1"/>
      <c r="Z54" s="5">
        <f t="shared" si="47"/>
        <v>0</v>
      </c>
    </row>
    <row r="55" spans="1:26" s="24" customFormat="1" hidden="1" outlineLevel="2" x14ac:dyDescent="0.3">
      <c r="A55" s="28"/>
      <c r="B55" s="11" t="str">
        <f>CONCATENATE("          ", "6237", " - ", "JANITORIAL SUPPLIES")</f>
        <v xml:space="preserve">          6237 - JANITORIAL SUPPLIES</v>
      </c>
      <c r="C55" s="11"/>
      <c r="D55" s="6"/>
      <c r="E55" s="2"/>
      <c r="F55" s="7">
        <f t="shared" si="40"/>
        <v>0</v>
      </c>
      <c r="G55" s="2"/>
      <c r="H55" s="6"/>
      <c r="I55" s="2"/>
      <c r="J55" s="7">
        <f t="shared" si="41"/>
        <v>0</v>
      </c>
      <c r="K55" s="2"/>
      <c r="L55" s="6">
        <f t="shared" si="42"/>
        <v>0</v>
      </c>
      <c r="M55" s="2"/>
      <c r="N55" s="7">
        <f t="shared" si="43"/>
        <v>0</v>
      </c>
      <c r="O55" s="11"/>
      <c r="P55" s="6">
        <v>796.76</v>
      </c>
      <c r="Q55" s="2"/>
      <c r="R55" s="7">
        <f t="shared" si="44"/>
        <v>0</v>
      </c>
      <c r="S55" s="2"/>
      <c r="T55" s="6"/>
      <c r="U55" s="2"/>
      <c r="V55" s="7">
        <f t="shared" si="45"/>
        <v>0</v>
      </c>
      <c r="W55" s="2"/>
      <c r="X55" s="6">
        <f t="shared" si="46"/>
        <v>796.76</v>
      </c>
      <c r="Y55" s="2"/>
      <c r="Z55" s="7">
        <f t="shared" si="47"/>
        <v>0</v>
      </c>
    </row>
    <row r="56" spans="1:26" s="24" customFormat="1" hidden="1" outlineLevel="2" x14ac:dyDescent="0.3">
      <c r="A56" s="28"/>
      <c r="B56" s="11" t="str">
        <f>CONCATENATE("          ", "6239", " - ", "KITCHEN SUPPLIES")</f>
        <v xml:space="preserve">          6239 - KITCHEN SUPPLIES</v>
      </c>
      <c r="C56" s="11"/>
      <c r="D56" s="6">
        <v>117.5</v>
      </c>
      <c r="E56" s="2"/>
      <c r="F56" s="7">
        <f t="shared" si="40"/>
        <v>0</v>
      </c>
      <c r="G56" s="2"/>
      <c r="H56" s="6"/>
      <c r="I56" s="2"/>
      <c r="J56" s="7">
        <f t="shared" si="41"/>
        <v>0</v>
      </c>
      <c r="K56" s="2"/>
      <c r="L56" s="6">
        <f t="shared" si="42"/>
        <v>117.5</v>
      </c>
      <c r="M56" s="2"/>
      <c r="N56" s="7">
        <f t="shared" si="43"/>
        <v>0</v>
      </c>
      <c r="O56" s="11"/>
      <c r="P56" s="6">
        <v>187.12</v>
      </c>
      <c r="Q56" s="2"/>
      <c r="R56" s="7">
        <f t="shared" si="44"/>
        <v>0</v>
      </c>
      <c r="S56" s="2"/>
      <c r="T56" s="6"/>
      <c r="U56" s="2"/>
      <c r="V56" s="7">
        <f t="shared" si="45"/>
        <v>0</v>
      </c>
      <c r="W56" s="2"/>
      <c r="X56" s="6">
        <f t="shared" si="46"/>
        <v>187.12</v>
      </c>
      <c r="Y56" s="2"/>
      <c r="Z56" s="7">
        <f t="shared" si="47"/>
        <v>0</v>
      </c>
    </row>
    <row r="57" spans="1:26" s="24" customFormat="1" hidden="1" outlineLevel="2" x14ac:dyDescent="0.3">
      <c r="A57" s="28"/>
      <c r="B57" s="11" t="str">
        <f>CONCATENATE("          ", "6241", " - ", "OFFICE EXPENSE")</f>
        <v xml:space="preserve">          6241 - OFFICE EXPENSE</v>
      </c>
      <c r="C57" s="11"/>
      <c r="D57" s="6">
        <v>34.51</v>
      </c>
      <c r="E57" s="2"/>
      <c r="F57" s="7">
        <f t="shared" si="40"/>
        <v>0</v>
      </c>
      <c r="G57" s="2"/>
      <c r="H57" s="6"/>
      <c r="I57" s="2"/>
      <c r="J57" s="7">
        <f t="shared" si="41"/>
        <v>0</v>
      </c>
      <c r="K57" s="2"/>
      <c r="L57" s="6">
        <f t="shared" si="42"/>
        <v>34.51</v>
      </c>
      <c r="M57" s="2"/>
      <c r="N57" s="7">
        <f t="shared" si="43"/>
        <v>0</v>
      </c>
      <c r="O57" s="11"/>
      <c r="P57" s="6">
        <v>893.22</v>
      </c>
      <c r="Q57" s="2"/>
      <c r="R57" s="7">
        <f t="shared" si="44"/>
        <v>0</v>
      </c>
      <c r="S57" s="2"/>
      <c r="T57" s="6"/>
      <c r="U57" s="2"/>
      <c r="V57" s="7">
        <f t="shared" si="45"/>
        <v>0</v>
      </c>
      <c r="W57" s="2"/>
      <c r="X57" s="6">
        <f t="shared" si="46"/>
        <v>893.22</v>
      </c>
      <c r="Y57" s="2"/>
      <c r="Z57" s="7">
        <f t="shared" si="47"/>
        <v>0</v>
      </c>
    </row>
    <row r="58" spans="1:26" s="24" customFormat="1" hidden="1" outlineLevel="2" x14ac:dyDescent="0.3">
      <c r="A58" s="28"/>
      <c r="B58" s="11" t="str">
        <f>CONCATENATE("          ", "6243", " - ", "PAPER SUPPLIES")</f>
        <v xml:space="preserve">          6243 - PAPER SUPPLIES</v>
      </c>
      <c r="C58" s="11"/>
      <c r="D58" s="6"/>
      <c r="E58" s="2"/>
      <c r="F58" s="7">
        <f t="shared" si="40"/>
        <v>0</v>
      </c>
      <c r="G58" s="2"/>
      <c r="H58" s="6"/>
      <c r="I58" s="2"/>
      <c r="J58" s="7">
        <f t="shared" si="41"/>
        <v>0</v>
      </c>
      <c r="K58" s="2"/>
      <c r="L58" s="6">
        <f t="shared" si="42"/>
        <v>0</v>
      </c>
      <c r="M58" s="2"/>
      <c r="N58" s="7">
        <f t="shared" si="43"/>
        <v>0</v>
      </c>
      <c r="O58" s="11"/>
      <c r="P58" s="6">
        <v>138.19</v>
      </c>
      <c r="Q58" s="2"/>
      <c r="R58" s="7">
        <f t="shared" si="44"/>
        <v>0</v>
      </c>
      <c r="S58" s="2"/>
      <c r="T58" s="6"/>
      <c r="U58" s="2"/>
      <c r="V58" s="7">
        <f t="shared" si="45"/>
        <v>0</v>
      </c>
      <c r="W58" s="2"/>
      <c r="X58" s="6">
        <f t="shared" si="46"/>
        <v>138.19</v>
      </c>
      <c r="Y58" s="2"/>
      <c r="Z58" s="7">
        <f t="shared" si="47"/>
        <v>0</v>
      </c>
    </row>
    <row r="59" spans="1:26" s="24" customFormat="1" hidden="1" outlineLevel="2" x14ac:dyDescent="0.3">
      <c r="A59" s="28"/>
      <c r="B59" s="11" t="str">
        <f>CONCATENATE("          ", "6245", " - ", "PRINTING")</f>
        <v xml:space="preserve">          6245 - PRINTING</v>
      </c>
      <c r="C59" s="11"/>
      <c r="D59" s="6"/>
      <c r="E59" s="2"/>
      <c r="F59" s="7">
        <f t="shared" si="40"/>
        <v>0</v>
      </c>
      <c r="G59" s="2"/>
      <c r="H59" s="6"/>
      <c r="I59" s="2"/>
      <c r="J59" s="7">
        <f t="shared" si="41"/>
        <v>0</v>
      </c>
      <c r="K59" s="2"/>
      <c r="L59" s="6">
        <f t="shared" si="42"/>
        <v>0</v>
      </c>
      <c r="M59" s="2"/>
      <c r="N59" s="7">
        <f t="shared" si="43"/>
        <v>0</v>
      </c>
      <c r="O59" s="11"/>
      <c r="P59" s="6">
        <v>338</v>
      </c>
      <c r="Q59" s="2"/>
      <c r="R59" s="7">
        <f t="shared" si="44"/>
        <v>0</v>
      </c>
      <c r="S59" s="2"/>
      <c r="T59" s="6"/>
      <c r="U59" s="2"/>
      <c r="V59" s="7">
        <f t="shared" si="45"/>
        <v>0</v>
      </c>
      <c r="W59" s="2"/>
      <c r="X59" s="6">
        <f t="shared" si="46"/>
        <v>338</v>
      </c>
      <c r="Y59" s="2"/>
      <c r="Z59" s="7">
        <f t="shared" si="47"/>
        <v>0</v>
      </c>
    </row>
    <row r="60" spans="1:26" s="29" customFormat="1" outlineLevel="1" collapsed="1" x14ac:dyDescent="0.3">
      <c r="A60" s="27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SUM(OSRRefD22_12x_0)</f>
        <v>0</v>
      </c>
      <c r="E60" s="1"/>
      <c r="F60" s="5">
        <f t="shared" ref="F60:F61" si="48">IF(D$12=0,0,D60/D$12)</f>
        <v>0</v>
      </c>
      <c r="G60" s="1"/>
      <c r="H60" s="1">
        <f>SUM(OSRRefH22_12x_0)</f>
        <v>0</v>
      </c>
      <c r="I60" s="1"/>
      <c r="J60" s="5">
        <f t="shared" ref="J60:J61" si="49">IF(H$12=0,0,H60/H$12)</f>
        <v>0</v>
      </c>
      <c r="K60" s="1"/>
      <c r="L60" s="1">
        <f t="shared" ref="L60:L61" si="50">+D60-H60</f>
        <v>0</v>
      </c>
      <c r="M60" s="1"/>
      <c r="N60" s="5">
        <f t="shared" ref="N60:N61" si="51">IF(H60=0,0,L60/H60)</f>
        <v>0</v>
      </c>
      <c r="O60" s="14"/>
      <c r="P60" s="1">
        <f>SUM(OSRRefP22_12x_0)</f>
        <v>75</v>
      </c>
      <c r="Q60" s="1"/>
      <c r="R60" s="5">
        <f t="shared" ref="R60:R61" si="52">IF(P$12=0,0,P60/P$12)</f>
        <v>0</v>
      </c>
      <c r="S60" s="1"/>
      <c r="T60" s="1">
        <f>SUM(OSRRefT22_12x_0)</f>
        <v>250.87</v>
      </c>
      <c r="U60" s="1"/>
      <c r="V60" s="5">
        <f t="shared" ref="V60:V61" si="53">IF(T$12=0,0,T60/T$12)</f>
        <v>0</v>
      </c>
      <c r="W60" s="1"/>
      <c r="X60" s="1">
        <f t="shared" ref="X60:X61" si="54">+P60-T60</f>
        <v>-175.87</v>
      </c>
      <c r="Y60" s="1"/>
      <c r="Z60" s="5">
        <f t="shared" ref="Z60:Z61" si="55">IF(T60=0,0,X60/T60)</f>
        <v>-0.70104037947941167</v>
      </c>
    </row>
    <row r="61" spans="1:26" s="24" customFormat="1" hidden="1" outlineLevel="2" x14ac:dyDescent="0.3">
      <c r="A61" s="28"/>
      <c r="B61" s="11" t="str">
        <f>CONCATENATE("          ", "6309", " - ", "TELEPHONE")</f>
        <v xml:space="preserve">          6309 - TELEPHONE</v>
      </c>
      <c r="C61" s="11"/>
      <c r="D61" s="6">
        <v>0</v>
      </c>
      <c r="E61" s="2"/>
      <c r="F61" s="7">
        <f t="shared" si="48"/>
        <v>0</v>
      </c>
      <c r="G61" s="2"/>
      <c r="H61" s="6"/>
      <c r="I61" s="2"/>
      <c r="J61" s="7">
        <f t="shared" si="49"/>
        <v>0</v>
      </c>
      <c r="K61" s="2"/>
      <c r="L61" s="6">
        <f t="shared" si="50"/>
        <v>0</v>
      </c>
      <c r="M61" s="2"/>
      <c r="N61" s="7">
        <f t="shared" si="51"/>
        <v>0</v>
      </c>
      <c r="O61" s="11"/>
      <c r="P61" s="6">
        <v>75</v>
      </c>
      <c r="Q61" s="2"/>
      <c r="R61" s="7">
        <f t="shared" si="52"/>
        <v>0</v>
      </c>
      <c r="S61" s="2"/>
      <c r="T61" s="6">
        <v>250.87</v>
      </c>
      <c r="U61" s="2"/>
      <c r="V61" s="7">
        <f t="shared" si="53"/>
        <v>0</v>
      </c>
      <c r="W61" s="2"/>
      <c r="X61" s="6">
        <f t="shared" si="54"/>
        <v>-175.87</v>
      </c>
      <c r="Y61" s="2"/>
      <c r="Z61" s="7">
        <f t="shared" si="55"/>
        <v>-0.70104037947941167</v>
      </c>
    </row>
    <row r="62" spans="1:26" s="53" customFormat="1" x14ac:dyDescent="0.3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collapsed="1" x14ac:dyDescent="0.3">
      <c r="A63" s="10"/>
      <c r="B63" s="25" t="s">
        <v>292</v>
      </c>
      <c r="C63" s="10"/>
      <c r="D63" s="4">
        <f>SUM(OSRRefD25x_0)</f>
        <v>0</v>
      </c>
      <c r="E63" s="4"/>
      <c r="F63" s="12">
        <f t="shared" ref="F63:F64" si="56">IF(D$12=0,0,D63/D$12)</f>
        <v>0</v>
      </c>
      <c r="G63" s="4"/>
      <c r="H63" s="4">
        <f>SUM(OSRRefH25x_0)</f>
        <v>0</v>
      </c>
      <c r="I63" s="4"/>
      <c r="J63" s="12">
        <f t="shared" ref="J63:J64" si="57">IF(H$12=0,0,H63/H$12)</f>
        <v>0</v>
      </c>
      <c r="K63" s="4"/>
      <c r="L63" s="4">
        <f t="shared" ref="L63:L64" si="58">+D63-H63</f>
        <v>0</v>
      </c>
      <c r="M63" s="4"/>
      <c r="N63" s="12">
        <f t="shared" ref="N63:N64" si="59">IF(H63=0,0,L63/H63)</f>
        <v>0</v>
      </c>
      <c r="O63" s="10"/>
      <c r="P63" s="4">
        <f>SUM(OSRRefP25x_0)</f>
        <v>341.5</v>
      </c>
      <c r="Q63" s="4"/>
      <c r="R63" s="12">
        <f t="shared" ref="R63:R64" si="60">IF(P$12=0,0,P63/P$12)</f>
        <v>0</v>
      </c>
      <c r="S63" s="4"/>
      <c r="T63" s="4">
        <f>SUM(OSRRefT25x_0)</f>
        <v>111.42</v>
      </c>
      <c r="U63" s="4"/>
      <c r="V63" s="12">
        <f t="shared" ref="V63:V64" si="61">IF(T$12=0,0,T63/T$12)</f>
        <v>0</v>
      </c>
      <c r="W63" s="4"/>
      <c r="X63" s="4">
        <f t="shared" ref="X63:X64" si="62">+P63-T63</f>
        <v>230.07999999999998</v>
      </c>
      <c r="Y63" s="4"/>
      <c r="Z63" s="12">
        <f t="shared" ref="Z63:Z64" si="63">IF(T63=0,0,X63/T63)</f>
        <v>2.0649793573864654</v>
      </c>
    </row>
    <row r="64" spans="1:26" s="24" customFormat="1" hidden="1" outlineLevel="1" x14ac:dyDescent="0.3">
      <c r="A64" s="44"/>
      <c r="B64" s="11" t="str">
        <f>CONCATENATE("          ", "9150", " - ", "MISC. INCOME")</f>
        <v xml:space="preserve">          9150 - MISC. INCOME</v>
      </c>
      <c r="C64" s="11"/>
      <c r="D64" s="2">
        <f>0</f>
        <v>0</v>
      </c>
      <c r="E64" s="2"/>
      <c r="F64" s="19">
        <f t="shared" si="56"/>
        <v>0</v>
      </c>
      <c r="G64" s="2"/>
      <c r="H64" s="2">
        <f>0</f>
        <v>0</v>
      </c>
      <c r="I64" s="2"/>
      <c r="J64" s="19">
        <f t="shared" si="57"/>
        <v>0</v>
      </c>
      <c r="K64" s="2"/>
      <c r="L64" s="2">
        <f t="shared" si="58"/>
        <v>0</v>
      </c>
      <c r="M64" s="2"/>
      <c r="N64" s="19">
        <f t="shared" si="59"/>
        <v>0</v>
      </c>
      <c r="O64" s="11"/>
      <c r="P64" s="2">
        <f>--341.5</f>
        <v>341.5</v>
      </c>
      <c r="Q64" s="2"/>
      <c r="R64" s="19">
        <f t="shared" si="60"/>
        <v>0</v>
      </c>
      <c r="S64" s="2"/>
      <c r="T64" s="2">
        <f>--111.42</f>
        <v>111.42</v>
      </c>
      <c r="U64" s="2"/>
      <c r="V64" s="19">
        <f t="shared" si="61"/>
        <v>0</v>
      </c>
      <c r="W64" s="2"/>
      <c r="X64" s="2">
        <f t="shared" si="62"/>
        <v>230.07999999999998</v>
      </c>
      <c r="Y64" s="2"/>
      <c r="Z64" s="19">
        <f t="shared" si="63"/>
        <v>2.0649793573864654</v>
      </c>
    </row>
    <row r="65" spans="1:26" x14ac:dyDescent="0.3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3">
      <c r="A66" s="10"/>
      <c r="B66" s="26" t="s">
        <v>276</v>
      </c>
      <c r="C66" s="26"/>
      <c r="D66" s="20">
        <f>+D17-D19+D63</f>
        <v>-17648.239999999998</v>
      </c>
      <c r="E66" s="13"/>
      <c r="F66" s="21">
        <f>IF(D$12=0,0,D66/D$12)</f>
        <v>0</v>
      </c>
      <c r="G66" s="13"/>
      <c r="H66" s="20">
        <f>+H17-H19+H63</f>
        <v>-6944.03</v>
      </c>
      <c r="I66" s="13"/>
      <c r="J66" s="21">
        <f>IF(H$12=0,0,H66/H$12)</f>
        <v>0</v>
      </c>
      <c r="K66" s="15"/>
      <c r="L66" s="20">
        <f>+D66-H66</f>
        <v>-10704.21</v>
      </c>
      <c r="M66" s="15"/>
      <c r="N66" s="21">
        <f>IF(H66=0,0,L66/H66)</f>
        <v>1.5414982366147612</v>
      </c>
      <c r="O66" s="25"/>
      <c r="P66" s="20">
        <f>+P17-P19+P63</f>
        <v>-103272.37</v>
      </c>
      <c r="Q66" s="13"/>
      <c r="R66" s="21">
        <f>IF(P$12=0,0,P66/P$12)</f>
        <v>0</v>
      </c>
      <c r="S66" s="13"/>
      <c r="T66" s="20">
        <f>+T17-T19+T63</f>
        <v>-52170.230000000018</v>
      </c>
      <c r="U66" s="13"/>
      <c r="V66" s="21">
        <f>IF(T$12=0,0,T66/T$12)</f>
        <v>0</v>
      </c>
      <c r="W66" s="15"/>
      <c r="X66" s="20">
        <f>+P66-T66</f>
        <v>-51102.139999999978</v>
      </c>
      <c r="Y66" s="15"/>
      <c r="Z66" s="21">
        <f>IF(T66=0,0,X66/T66)</f>
        <v>0.97952682976479033</v>
      </c>
    </row>
    <row r="67" spans="1:26" x14ac:dyDescent="0.3">
      <c r="A67" s="9"/>
      <c r="B67" s="10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3">
      <c r="A68" s="51"/>
      <c r="B68" s="10" t="s">
        <v>127</v>
      </c>
      <c r="C68" s="10"/>
      <c r="D68" s="4"/>
      <c r="E68" s="4"/>
      <c r="F68" s="12">
        <f>IF(D$12=0,0,D68/D$12)</f>
        <v>0</v>
      </c>
      <c r="G68" s="4"/>
      <c r="H68" s="4"/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/>
      <c r="Q68" s="4"/>
      <c r="R68" s="12">
        <f>IF(P$12=0,0,P68/P$12)</f>
        <v>0</v>
      </c>
      <c r="S68" s="4"/>
      <c r="T68" s="4"/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3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" thickBot="1" x14ac:dyDescent="0.35">
      <c r="A70" s="10"/>
      <c r="B70" s="26" t="s">
        <v>125</v>
      </c>
      <c r="C70" s="26"/>
      <c r="D70" s="32">
        <f>+D66-D68</f>
        <v>-17648.239999999998</v>
      </c>
      <c r="E70" s="13"/>
      <c r="F70" s="35">
        <f>IF(D$12=0,0,D70/D$12)</f>
        <v>0</v>
      </c>
      <c r="G70" s="13"/>
      <c r="H70" s="32">
        <f>+H66-H68</f>
        <v>-6944.03</v>
      </c>
      <c r="I70" s="13"/>
      <c r="J70" s="35">
        <f>IF(H$12=0,0,H70/H$12)</f>
        <v>0</v>
      </c>
      <c r="K70" s="15"/>
      <c r="L70" s="32">
        <f>D70-H70</f>
        <v>-10704.21</v>
      </c>
      <c r="M70" s="15"/>
      <c r="N70" s="35">
        <f>IF(H70=0,0,L70/H70)</f>
        <v>1.5414982366147612</v>
      </c>
      <c r="O70" s="25"/>
      <c r="P70" s="32">
        <f>+P66-P68</f>
        <v>-103272.37</v>
      </c>
      <c r="Q70" s="13"/>
      <c r="R70" s="35">
        <f>IF(P$12=0,0,P70/P$12)</f>
        <v>0</v>
      </c>
      <c r="S70" s="13"/>
      <c r="T70" s="32">
        <f>+T66-T68</f>
        <v>-52170.230000000018</v>
      </c>
      <c r="U70" s="13"/>
      <c r="V70" s="35">
        <f>IF(T$12=0,0,T70/T$12)</f>
        <v>0</v>
      </c>
      <c r="W70" s="15"/>
      <c r="X70" s="32">
        <f>P70-T70</f>
        <v>-51102.139999999978</v>
      </c>
      <c r="Y70" s="15"/>
      <c r="Z70" s="35">
        <f>IF(T70=0,0,X70/T70)</f>
        <v>0.97952682976479033</v>
      </c>
    </row>
    <row r="71" spans="1:26" ht="15" thickTop="1" x14ac:dyDescent="0.3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x14ac:dyDescent="0.3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" thickBot="1" x14ac:dyDescent="0.35">
      <c r="A73" s="10"/>
      <c r="B73" s="26" t="s">
        <v>293</v>
      </c>
      <c r="C73" s="26"/>
      <c r="D73" s="31">
        <f>SUM(D70:D72)</f>
        <v>-17648.239999999998</v>
      </c>
      <c r="E73" s="13"/>
      <c r="F73" s="33">
        <f>IF(D$12=0,0,D73/D$12)</f>
        <v>0</v>
      </c>
      <c r="G73" s="13"/>
      <c r="H73" s="31">
        <f>SUM(H70:H72)</f>
        <v>-6944.03</v>
      </c>
      <c r="I73" s="13"/>
      <c r="J73" s="33">
        <f>IF(H$12=0,0,H73/H$12)</f>
        <v>0</v>
      </c>
      <c r="K73" s="15"/>
      <c r="L73" s="31">
        <f>+D73-H73</f>
        <v>-10704.21</v>
      </c>
      <c r="M73" s="15"/>
      <c r="N73" s="33">
        <f>IF(H73=0,0,L73/H73)</f>
        <v>1.5414982366147612</v>
      </c>
      <c r="O73" s="25"/>
      <c r="P73" s="31">
        <f>SUM(P70:P72)</f>
        <v>-103272.37</v>
      </c>
      <c r="Q73" s="13"/>
      <c r="R73" s="33">
        <f>IF(P$12=0,0,P73/P$12)</f>
        <v>0</v>
      </c>
      <c r="S73" s="13"/>
      <c r="T73" s="31">
        <f>SUM(T70:T72)</f>
        <v>-52170.230000000018</v>
      </c>
      <c r="U73" s="13"/>
      <c r="V73" s="33">
        <f>IF(T$12=0,0,T73/T$12)</f>
        <v>0</v>
      </c>
      <c r="W73" s="15"/>
      <c r="X73" s="31">
        <f>+P73-T73</f>
        <v>-51102.139999999978</v>
      </c>
      <c r="Y73" s="15"/>
      <c r="Z73" s="33">
        <f>IF(T73=0,0,X73/T73)</f>
        <v>0.97952682976479033</v>
      </c>
    </row>
    <row r="74" spans="1:26" ht="15" thickTop="1" x14ac:dyDescent="0.3">
      <c r="A74" s="9"/>
      <c r="C74" s="9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3">
      <c r="A75" s="9"/>
      <c r="B75" s="60">
        <v>44575.854680405093</v>
      </c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3">
      <c r="A76" s="9"/>
      <c r="B76" s="57" t="s">
        <v>56</v>
      </c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3">
      <c r="A77" s="9"/>
      <c r="B77" s="59"/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3"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  <outlinePr summaryBelow="0" summaryRight="0"/>
  </sheetPr>
  <dimension ref="A2:Z3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","420", " - ", "Catering")</f>
        <v>Department 420 - Catering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62378.23</v>
      </c>
      <c r="I12" s="4"/>
      <c r="J12" s="12"/>
      <c r="K12" s="4"/>
      <c r="L12" s="4">
        <f t="shared" ref="L12:L13" si="0">+D12-H12</f>
        <v>-62378.23</v>
      </c>
      <c r="M12" s="4"/>
      <c r="N12" s="12">
        <f t="shared" ref="N12:N13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148103.39000000001</v>
      </c>
      <c r="U12" s="4"/>
      <c r="V12" s="12"/>
      <c r="W12" s="4"/>
      <c r="X12" s="4">
        <f t="shared" ref="X12:X13" si="2">+P12-T12</f>
        <v>-148103.39000000001</v>
      </c>
      <c r="Y12" s="4"/>
      <c r="Z12" s="12">
        <f t="shared" ref="Z12:Z13" si="3">IF(T12=0,0,X12/T12)</f>
        <v>-1</v>
      </c>
    </row>
    <row r="13" spans="1:26" s="24" customFormat="1" hidden="1" outlineLevel="1" x14ac:dyDescent="0.3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0</f>
        <v>0</v>
      </c>
      <c r="E13" s="2"/>
      <c r="F13" s="19"/>
      <c r="G13" s="2"/>
      <c r="H13" s="2">
        <f>--62378.23</f>
        <v>62378.23</v>
      </c>
      <c r="I13" s="2"/>
      <c r="J13" s="19"/>
      <c r="K13" s="2"/>
      <c r="L13" s="2">
        <f t="shared" si="0"/>
        <v>-62378.23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--148103.39</f>
        <v>148103.39000000001</v>
      </c>
      <c r="U13" s="2"/>
      <c r="V13" s="19"/>
      <c r="W13" s="2"/>
      <c r="X13" s="2">
        <f t="shared" si="2"/>
        <v>-148103.39000000001</v>
      </c>
      <c r="Y13" s="2"/>
      <c r="Z13" s="19">
        <f t="shared" si="3"/>
        <v>-1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">
      <c r="A15" s="10"/>
      <c r="B15" s="25" t="s">
        <v>256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6" t="s">
        <v>107</v>
      </c>
      <c r="C17" s="26"/>
      <c r="D17" s="20">
        <f>D12-D15</f>
        <v>0</v>
      </c>
      <c r="E17" s="13"/>
      <c r="F17" s="21">
        <f>IF(D$12=0,0,D17/D$12)</f>
        <v>0</v>
      </c>
      <c r="G17" s="13"/>
      <c r="H17" s="20">
        <f>H12-H15</f>
        <v>62378.23</v>
      </c>
      <c r="I17" s="13"/>
      <c r="J17" s="21">
        <f>IF(H$12=0,0,H17/H$12)</f>
        <v>1</v>
      </c>
      <c r="K17" s="15"/>
      <c r="L17" s="20">
        <f>+D17-H17</f>
        <v>-62378.23</v>
      </c>
      <c r="M17" s="15"/>
      <c r="N17" s="21">
        <f>IF(H17=0,0,L17/H17)</f>
        <v>-1</v>
      </c>
      <c r="O17" s="25"/>
      <c r="P17" s="20">
        <f>P12-P15</f>
        <v>0</v>
      </c>
      <c r="Q17" s="13"/>
      <c r="R17" s="21">
        <f>IF(P$12=0,0,P17/P$12)</f>
        <v>0</v>
      </c>
      <c r="S17" s="13"/>
      <c r="T17" s="20">
        <f>T12-T15</f>
        <v>148103.39000000001</v>
      </c>
      <c r="U17" s="13"/>
      <c r="V17" s="21">
        <f>IF(T$12=0,0,T17/T$12)</f>
        <v>1</v>
      </c>
      <c r="W17" s="15"/>
      <c r="X17" s="20">
        <f>+P17-T17</f>
        <v>-148103.39000000001</v>
      </c>
      <c r="Y17" s="15"/>
      <c r="Z17" s="21">
        <f>IF(T17=0,0,X17/T17)</f>
        <v>-1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294</v>
      </c>
      <c r="C19" s="10"/>
      <c r="D19" s="22">
        <f>SUM(OSRRefD22x_0)</f>
        <v>0</v>
      </c>
      <c r="E19" s="22"/>
      <c r="F19" s="34">
        <f t="shared" ref="F19:F21" si="4">IF(D$12=0,0,D19/D$12)</f>
        <v>0</v>
      </c>
      <c r="G19" s="22"/>
      <c r="H19" s="22">
        <f>SUM(OSRRefH22x_0)</f>
        <v>0</v>
      </c>
      <c r="I19" s="22"/>
      <c r="J19" s="34">
        <f t="shared" ref="J19:J21" si="5">IF(H$12=0,0,H19/H$12)</f>
        <v>0</v>
      </c>
      <c r="K19" s="4"/>
      <c r="L19" s="22">
        <f t="shared" ref="L19:L21" si="6">+D19-H19</f>
        <v>0</v>
      </c>
      <c r="M19" s="4"/>
      <c r="N19" s="34">
        <f t="shared" ref="N19:N21" si="7">IF(H19=0,0,L19/H19)</f>
        <v>0</v>
      </c>
      <c r="O19" s="10"/>
      <c r="P19" s="22">
        <f>SUM(OSRRefP22x_0)</f>
        <v>0</v>
      </c>
      <c r="Q19" s="22"/>
      <c r="R19" s="34">
        <f t="shared" ref="R19:R21" si="8">IF(P$12=0,0,P19/P$12)</f>
        <v>0</v>
      </c>
      <c r="S19" s="22"/>
      <c r="T19" s="22">
        <f>SUM(OSRRefT22x_0)</f>
        <v>7.86</v>
      </c>
      <c r="U19" s="22"/>
      <c r="V19" s="34">
        <f t="shared" ref="V19:V21" si="9">IF(T$12=0,0,T19/T$12)</f>
        <v>5.3071033688020236E-5</v>
      </c>
      <c r="W19" s="4"/>
      <c r="X19" s="22">
        <f t="shared" ref="X19:X21" si="10">+P19-T19</f>
        <v>-7.86</v>
      </c>
      <c r="Y19" s="4"/>
      <c r="Z19" s="34">
        <f t="shared" ref="Z19:Z21" si="11">IF(T19=0,0,X19/T19)</f>
        <v>-1</v>
      </c>
    </row>
    <row r="20" spans="1:26" s="29" customFormat="1" outlineLevel="1" collapsed="1" x14ac:dyDescent="0.3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4"/>
        <v>0</v>
      </c>
      <c r="G20" s="1"/>
      <c r="H20" s="1">
        <f>SUM(OSRRefH22_0x_0)</f>
        <v>0</v>
      </c>
      <c r="I20" s="1"/>
      <c r="J20" s="5">
        <f t="shared" si="5"/>
        <v>0</v>
      </c>
      <c r="K20" s="1"/>
      <c r="L20" s="1">
        <f t="shared" si="6"/>
        <v>0</v>
      </c>
      <c r="M20" s="1"/>
      <c r="N20" s="5">
        <f t="shared" si="7"/>
        <v>0</v>
      </c>
      <c r="O20" s="14"/>
      <c r="P20" s="1">
        <f>SUM(OSRRefP22_0x_0)</f>
        <v>0</v>
      </c>
      <c r="Q20" s="1"/>
      <c r="R20" s="5">
        <f t="shared" si="8"/>
        <v>0</v>
      </c>
      <c r="S20" s="1"/>
      <c r="T20" s="1">
        <f>SUM(OSRRefT22_0x_0)</f>
        <v>7.86</v>
      </c>
      <c r="U20" s="1"/>
      <c r="V20" s="5">
        <f t="shared" si="9"/>
        <v>5.3071033688020236E-5</v>
      </c>
      <c r="W20" s="1"/>
      <c r="X20" s="1">
        <f t="shared" si="10"/>
        <v>-7.86</v>
      </c>
      <c r="Y20" s="1"/>
      <c r="Z20" s="5">
        <f t="shared" si="11"/>
        <v>-1</v>
      </c>
    </row>
    <row r="21" spans="1:26" s="24" customFormat="1" hidden="1" outlineLevel="2" x14ac:dyDescent="0.3">
      <c r="A21" s="28"/>
      <c r="B21" s="11" t="str">
        <f>CONCATENATE("          ", "6111", " - ", "F.I.C.A.")</f>
        <v xml:space="preserve">          6111 - F.I.C.A.</v>
      </c>
      <c r="C21" s="11"/>
      <c r="D21" s="6"/>
      <c r="E21" s="2"/>
      <c r="F21" s="7">
        <f t="shared" si="4"/>
        <v>0</v>
      </c>
      <c r="G21" s="2"/>
      <c r="H21" s="6"/>
      <c r="I21" s="2"/>
      <c r="J21" s="7">
        <f t="shared" si="5"/>
        <v>0</v>
      </c>
      <c r="K21" s="2"/>
      <c r="L21" s="6">
        <f t="shared" si="6"/>
        <v>0</v>
      </c>
      <c r="M21" s="2"/>
      <c r="N21" s="7">
        <f t="shared" si="7"/>
        <v>0</v>
      </c>
      <c r="O21" s="11"/>
      <c r="P21" s="6"/>
      <c r="Q21" s="2"/>
      <c r="R21" s="7">
        <f t="shared" si="8"/>
        <v>0</v>
      </c>
      <c r="S21" s="2"/>
      <c r="T21" s="6">
        <v>7.86</v>
      </c>
      <c r="U21" s="2"/>
      <c r="V21" s="7">
        <f t="shared" si="9"/>
        <v>5.3071033688020236E-5</v>
      </c>
      <c r="W21" s="2"/>
      <c r="X21" s="6">
        <f t="shared" si="10"/>
        <v>-7.86</v>
      </c>
      <c r="Y21" s="2"/>
      <c r="Z21" s="7">
        <f t="shared" si="11"/>
        <v>-1</v>
      </c>
    </row>
    <row r="22" spans="1:26" s="53" customFormat="1" x14ac:dyDescent="0.3">
      <c r="A22" s="37"/>
      <c r="B22" s="37"/>
      <c r="C22" s="37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292</v>
      </c>
      <c r="C23" s="10"/>
      <c r="D23" s="4">
        <f>SUM(0)</f>
        <v>0</v>
      </c>
      <c r="E23" s="4"/>
      <c r="F23" s="12">
        <f>IF(D$12=0,0,D23/D$12)</f>
        <v>0</v>
      </c>
      <c r="G23" s="4"/>
      <c r="H23" s="4">
        <f>SUM(0)</f>
        <v>0</v>
      </c>
      <c r="I23" s="4"/>
      <c r="J23" s="12">
        <f>IF(H$12=0,0,H23/H$12)</f>
        <v>0</v>
      </c>
      <c r="K23" s="4"/>
      <c r="L23" s="4">
        <f>+D23-H23</f>
        <v>0</v>
      </c>
      <c r="M23" s="4"/>
      <c r="N23" s="12">
        <f>IF(H23=0,0,L23/H23)</f>
        <v>0</v>
      </c>
      <c r="O23" s="10"/>
      <c r="P23" s="4">
        <f>SUM(0)</f>
        <v>0</v>
      </c>
      <c r="Q23" s="4"/>
      <c r="R23" s="12">
        <f>IF(P$12=0,0,P23/P$12)</f>
        <v>0</v>
      </c>
      <c r="S23" s="4"/>
      <c r="T23" s="4">
        <f>SUM(0)</f>
        <v>0</v>
      </c>
      <c r="U23" s="4"/>
      <c r="V23" s="12">
        <f>IF(T$12=0,0,T23/T$12)</f>
        <v>0</v>
      </c>
      <c r="W23" s="4"/>
      <c r="X23" s="4">
        <f>+P23-T23</f>
        <v>0</v>
      </c>
      <c r="Y23" s="4"/>
      <c r="Z23" s="12">
        <f>IF(T23=0,0,X23/T23)</f>
        <v>0</v>
      </c>
    </row>
    <row r="24" spans="1:26" x14ac:dyDescent="0.3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3">
      <c r="A25" s="10"/>
      <c r="B25" s="26" t="s">
        <v>276</v>
      </c>
      <c r="C25" s="26"/>
      <c r="D25" s="20">
        <f>+D17-D19+D23</f>
        <v>0</v>
      </c>
      <c r="E25" s="13"/>
      <c r="F25" s="21">
        <f>IF(D$12=0,0,D25/D$12)</f>
        <v>0</v>
      </c>
      <c r="G25" s="13"/>
      <c r="H25" s="20">
        <f>+H17-H19+H23</f>
        <v>62378.23</v>
      </c>
      <c r="I25" s="13"/>
      <c r="J25" s="21">
        <f>IF(H$12=0,0,H25/H$12)</f>
        <v>1</v>
      </c>
      <c r="K25" s="15"/>
      <c r="L25" s="20">
        <f>+D25-H25</f>
        <v>-62378.23</v>
      </c>
      <c r="M25" s="15"/>
      <c r="N25" s="21">
        <f>IF(H25=0,0,L25/H25)</f>
        <v>-1</v>
      </c>
      <c r="O25" s="25"/>
      <c r="P25" s="20">
        <f>+P17-P19+P23</f>
        <v>0</v>
      </c>
      <c r="Q25" s="13"/>
      <c r="R25" s="21">
        <f>IF(P$12=0,0,P25/P$12)</f>
        <v>0</v>
      </c>
      <c r="S25" s="13"/>
      <c r="T25" s="20">
        <f>+T17-T19+T23</f>
        <v>148095.53000000003</v>
      </c>
      <c r="U25" s="13"/>
      <c r="V25" s="21">
        <f>IF(T$12=0,0,T25/T$12)</f>
        <v>0.9999469289663121</v>
      </c>
      <c r="W25" s="15"/>
      <c r="X25" s="20">
        <f>+P25-T25</f>
        <v>-148095.53000000003</v>
      </c>
      <c r="Y25" s="15"/>
      <c r="Z25" s="21">
        <f>IF(T25=0,0,X25/T25)</f>
        <v>-1</v>
      </c>
    </row>
    <row r="26" spans="1:26" x14ac:dyDescent="0.3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51"/>
      <c r="B27" s="10" t="s">
        <v>127</v>
      </c>
      <c r="C27" s="10"/>
      <c r="D27" s="4"/>
      <c r="E27" s="4"/>
      <c r="F27" s="12">
        <f>IF(D$12=0,0,D27/D$12)</f>
        <v>0</v>
      </c>
      <c r="G27" s="4"/>
      <c r="H27" s="4">
        <v>13780.53</v>
      </c>
      <c r="I27" s="4"/>
      <c r="J27" s="12">
        <f>IF(H$12=0,0,H27/H$12)</f>
        <v>0.22091890071263645</v>
      </c>
      <c r="K27" s="4"/>
      <c r="L27" s="4">
        <f>+D27-H27</f>
        <v>-13780.53</v>
      </c>
      <c r="M27" s="4"/>
      <c r="N27" s="12">
        <f>IF(H27=0,0,L27/H27)</f>
        <v>-1</v>
      </c>
      <c r="O27" s="10"/>
      <c r="P27" s="4"/>
      <c r="Q27" s="4"/>
      <c r="R27" s="12">
        <f>IF(P$12=0,0,P27/P$12)</f>
        <v>0</v>
      </c>
      <c r="S27" s="4"/>
      <c r="T27" s="4">
        <v>27402.26</v>
      </c>
      <c r="U27" s="4"/>
      <c r="V27" s="12">
        <f>IF(T$12=0,0,T27/T$12)</f>
        <v>0.1850211531282302</v>
      </c>
      <c r="W27" s="4"/>
      <c r="X27" s="4">
        <f>+P27-T27</f>
        <v>-27402.26</v>
      </c>
      <c r="Y27" s="4"/>
      <c r="Z27" s="12">
        <f>IF(T27=0,0,X27/T27)</f>
        <v>-1</v>
      </c>
    </row>
    <row r="28" spans="1:26" x14ac:dyDescent="0.3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" thickBot="1" x14ac:dyDescent="0.35">
      <c r="A29" s="10"/>
      <c r="B29" s="26" t="s">
        <v>125</v>
      </c>
      <c r="C29" s="26"/>
      <c r="D29" s="32">
        <f>+D25-D27</f>
        <v>0</v>
      </c>
      <c r="E29" s="13"/>
      <c r="F29" s="35">
        <f>IF(D$12=0,0,D29/D$12)</f>
        <v>0</v>
      </c>
      <c r="G29" s="13"/>
      <c r="H29" s="32">
        <f>+H25-H27</f>
        <v>48597.700000000004</v>
      </c>
      <c r="I29" s="13"/>
      <c r="J29" s="35">
        <f>IF(H$12=0,0,H29/H$12)</f>
        <v>0.77908109928736358</v>
      </c>
      <c r="K29" s="15"/>
      <c r="L29" s="32">
        <f>D29-H29</f>
        <v>-48597.700000000004</v>
      </c>
      <c r="M29" s="15"/>
      <c r="N29" s="35">
        <f>IF(H29=0,0,L29/H29)</f>
        <v>-1</v>
      </c>
      <c r="O29" s="25"/>
      <c r="P29" s="32">
        <f>+P25-P27</f>
        <v>0</v>
      </c>
      <c r="Q29" s="13"/>
      <c r="R29" s="35">
        <f>IF(P$12=0,0,P29/P$12)</f>
        <v>0</v>
      </c>
      <c r="S29" s="13"/>
      <c r="T29" s="32">
        <f>+T25-T27</f>
        <v>120693.27000000003</v>
      </c>
      <c r="U29" s="13"/>
      <c r="V29" s="35">
        <f>IF(T$12=0,0,T29/T$12)</f>
        <v>0.8149257758380819</v>
      </c>
      <c r="W29" s="15"/>
      <c r="X29" s="32">
        <f>P29-T29</f>
        <v>-120693.27000000003</v>
      </c>
      <c r="Y29" s="15"/>
      <c r="Z29" s="35">
        <f>IF(T29=0,0,X29/T29)</f>
        <v>-1</v>
      </c>
    </row>
    <row r="30" spans="1:26" ht="15" thickTop="1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x14ac:dyDescent="0.3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" thickBot="1" x14ac:dyDescent="0.35">
      <c r="A32" s="10"/>
      <c r="B32" s="26" t="s">
        <v>293</v>
      </c>
      <c r="C32" s="26"/>
      <c r="D32" s="31">
        <f>SUM(D29:D31)</f>
        <v>0</v>
      </c>
      <c r="E32" s="13"/>
      <c r="F32" s="33">
        <f>IF(D$12=0,0,D32/D$12)</f>
        <v>0</v>
      </c>
      <c r="G32" s="13"/>
      <c r="H32" s="31">
        <f>SUM(H29:H31)</f>
        <v>48597.700000000004</v>
      </c>
      <c r="I32" s="13"/>
      <c r="J32" s="33">
        <f>IF(H$12=0,0,H32/H$12)</f>
        <v>0.77908109928736358</v>
      </c>
      <c r="K32" s="15"/>
      <c r="L32" s="31">
        <f>+D32-H32</f>
        <v>-48597.700000000004</v>
      </c>
      <c r="M32" s="15"/>
      <c r="N32" s="33">
        <f>IF(H32=0,0,L32/H32)</f>
        <v>-1</v>
      </c>
      <c r="O32" s="25"/>
      <c r="P32" s="31">
        <f>SUM(P29:P31)</f>
        <v>0</v>
      </c>
      <c r="Q32" s="13"/>
      <c r="R32" s="33">
        <f>IF(P$12=0,0,P32/P$12)</f>
        <v>0</v>
      </c>
      <c r="S32" s="13"/>
      <c r="T32" s="31">
        <f>SUM(T29:T31)</f>
        <v>120693.27000000003</v>
      </c>
      <c r="U32" s="13"/>
      <c r="V32" s="33">
        <f>IF(T$12=0,0,T32/T$12)</f>
        <v>0.8149257758380819</v>
      </c>
      <c r="W32" s="15"/>
      <c r="X32" s="31">
        <f>+P32-T32</f>
        <v>-120693.27000000003</v>
      </c>
      <c r="Y32" s="15"/>
      <c r="Z32" s="33">
        <f>IF(T32=0,0,X32/T32)</f>
        <v>-1</v>
      </c>
    </row>
    <row r="33" spans="1:24" ht="15" thickTop="1" x14ac:dyDescent="0.3">
      <c r="A33" s="9"/>
      <c r="C33" s="9"/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3">
      <c r="A34" s="9"/>
      <c r="B34" s="60">
        <v>44575.854680405093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3">
      <c r="A35" s="9"/>
      <c r="B35" s="57" t="s">
        <v>56</v>
      </c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3">
      <c r="A36" s="9"/>
      <c r="B36" s="59"/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  <row r="37" spans="1:24" x14ac:dyDescent="0.3"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","423", " - ", "Contract/Vending Revenue")</f>
        <v>Department 423 - Contract/Vending Revenue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22">
        <f>SUM(OSRRefD22x_0)</f>
        <v>36</v>
      </c>
      <c r="E18" s="22"/>
      <c r="F18" s="34">
        <f t="shared" ref="F18:F21" si="0">IF(D$12=0,0,D18/D$12)</f>
        <v>0</v>
      </c>
      <c r="G18" s="22"/>
      <c r="H18" s="22">
        <f>SUM(OSRRefH22x_0)</f>
        <v>191.5</v>
      </c>
      <c r="I18" s="22"/>
      <c r="J18" s="34">
        <f t="shared" ref="J18:J21" si="1">IF(H$12=0,0,H18/H$12)</f>
        <v>0</v>
      </c>
      <c r="K18" s="4"/>
      <c r="L18" s="22">
        <f t="shared" ref="L18:L21" si="2">+D18-H18</f>
        <v>-155.5</v>
      </c>
      <c r="M18" s="4"/>
      <c r="N18" s="34">
        <f t="shared" ref="N18:N21" si="3">IF(H18=0,0,L18/H18)</f>
        <v>-0.81201044386422971</v>
      </c>
      <c r="O18" s="10"/>
      <c r="P18" s="22">
        <f>SUM(OSRRefP22x_0)</f>
        <v>8124.05</v>
      </c>
      <c r="Q18" s="22"/>
      <c r="R18" s="34">
        <f t="shared" ref="R18:R21" si="4">IF(P$12=0,0,P18/P$12)</f>
        <v>0</v>
      </c>
      <c r="S18" s="22"/>
      <c r="T18" s="22">
        <f>SUM(OSRRefT22x_0)</f>
        <v>3132.93</v>
      </c>
      <c r="U18" s="22"/>
      <c r="V18" s="34">
        <f t="shared" ref="V18:V21" si="5">IF(T$12=0,0,T18/T$12)</f>
        <v>0</v>
      </c>
      <c r="W18" s="4"/>
      <c r="X18" s="22">
        <f t="shared" ref="X18:X21" si="6">+P18-T18</f>
        <v>4991.1200000000008</v>
      </c>
      <c r="Y18" s="4"/>
      <c r="Z18" s="34">
        <f t="shared" ref="Z18:Z21" si="7">IF(T18=0,0,X18/T18)</f>
        <v>1.5931157095753818</v>
      </c>
    </row>
    <row r="19" spans="1:26" s="29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2478.73</v>
      </c>
      <c r="U19" s="1"/>
      <c r="V19" s="5">
        <f t="shared" si="5"/>
        <v>0</v>
      </c>
      <c r="W19" s="1"/>
      <c r="X19" s="1">
        <f t="shared" si="6"/>
        <v>-2478.73</v>
      </c>
      <c r="Y19" s="1"/>
      <c r="Z19" s="5">
        <f t="shared" si="7"/>
        <v>-1</v>
      </c>
    </row>
    <row r="20" spans="1:26" s="24" customFormat="1" hidden="1" outlineLevel="2" x14ac:dyDescent="0.3">
      <c r="A20" s="28"/>
      <c r="B20" s="11" t="str">
        <f>CONCATENATE("          ", "6113", " - ", "GROUP INSURANCE")</f>
        <v xml:space="preserve">          6113 - GROUP INSURANCE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/>
      <c r="Q20" s="2"/>
      <c r="R20" s="7">
        <f t="shared" si="4"/>
        <v>0</v>
      </c>
      <c r="S20" s="2"/>
      <c r="T20" s="6">
        <v>1868.2</v>
      </c>
      <c r="U20" s="2"/>
      <c r="V20" s="7">
        <f t="shared" si="5"/>
        <v>0</v>
      </c>
      <c r="W20" s="2"/>
      <c r="X20" s="6">
        <f t="shared" si="6"/>
        <v>-1868.2</v>
      </c>
      <c r="Y20" s="2"/>
      <c r="Z20" s="7">
        <f t="shared" si="7"/>
        <v>-1</v>
      </c>
    </row>
    <row r="21" spans="1:26" s="24" customFormat="1" hidden="1" outlineLevel="2" x14ac:dyDescent="0.3">
      <c r="A21" s="28"/>
      <c r="B21" s="11" t="str">
        <f>CONCATENATE("          ", "6115", " - ", "P.E.R.S.")</f>
        <v xml:space="preserve">          6115 - P.E.R.S.</v>
      </c>
      <c r="C21" s="11"/>
      <c r="D21" s="6"/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0</v>
      </c>
      <c r="M21" s="2"/>
      <c r="N21" s="7">
        <f t="shared" si="3"/>
        <v>0</v>
      </c>
      <c r="O21" s="11"/>
      <c r="P21" s="6"/>
      <c r="Q21" s="2"/>
      <c r="R21" s="7">
        <f t="shared" si="4"/>
        <v>0</v>
      </c>
      <c r="S21" s="2"/>
      <c r="T21" s="6">
        <v>610.53</v>
      </c>
      <c r="U21" s="2"/>
      <c r="V21" s="7">
        <f t="shared" si="5"/>
        <v>0</v>
      </c>
      <c r="W21" s="2"/>
      <c r="X21" s="6">
        <f t="shared" si="6"/>
        <v>-610.53</v>
      </c>
      <c r="Y21" s="2"/>
      <c r="Z21" s="7">
        <f t="shared" si="7"/>
        <v>-1</v>
      </c>
    </row>
    <row r="22" spans="1:26" s="29" customFormat="1" outlineLevel="1" collapsed="1" x14ac:dyDescent="0.3">
      <c r="A22" s="27"/>
      <c r="B22" s="14" t="str">
        <f>CONCATENATE("     ","General                                           ")</f>
        <v xml:space="preserve">     General                                           </v>
      </c>
      <c r="C22" s="14"/>
      <c r="D22" s="1">
        <f>SUM(OSRRefD22_1x_0)</f>
        <v>0</v>
      </c>
      <c r="E22" s="1"/>
      <c r="F22" s="5">
        <f t="shared" ref="F22:F27" si="8">IF(D$12=0,0,D22/D$12)</f>
        <v>0</v>
      </c>
      <c r="G22" s="1"/>
      <c r="H22" s="1">
        <f>SUM(OSRRefH22_1x_0)</f>
        <v>0</v>
      </c>
      <c r="I22" s="1"/>
      <c r="J22" s="5">
        <f t="shared" ref="J22:J27" si="9">IF(H$12=0,0,H22/H$12)</f>
        <v>0</v>
      </c>
      <c r="K22" s="1"/>
      <c r="L22" s="1">
        <f t="shared" ref="L22:L27" si="10">+D22-H22</f>
        <v>0</v>
      </c>
      <c r="M22" s="1"/>
      <c r="N22" s="5">
        <f t="shared" ref="N22:N27" si="11">IF(H22=0,0,L22/H22)</f>
        <v>0</v>
      </c>
      <c r="O22" s="14"/>
      <c r="P22" s="1">
        <f>SUM(OSRRefP22_1x_0)</f>
        <v>7489.93</v>
      </c>
      <c r="Q22" s="1"/>
      <c r="R22" s="5">
        <f t="shared" ref="R22:R27" si="12">IF(P$12=0,0,P22/P$12)</f>
        <v>0</v>
      </c>
      <c r="S22" s="1"/>
      <c r="T22" s="1">
        <f>SUM(OSRRefT22_1x_0)</f>
        <v>0</v>
      </c>
      <c r="U22" s="1"/>
      <c r="V22" s="5">
        <f t="shared" ref="V22:V27" si="13">IF(T$12=0,0,T22/T$12)</f>
        <v>0</v>
      </c>
      <c r="W22" s="1"/>
      <c r="X22" s="1">
        <f t="shared" ref="X22:X27" si="14">+P22-T22</f>
        <v>7489.93</v>
      </c>
      <c r="Y22" s="1"/>
      <c r="Z22" s="5">
        <f t="shared" ref="Z22:Z27" si="15">IF(T22=0,0,X22/T22)</f>
        <v>0</v>
      </c>
    </row>
    <row r="23" spans="1:26" s="24" customFormat="1" hidden="1" outlineLevel="2" x14ac:dyDescent="0.3">
      <c r="A23" s="28"/>
      <c r="B23" s="11" t="str">
        <f>CONCATENATE("          ", "6279", " - ", "GENERAL EXPENSE")</f>
        <v xml:space="preserve">          6279 - GENERAL EXPENSE</v>
      </c>
      <c r="C23" s="11"/>
      <c r="D23" s="6"/>
      <c r="E23" s="2"/>
      <c r="F23" s="7">
        <f t="shared" si="8"/>
        <v>0</v>
      </c>
      <c r="G23" s="2"/>
      <c r="H23" s="6"/>
      <c r="I23" s="2"/>
      <c r="J23" s="7">
        <f t="shared" si="9"/>
        <v>0</v>
      </c>
      <c r="K23" s="2"/>
      <c r="L23" s="6">
        <f t="shared" si="10"/>
        <v>0</v>
      </c>
      <c r="M23" s="2"/>
      <c r="N23" s="7">
        <f t="shared" si="11"/>
        <v>0</v>
      </c>
      <c r="O23" s="11"/>
      <c r="P23" s="6">
        <v>7489.93</v>
      </c>
      <c r="Q23" s="2"/>
      <c r="R23" s="7">
        <f t="shared" si="12"/>
        <v>0</v>
      </c>
      <c r="S23" s="2"/>
      <c r="T23" s="6"/>
      <c r="U23" s="2"/>
      <c r="V23" s="7">
        <f t="shared" si="13"/>
        <v>0</v>
      </c>
      <c r="W23" s="2"/>
      <c r="X23" s="6">
        <f t="shared" si="14"/>
        <v>7489.93</v>
      </c>
      <c r="Y23" s="2"/>
      <c r="Z23" s="7">
        <f t="shared" si="15"/>
        <v>0</v>
      </c>
    </row>
    <row r="24" spans="1:26" s="29" customFormat="1" outlineLevel="1" collapsed="1" x14ac:dyDescent="0.3">
      <c r="A24" s="27"/>
      <c r="B24" s="14" t="str">
        <f>CONCATENATE("     ","Supplies                                          ")</f>
        <v xml:space="preserve">     Supplies                                          </v>
      </c>
      <c r="C24" s="14"/>
      <c r="D24" s="1">
        <f>SUM(OSRRefD22_2x_0)</f>
        <v>0</v>
      </c>
      <c r="E24" s="1"/>
      <c r="F24" s="5">
        <f t="shared" si="8"/>
        <v>0</v>
      </c>
      <c r="G24" s="1"/>
      <c r="H24" s="1">
        <f>SUM(OSRRefH22_2x_0)</f>
        <v>5.5</v>
      </c>
      <c r="I24" s="1"/>
      <c r="J24" s="5">
        <f t="shared" si="9"/>
        <v>0</v>
      </c>
      <c r="K24" s="1"/>
      <c r="L24" s="1">
        <f t="shared" si="10"/>
        <v>-5.5</v>
      </c>
      <c r="M24" s="1"/>
      <c r="N24" s="5">
        <f t="shared" si="11"/>
        <v>-1</v>
      </c>
      <c r="O24" s="14"/>
      <c r="P24" s="1">
        <f>SUM(OSRRefP22_2x_0)</f>
        <v>520.62</v>
      </c>
      <c r="Q24" s="1"/>
      <c r="R24" s="5">
        <f t="shared" si="12"/>
        <v>0</v>
      </c>
      <c r="S24" s="1"/>
      <c r="T24" s="1">
        <f>SUM(OSRRefT22_2x_0)</f>
        <v>-50.8</v>
      </c>
      <c r="U24" s="1"/>
      <c r="V24" s="5">
        <f t="shared" si="13"/>
        <v>0</v>
      </c>
      <c r="W24" s="1"/>
      <c r="X24" s="1">
        <f t="shared" si="14"/>
        <v>571.41999999999996</v>
      </c>
      <c r="Y24" s="1"/>
      <c r="Z24" s="5">
        <f t="shared" si="15"/>
        <v>-11.248425196850393</v>
      </c>
    </row>
    <row r="25" spans="1:26" s="24" customFormat="1" hidden="1" outlineLevel="2" x14ac:dyDescent="0.3">
      <c r="A25" s="28"/>
      <c r="B25" s="11" t="str">
        <f>CONCATENATE("          ", "6241", " - ", "OFFICE EXPENSE")</f>
        <v xml:space="preserve">          6241 - OFFICE EXPENSE</v>
      </c>
      <c r="C25" s="11"/>
      <c r="D25" s="6"/>
      <c r="E25" s="2"/>
      <c r="F25" s="7">
        <f t="shared" si="8"/>
        <v>0</v>
      </c>
      <c r="G25" s="2"/>
      <c r="H25" s="6">
        <v>5.5</v>
      </c>
      <c r="I25" s="2"/>
      <c r="J25" s="7">
        <f t="shared" si="9"/>
        <v>0</v>
      </c>
      <c r="K25" s="2"/>
      <c r="L25" s="6">
        <f t="shared" si="10"/>
        <v>-5.5</v>
      </c>
      <c r="M25" s="2"/>
      <c r="N25" s="7">
        <f t="shared" si="11"/>
        <v>-1</v>
      </c>
      <c r="O25" s="11"/>
      <c r="P25" s="6">
        <v>520.62</v>
      </c>
      <c r="Q25" s="2"/>
      <c r="R25" s="7">
        <f t="shared" si="12"/>
        <v>0</v>
      </c>
      <c r="S25" s="2"/>
      <c r="T25" s="6">
        <v>-50.8</v>
      </c>
      <c r="U25" s="2"/>
      <c r="V25" s="7">
        <f t="shared" si="13"/>
        <v>0</v>
      </c>
      <c r="W25" s="2"/>
      <c r="X25" s="6">
        <f t="shared" si="14"/>
        <v>571.41999999999996</v>
      </c>
      <c r="Y25" s="2"/>
      <c r="Z25" s="7">
        <f t="shared" si="15"/>
        <v>-11.248425196850393</v>
      </c>
    </row>
    <row r="26" spans="1:26" s="29" customFormat="1" outlineLevel="1" collapsed="1" x14ac:dyDescent="0.3">
      <c r="A26" s="27"/>
      <c r="B26" s="14" t="str">
        <f>CONCATENATE("     ","Telephone/Data Lines                              ")</f>
        <v xml:space="preserve">     Telephone/Data Lines                              </v>
      </c>
      <c r="C26" s="14"/>
      <c r="D26" s="1">
        <f>SUM(OSRRefD22_3x_0)</f>
        <v>36</v>
      </c>
      <c r="E26" s="1"/>
      <c r="F26" s="5">
        <f t="shared" si="8"/>
        <v>0</v>
      </c>
      <c r="G26" s="1"/>
      <c r="H26" s="1">
        <f>SUM(OSRRefH22_3x_0)</f>
        <v>186</v>
      </c>
      <c r="I26" s="1"/>
      <c r="J26" s="5">
        <f t="shared" si="9"/>
        <v>0</v>
      </c>
      <c r="K26" s="1"/>
      <c r="L26" s="1">
        <f t="shared" si="10"/>
        <v>-150</v>
      </c>
      <c r="M26" s="1"/>
      <c r="N26" s="5">
        <f t="shared" si="11"/>
        <v>-0.80645161290322576</v>
      </c>
      <c r="O26" s="14"/>
      <c r="P26" s="1">
        <f>SUM(OSRRefP22_3x_0)</f>
        <v>113.5</v>
      </c>
      <c r="Q26" s="1"/>
      <c r="R26" s="5">
        <f t="shared" si="12"/>
        <v>0</v>
      </c>
      <c r="S26" s="1"/>
      <c r="T26" s="1">
        <f>SUM(OSRRefT22_3x_0)</f>
        <v>705</v>
      </c>
      <c r="U26" s="1"/>
      <c r="V26" s="5">
        <f t="shared" si="13"/>
        <v>0</v>
      </c>
      <c r="W26" s="1"/>
      <c r="X26" s="1">
        <f t="shared" si="14"/>
        <v>-591.5</v>
      </c>
      <c r="Y26" s="1"/>
      <c r="Z26" s="5">
        <f t="shared" si="15"/>
        <v>-0.83900709219858161</v>
      </c>
    </row>
    <row r="27" spans="1:26" s="24" customFormat="1" hidden="1" outlineLevel="2" x14ac:dyDescent="0.3">
      <c r="A27" s="28"/>
      <c r="B27" s="11" t="str">
        <f>CONCATENATE("          ", "6309", " - ", "TELEPHONE")</f>
        <v xml:space="preserve">          6309 - TELEPHONE</v>
      </c>
      <c r="C27" s="11"/>
      <c r="D27" s="6">
        <v>36</v>
      </c>
      <c r="E27" s="2"/>
      <c r="F27" s="7">
        <f t="shared" si="8"/>
        <v>0</v>
      </c>
      <c r="G27" s="2"/>
      <c r="H27" s="6">
        <v>186</v>
      </c>
      <c r="I27" s="2"/>
      <c r="J27" s="7">
        <f t="shared" si="9"/>
        <v>0</v>
      </c>
      <c r="K27" s="2"/>
      <c r="L27" s="6">
        <f t="shared" si="10"/>
        <v>-150</v>
      </c>
      <c r="M27" s="2"/>
      <c r="N27" s="7">
        <f t="shared" si="11"/>
        <v>-0.80645161290322576</v>
      </c>
      <c r="O27" s="11"/>
      <c r="P27" s="6">
        <v>113.5</v>
      </c>
      <c r="Q27" s="2"/>
      <c r="R27" s="7">
        <f t="shared" si="12"/>
        <v>0</v>
      </c>
      <c r="S27" s="2"/>
      <c r="T27" s="6">
        <v>705</v>
      </c>
      <c r="U27" s="2"/>
      <c r="V27" s="7">
        <f t="shared" si="13"/>
        <v>0</v>
      </c>
      <c r="W27" s="2"/>
      <c r="X27" s="6">
        <f t="shared" si="14"/>
        <v>-591.5</v>
      </c>
      <c r="Y27" s="2"/>
      <c r="Z27" s="7">
        <f t="shared" si="15"/>
        <v>-0.83900709219858161</v>
      </c>
    </row>
    <row r="28" spans="1:26" s="53" customFormat="1" x14ac:dyDescent="0.3">
      <c r="A28" s="37"/>
      <c r="B28" s="37"/>
      <c r="C28" s="37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collapsed="1" x14ac:dyDescent="0.3">
      <c r="A29" s="10"/>
      <c r="B29" s="25" t="s">
        <v>292</v>
      </c>
      <c r="C29" s="10"/>
      <c r="D29" s="4">
        <f>SUM(OSRRefD25x_0)</f>
        <v>93856.21</v>
      </c>
      <c r="E29" s="4"/>
      <c r="F29" s="12">
        <f t="shared" ref="F29:F30" si="16">IF(D$12=0,0,D29/D$12)</f>
        <v>0</v>
      </c>
      <c r="G29" s="4"/>
      <c r="H29" s="4">
        <f>SUM(OSRRefH25x_0)</f>
        <v>0</v>
      </c>
      <c r="I29" s="4"/>
      <c r="J29" s="12">
        <f t="shared" ref="J29:J30" si="17">IF(H$12=0,0,H29/H$12)</f>
        <v>0</v>
      </c>
      <c r="K29" s="4"/>
      <c r="L29" s="4">
        <f t="shared" ref="L29:L30" si="18">+D29-H29</f>
        <v>93856.21</v>
      </c>
      <c r="M29" s="4"/>
      <c r="N29" s="12">
        <f t="shared" ref="N29:N30" si="19">IF(H29=0,0,L29/H29)</f>
        <v>0</v>
      </c>
      <c r="O29" s="10"/>
      <c r="P29" s="4">
        <f>SUM(OSRRefP25x_0)</f>
        <v>119792.78</v>
      </c>
      <c r="Q29" s="4"/>
      <c r="R29" s="12">
        <f t="shared" ref="R29:R30" si="20">IF(P$12=0,0,P29/P$12)</f>
        <v>0</v>
      </c>
      <c r="S29" s="4"/>
      <c r="T29" s="4">
        <f>SUM(OSRRefT25x_0)</f>
        <v>0</v>
      </c>
      <c r="U29" s="4"/>
      <c r="V29" s="12">
        <f t="shared" ref="V29:V30" si="21">IF(T$12=0,0,T29/T$12)</f>
        <v>0</v>
      </c>
      <c r="W29" s="4"/>
      <c r="X29" s="4">
        <f t="shared" ref="X29:X30" si="22">+P29-T29</f>
        <v>119792.78</v>
      </c>
      <c r="Y29" s="4"/>
      <c r="Z29" s="12">
        <f t="shared" ref="Z29:Z30" si="23">IF(T29=0,0,X29/T29)</f>
        <v>0</v>
      </c>
    </row>
    <row r="30" spans="1:26" s="24" customFormat="1" hidden="1" outlineLevel="1" x14ac:dyDescent="0.3">
      <c r="A30" s="44"/>
      <c r="B30" s="11" t="str">
        <f>CONCATENATE("          ", "9150", " - ", "MISC. INCOME")</f>
        <v xml:space="preserve">          9150 - MISC. INCOME</v>
      </c>
      <c r="C30" s="11"/>
      <c r="D30" s="2">
        <f>--93856.21</f>
        <v>93856.21</v>
      </c>
      <c r="E30" s="2"/>
      <c r="F30" s="19">
        <f t="shared" si="16"/>
        <v>0</v>
      </c>
      <c r="G30" s="2"/>
      <c r="H30" s="2">
        <f>0</f>
        <v>0</v>
      </c>
      <c r="I30" s="2"/>
      <c r="J30" s="19">
        <f t="shared" si="17"/>
        <v>0</v>
      </c>
      <c r="K30" s="2"/>
      <c r="L30" s="2">
        <f t="shared" si="18"/>
        <v>93856.21</v>
      </c>
      <c r="M30" s="2"/>
      <c r="N30" s="19">
        <f t="shared" si="19"/>
        <v>0</v>
      </c>
      <c r="O30" s="11"/>
      <c r="P30" s="2">
        <f>--119792.78</f>
        <v>119792.78</v>
      </c>
      <c r="Q30" s="2"/>
      <c r="R30" s="19">
        <f t="shared" si="20"/>
        <v>0</v>
      </c>
      <c r="S30" s="2"/>
      <c r="T30" s="2">
        <f>0</f>
        <v>0</v>
      </c>
      <c r="U30" s="2"/>
      <c r="V30" s="19">
        <f t="shared" si="21"/>
        <v>0</v>
      </c>
      <c r="W30" s="2"/>
      <c r="X30" s="2">
        <f t="shared" si="22"/>
        <v>119792.78</v>
      </c>
      <c r="Y30" s="2"/>
      <c r="Z30" s="19">
        <f t="shared" si="23"/>
        <v>0</v>
      </c>
    </row>
    <row r="31" spans="1:26" x14ac:dyDescent="0.3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">
      <c r="A32" s="10"/>
      <c r="B32" s="26" t="s">
        <v>276</v>
      </c>
      <c r="C32" s="26"/>
      <c r="D32" s="20">
        <f>+D16-D18+D29</f>
        <v>93820.21</v>
      </c>
      <c r="E32" s="13"/>
      <c r="F32" s="21">
        <f>IF(D$12=0,0,D32/D$12)</f>
        <v>0</v>
      </c>
      <c r="G32" s="13"/>
      <c r="H32" s="20">
        <f>+H16-H18+H29</f>
        <v>-191.5</v>
      </c>
      <c r="I32" s="13"/>
      <c r="J32" s="21">
        <f>IF(H$12=0,0,H32/H$12)</f>
        <v>0</v>
      </c>
      <c r="K32" s="15"/>
      <c r="L32" s="20">
        <f>+D32-H32</f>
        <v>94011.71</v>
      </c>
      <c r="M32" s="15"/>
      <c r="N32" s="21">
        <f>IF(H32=0,0,L32/H32)</f>
        <v>-490.92276762402093</v>
      </c>
      <c r="O32" s="25"/>
      <c r="P32" s="20">
        <f>+P16-P18+P29</f>
        <v>111668.73</v>
      </c>
      <c r="Q32" s="13"/>
      <c r="R32" s="21">
        <f>IF(P$12=0,0,P32/P$12)</f>
        <v>0</v>
      </c>
      <c r="S32" s="13"/>
      <c r="T32" s="20">
        <f>+T16-T18+T29</f>
        <v>-3132.93</v>
      </c>
      <c r="U32" s="13"/>
      <c r="V32" s="21">
        <f>IF(T$12=0,0,T32/T$12)</f>
        <v>0</v>
      </c>
      <c r="W32" s="15"/>
      <c r="X32" s="20">
        <f>+P32-T32</f>
        <v>114801.65999999999</v>
      </c>
      <c r="Y32" s="15"/>
      <c r="Z32" s="21">
        <f>IF(T32=0,0,X32/T32)</f>
        <v>-36.64354454137181</v>
      </c>
    </row>
    <row r="33" spans="1:26" x14ac:dyDescent="0.3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3">
      <c r="A34" s="51"/>
      <c r="B34" s="10" t="s">
        <v>127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3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125</v>
      </c>
      <c r="C36" s="26"/>
      <c r="D36" s="32">
        <f>+D32-D34</f>
        <v>93820.21</v>
      </c>
      <c r="E36" s="13"/>
      <c r="F36" s="35">
        <f>IF(D$12=0,0,D36/D$12)</f>
        <v>0</v>
      </c>
      <c r="G36" s="13"/>
      <c r="H36" s="32">
        <f>+H32-H34</f>
        <v>-191.5</v>
      </c>
      <c r="I36" s="13"/>
      <c r="J36" s="35">
        <f>IF(H$12=0,0,H36/H$12)</f>
        <v>0</v>
      </c>
      <c r="K36" s="15"/>
      <c r="L36" s="32">
        <f>D36-H36</f>
        <v>94011.71</v>
      </c>
      <c r="M36" s="15"/>
      <c r="N36" s="35">
        <f>IF(H36=0,0,L36/H36)</f>
        <v>-490.92276762402093</v>
      </c>
      <c r="O36" s="25"/>
      <c r="P36" s="32">
        <f>+P32-P34</f>
        <v>111668.73</v>
      </c>
      <c r="Q36" s="13"/>
      <c r="R36" s="35">
        <f>IF(P$12=0,0,P36/P$12)</f>
        <v>0</v>
      </c>
      <c r="S36" s="13"/>
      <c r="T36" s="32">
        <f>+T32-T34</f>
        <v>-3132.93</v>
      </c>
      <c r="U36" s="13"/>
      <c r="V36" s="35">
        <f>IF(T$12=0,0,T36/T$12)</f>
        <v>0</v>
      </c>
      <c r="W36" s="15"/>
      <c r="X36" s="32">
        <f>P36-T36</f>
        <v>114801.65999999999</v>
      </c>
      <c r="Y36" s="15"/>
      <c r="Z36" s="35">
        <f>IF(T36=0,0,X36/T36)</f>
        <v>-36.64354454137181</v>
      </c>
    </row>
    <row r="37" spans="1:26" ht="15" thickTop="1" x14ac:dyDescent="0.3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3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" thickBot="1" x14ac:dyDescent="0.35">
      <c r="A39" s="10"/>
      <c r="B39" s="26" t="s">
        <v>293</v>
      </c>
      <c r="C39" s="26"/>
      <c r="D39" s="31">
        <f>SUM(D36:D38)</f>
        <v>93820.21</v>
      </c>
      <c r="E39" s="13"/>
      <c r="F39" s="33">
        <f>IF(D$12=0,0,D39/D$12)</f>
        <v>0</v>
      </c>
      <c r="G39" s="13"/>
      <c r="H39" s="31">
        <f>SUM(H36:H38)</f>
        <v>-191.5</v>
      </c>
      <c r="I39" s="13"/>
      <c r="J39" s="33">
        <f>IF(H$12=0,0,H39/H$12)</f>
        <v>0</v>
      </c>
      <c r="K39" s="15"/>
      <c r="L39" s="31">
        <f>+D39-H39</f>
        <v>94011.71</v>
      </c>
      <c r="M39" s="15"/>
      <c r="N39" s="33">
        <f>IF(H39=0,0,L39/H39)</f>
        <v>-490.92276762402093</v>
      </c>
      <c r="O39" s="25"/>
      <c r="P39" s="31">
        <f>SUM(P36:P38)</f>
        <v>111668.73</v>
      </c>
      <c r="Q39" s="13"/>
      <c r="R39" s="33">
        <f>IF(P$12=0,0,P39/P$12)</f>
        <v>0</v>
      </c>
      <c r="S39" s="13"/>
      <c r="T39" s="31">
        <f>SUM(T36:T38)</f>
        <v>-3132.93</v>
      </c>
      <c r="U39" s="13"/>
      <c r="V39" s="33">
        <f>IF(T$12=0,0,T39/T$12)</f>
        <v>0</v>
      </c>
      <c r="W39" s="15"/>
      <c r="X39" s="31">
        <f>+P39-T39</f>
        <v>114801.65999999999</v>
      </c>
      <c r="Y39" s="15"/>
      <c r="Z39" s="33">
        <f>IF(T39=0,0,X39/T39)</f>
        <v>-36.64354454137181</v>
      </c>
    </row>
    <row r="40" spans="1:26" ht="15" thickTop="1" x14ac:dyDescent="0.3">
      <c r="A40" s="9"/>
      <c r="C40" s="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A41" s="9"/>
      <c r="B41" s="60">
        <v>44575.854680405093</v>
      </c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3">
      <c r="A42" s="9"/>
      <c r="B42" s="57" t="s">
        <v>56</v>
      </c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3">
      <c r="A43" s="9"/>
      <c r="B43" s="59"/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3"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","424", " - ", "Blair Field")</f>
        <v>Department 424 - Blair Field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22">
        <f>SUM(OSRRefD22x_0)</f>
        <v>483.29</v>
      </c>
      <c r="E18" s="22"/>
      <c r="F18" s="34">
        <f t="shared" ref="F18:F26" si="0">IF(D$12=0,0,D18/D$12)</f>
        <v>0</v>
      </c>
      <c r="G18" s="22"/>
      <c r="H18" s="22">
        <f>SUM(OSRRefH22x_0)</f>
        <v>483.29</v>
      </c>
      <c r="I18" s="22"/>
      <c r="J18" s="34">
        <f t="shared" ref="J18:J26" si="1">IF(H$12=0,0,H18/H$12)</f>
        <v>0</v>
      </c>
      <c r="K18" s="4"/>
      <c r="L18" s="22">
        <f t="shared" ref="L18:L26" si="2">+D18-H18</f>
        <v>0</v>
      </c>
      <c r="M18" s="4"/>
      <c r="N18" s="34">
        <f t="shared" ref="N18:N26" si="3">IF(H18=0,0,L18/H18)</f>
        <v>0</v>
      </c>
      <c r="O18" s="10"/>
      <c r="P18" s="22">
        <f>SUM(OSRRefP22x_0)</f>
        <v>2879.74</v>
      </c>
      <c r="Q18" s="22"/>
      <c r="R18" s="34">
        <f t="shared" ref="R18:R26" si="4">IF(P$12=0,0,P18/P$12)</f>
        <v>0</v>
      </c>
      <c r="S18" s="22"/>
      <c r="T18" s="22">
        <f>SUM(OSRRefT22x_0)</f>
        <v>3780.5899999999997</v>
      </c>
      <c r="U18" s="22"/>
      <c r="V18" s="34">
        <f t="shared" ref="V18:V26" si="5">IF(T$12=0,0,T18/T$12)</f>
        <v>0</v>
      </c>
      <c r="W18" s="4"/>
      <c r="X18" s="22">
        <f t="shared" ref="X18:X26" si="6">+P18-T18</f>
        <v>-900.84999999999991</v>
      </c>
      <c r="Y18" s="4"/>
      <c r="Z18" s="34">
        <f t="shared" ref="Z18:Z26" si="7">IF(T18=0,0,X18/T18)</f>
        <v>-0.2382829135134992</v>
      </c>
    </row>
    <row r="19" spans="1:26" s="29" customFormat="1" outlineLevel="1" collapsed="1" x14ac:dyDescent="0.3">
      <c r="A19" s="27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479.29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2875.74</v>
      </c>
      <c r="Q19" s="1"/>
      <c r="R19" s="5">
        <f t="shared" si="4"/>
        <v>0</v>
      </c>
      <c r="S19" s="1"/>
      <c r="T19" s="1">
        <f>SUM(OSRRefT22_0x_0)</f>
        <v>2875.74</v>
      </c>
      <c r="U19" s="1"/>
      <c r="V19" s="5">
        <f t="shared" si="5"/>
        <v>0</v>
      </c>
      <c r="W19" s="1"/>
      <c r="X19" s="1">
        <f t="shared" si="6"/>
        <v>0</v>
      </c>
      <c r="Y19" s="1"/>
      <c r="Z19" s="5">
        <f t="shared" si="7"/>
        <v>0</v>
      </c>
    </row>
    <row r="20" spans="1:26" s="24" customFormat="1" hidden="1" outlineLevel="2" x14ac:dyDescent="0.3">
      <c r="A20" s="28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479.29</v>
      </c>
      <c r="E20" s="2"/>
      <c r="F20" s="7">
        <f t="shared" si="0"/>
        <v>0</v>
      </c>
      <c r="G20" s="2"/>
      <c r="H20" s="6">
        <v>479.29</v>
      </c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>
        <v>2875.74</v>
      </c>
      <c r="Q20" s="2"/>
      <c r="R20" s="7">
        <f t="shared" si="4"/>
        <v>0</v>
      </c>
      <c r="S20" s="2"/>
      <c r="T20" s="6">
        <v>2875.74</v>
      </c>
      <c r="U20" s="2"/>
      <c r="V20" s="7">
        <f t="shared" si="5"/>
        <v>0</v>
      </c>
      <c r="W20" s="2"/>
      <c r="X20" s="6">
        <f t="shared" si="6"/>
        <v>0</v>
      </c>
      <c r="Y20" s="2"/>
      <c r="Z20" s="7">
        <f t="shared" si="7"/>
        <v>0</v>
      </c>
    </row>
    <row r="21" spans="1:26" s="29" customFormat="1" outlineLevel="1" collapsed="1" x14ac:dyDescent="0.3">
      <c r="A21" s="27"/>
      <c r="B21" s="14" t="str">
        <f>CONCATENATE("     ","General                                           ")</f>
        <v xml:space="preserve">     General                                           </v>
      </c>
      <c r="C21" s="14"/>
      <c r="D21" s="1">
        <f>SUM(OSRRefD22_1x_0)</f>
        <v>4</v>
      </c>
      <c r="E21" s="1"/>
      <c r="F21" s="5">
        <f t="shared" si="0"/>
        <v>0</v>
      </c>
      <c r="G21" s="1"/>
      <c r="H21" s="1">
        <f>SUM(OSRRefH22_1x_0)</f>
        <v>4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4</v>
      </c>
      <c r="Q21" s="1"/>
      <c r="R21" s="5">
        <f t="shared" si="4"/>
        <v>0</v>
      </c>
      <c r="S21" s="1"/>
      <c r="T21" s="1">
        <f>SUM(OSRRefT22_1x_0)</f>
        <v>523.54999999999995</v>
      </c>
      <c r="U21" s="1"/>
      <c r="V21" s="5">
        <f t="shared" si="5"/>
        <v>0</v>
      </c>
      <c r="W21" s="1"/>
      <c r="X21" s="1">
        <f t="shared" si="6"/>
        <v>-519.54999999999995</v>
      </c>
      <c r="Y21" s="1"/>
      <c r="Z21" s="5">
        <f t="shared" si="7"/>
        <v>-0.99235985101709479</v>
      </c>
    </row>
    <row r="22" spans="1:26" s="24" customFormat="1" hidden="1" outlineLevel="2" x14ac:dyDescent="0.3">
      <c r="A22" s="28"/>
      <c r="B22" s="11" t="str">
        <f>CONCATENATE("          ", "6279", " - ", "GENERAL EXPENSE")</f>
        <v xml:space="preserve">          6279 - GENERAL EXPENSE</v>
      </c>
      <c r="C22" s="11"/>
      <c r="D22" s="6">
        <v>4</v>
      </c>
      <c r="E22" s="2"/>
      <c r="F22" s="7">
        <f t="shared" si="0"/>
        <v>0</v>
      </c>
      <c r="G22" s="2"/>
      <c r="H22" s="6">
        <v>4</v>
      </c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4</v>
      </c>
      <c r="Q22" s="2"/>
      <c r="R22" s="7">
        <f t="shared" si="4"/>
        <v>0</v>
      </c>
      <c r="S22" s="2"/>
      <c r="T22" s="6">
        <v>523.54999999999995</v>
      </c>
      <c r="U22" s="2"/>
      <c r="V22" s="7">
        <f t="shared" si="5"/>
        <v>0</v>
      </c>
      <c r="W22" s="2"/>
      <c r="X22" s="6">
        <f t="shared" si="6"/>
        <v>-519.54999999999995</v>
      </c>
      <c r="Y22" s="2"/>
      <c r="Z22" s="7">
        <f t="shared" si="7"/>
        <v>-0.99235985101709479</v>
      </c>
    </row>
    <row r="23" spans="1:26" s="29" customFormat="1" outlineLevel="1" collapsed="1" x14ac:dyDescent="0.3">
      <c r="A23" s="27"/>
      <c r="B23" s="14" t="str">
        <f>CONCATENATE("     ","Repair and Maintenance                            ")</f>
        <v xml:space="preserve">     Repair and Maintenance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154.33000000000001</v>
      </c>
      <c r="U23" s="1"/>
      <c r="V23" s="5">
        <f t="shared" si="5"/>
        <v>0</v>
      </c>
      <c r="W23" s="1"/>
      <c r="X23" s="1">
        <f t="shared" si="6"/>
        <v>-154.33000000000001</v>
      </c>
      <c r="Y23" s="1"/>
      <c r="Z23" s="5">
        <f t="shared" si="7"/>
        <v>-1</v>
      </c>
    </row>
    <row r="24" spans="1:26" s="24" customFormat="1" hidden="1" outlineLevel="2" x14ac:dyDescent="0.3">
      <c r="A24" s="28"/>
      <c r="B24" s="11" t="str">
        <f>CONCATENATE("          ", "6373", " - ", "MAINTENANCE CONTRACTS")</f>
        <v xml:space="preserve">          6373 - MAINTENANCE CONTRACTS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154.33000000000001</v>
      </c>
      <c r="U24" s="2"/>
      <c r="V24" s="7">
        <f t="shared" si="5"/>
        <v>0</v>
      </c>
      <c r="W24" s="2"/>
      <c r="X24" s="6">
        <f t="shared" si="6"/>
        <v>-154.33000000000001</v>
      </c>
      <c r="Y24" s="2"/>
      <c r="Z24" s="7">
        <f t="shared" si="7"/>
        <v>-1</v>
      </c>
    </row>
    <row r="25" spans="1:26" s="29" customFormat="1" outlineLevel="1" collapsed="1" x14ac:dyDescent="0.3">
      <c r="A25" s="27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226.97</v>
      </c>
      <c r="U25" s="1"/>
      <c r="V25" s="5">
        <f t="shared" si="5"/>
        <v>0</v>
      </c>
      <c r="W25" s="1"/>
      <c r="X25" s="1">
        <f t="shared" si="6"/>
        <v>-226.97</v>
      </c>
      <c r="Y25" s="1"/>
      <c r="Z25" s="5">
        <f t="shared" si="7"/>
        <v>-1</v>
      </c>
    </row>
    <row r="26" spans="1:26" s="24" customFormat="1" hidden="1" outlineLevel="2" x14ac:dyDescent="0.3">
      <c r="A26" s="28"/>
      <c r="B26" s="11" t="str">
        <f>CONCATENATE("          ", "6309", " - ", "TELEPHONE")</f>
        <v xml:space="preserve">          6309 - TELEPHONE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/>
      <c r="Q26" s="2"/>
      <c r="R26" s="7">
        <f t="shared" si="4"/>
        <v>0</v>
      </c>
      <c r="S26" s="2"/>
      <c r="T26" s="6">
        <v>226.97</v>
      </c>
      <c r="U26" s="2"/>
      <c r="V26" s="7">
        <f t="shared" si="5"/>
        <v>0</v>
      </c>
      <c r="W26" s="2"/>
      <c r="X26" s="6">
        <f t="shared" si="6"/>
        <v>-226.97</v>
      </c>
      <c r="Y26" s="2"/>
      <c r="Z26" s="7">
        <f t="shared" si="7"/>
        <v>-1</v>
      </c>
    </row>
    <row r="27" spans="1:26" s="53" customFormat="1" x14ac:dyDescent="0.3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3">
      <c r="A28" s="10"/>
      <c r="B28" s="25" t="s">
        <v>292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6" t="s">
        <v>276</v>
      </c>
      <c r="C30" s="26"/>
      <c r="D30" s="20">
        <f>+D16-D18+D28</f>
        <v>-483.29</v>
      </c>
      <c r="E30" s="13"/>
      <c r="F30" s="21">
        <f>IF(D$12=0,0,D30/D$12)</f>
        <v>0</v>
      </c>
      <c r="G30" s="13"/>
      <c r="H30" s="20">
        <f>+H16-H18+H28</f>
        <v>-483.29</v>
      </c>
      <c r="I30" s="13"/>
      <c r="J30" s="21">
        <f>IF(H$12=0,0,H30/H$12)</f>
        <v>0</v>
      </c>
      <c r="K30" s="15"/>
      <c r="L30" s="20">
        <f>+D30-H30</f>
        <v>0</v>
      </c>
      <c r="M30" s="15"/>
      <c r="N30" s="21">
        <f>IF(H30=0,0,L30/H30)</f>
        <v>0</v>
      </c>
      <c r="O30" s="25"/>
      <c r="P30" s="20">
        <f>+P16-P18+P28</f>
        <v>-2879.74</v>
      </c>
      <c r="Q30" s="13"/>
      <c r="R30" s="21">
        <f>IF(P$12=0,0,P30/P$12)</f>
        <v>0</v>
      </c>
      <c r="S30" s="13"/>
      <c r="T30" s="20">
        <f>+T16-T18+T28</f>
        <v>-3780.5899999999997</v>
      </c>
      <c r="U30" s="13"/>
      <c r="V30" s="21">
        <f>IF(T$12=0,0,T30/T$12)</f>
        <v>0</v>
      </c>
      <c r="W30" s="15"/>
      <c r="X30" s="20">
        <f>+P30-T30</f>
        <v>900.84999999999991</v>
      </c>
      <c r="Y30" s="15"/>
      <c r="Z30" s="21">
        <f>IF(T30=0,0,X30/T30)</f>
        <v>-0.2382829135134992</v>
      </c>
    </row>
    <row r="31" spans="1:26" x14ac:dyDescent="0.3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">
      <c r="A32" s="51"/>
      <c r="B32" s="10" t="s">
        <v>127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3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" thickBot="1" x14ac:dyDescent="0.35">
      <c r="A34" s="10"/>
      <c r="B34" s="26" t="s">
        <v>125</v>
      </c>
      <c r="C34" s="26"/>
      <c r="D34" s="32">
        <f>+D30-D32</f>
        <v>-483.29</v>
      </c>
      <c r="E34" s="13"/>
      <c r="F34" s="35">
        <f>IF(D$12=0,0,D34/D$12)</f>
        <v>0</v>
      </c>
      <c r="G34" s="13"/>
      <c r="H34" s="32">
        <f>+H30-H32</f>
        <v>-483.29</v>
      </c>
      <c r="I34" s="13"/>
      <c r="J34" s="35">
        <f>IF(H$12=0,0,H34/H$12)</f>
        <v>0</v>
      </c>
      <c r="K34" s="15"/>
      <c r="L34" s="32">
        <f>D34-H34</f>
        <v>0</v>
      </c>
      <c r="M34" s="15"/>
      <c r="N34" s="35">
        <f>IF(H34=0,0,L34/H34)</f>
        <v>0</v>
      </c>
      <c r="O34" s="25"/>
      <c r="P34" s="32">
        <f>+P30-P32</f>
        <v>-2879.74</v>
      </c>
      <c r="Q34" s="13"/>
      <c r="R34" s="35">
        <f>IF(P$12=0,0,P34/P$12)</f>
        <v>0</v>
      </c>
      <c r="S34" s="13"/>
      <c r="T34" s="32">
        <f>+T30-T32</f>
        <v>-3780.5899999999997</v>
      </c>
      <c r="U34" s="13"/>
      <c r="V34" s="35">
        <f>IF(T$12=0,0,T34/T$12)</f>
        <v>0</v>
      </c>
      <c r="W34" s="15"/>
      <c r="X34" s="32">
        <f>P34-T34</f>
        <v>900.84999999999991</v>
      </c>
      <c r="Y34" s="15"/>
      <c r="Z34" s="35">
        <f>IF(T34=0,0,X34/T34)</f>
        <v>-0.2382829135134992</v>
      </c>
    </row>
    <row r="35" spans="1:26" ht="15" thickTop="1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3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" thickBot="1" x14ac:dyDescent="0.35">
      <c r="A37" s="10"/>
      <c r="B37" s="26" t="s">
        <v>293</v>
      </c>
      <c r="C37" s="26"/>
      <c r="D37" s="31">
        <f>SUM(D34:D36)</f>
        <v>-483.29</v>
      </c>
      <c r="E37" s="13"/>
      <c r="F37" s="33">
        <f>IF(D$12=0,0,D37/D$12)</f>
        <v>0</v>
      </c>
      <c r="G37" s="13"/>
      <c r="H37" s="31">
        <f>SUM(H34:H36)</f>
        <v>-483.29</v>
      </c>
      <c r="I37" s="13"/>
      <c r="J37" s="33">
        <f>IF(H$12=0,0,H37/H$12)</f>
        <v>0</v>
      </c>
      <c r="K37" s="15"/>
      <c r="L37" s="31">
        <f>+D37-H37</f>
        <v>0</v>
      </c>
      <c r="M37" s="15"/>
      <c r="N37" s="33">
        <f>IF(H37=0,0,L37/H37)</f>
        <v>0</v>
      </c>
      <c r="O37" s="25"/>
      <c r="P37" s="31">
        <f>SUM(P34:P36)</f>
        <v>-2879.74</v>
      </c>
      <c r="Q37" s="13"/>
      <c r="R37" s="33">
        <f>IF(P$12=0,0,P37/P$12)</f>
        <v>0</v>
      </c>
      <c r="S37" s="13"/>
      <c r="T37" s="31">
        <f>SUM(T34:T36)</f>
        <v>-3780.5899999999997</v>
      </c>
      <c r="U37" s="13"/>
      <c r="V37" s="33">
        <f>IF(T$12=0,0,T37/T$12)</f>
        <v>0</v>
      </c>
      <c r="W37" s="15"/>
      <c r="X37" s="31">
        <f>+P37-T37</f>
        <v>900.84999999999991</v>
      </c>
      <c r="Y37" s="15"/>
      <c r="Z37" s="33">
        <f>IF(T37=0,0,X37/T37)</f>
        <v>-0.2382829135134992</v>
      </c>
    </row>
    <row r="38" spans="1:26" ht="15" thickTop="1" x14ac:dyDescent="0.3">
      <c r="A38" s="9"/>
      <c r="C38" s="9"/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0">
        <v>44575.854680405093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7" t="s">
        <v>56</v>
      </c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A41" s="9"/>
      <c r="B41" s="59"/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3"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outlinePr summaryBelow="0" summaryRight="0"/>
  </sheetPr>
  <dimension ref="A2:Z5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","425", " - ", "Events Center")</f>
        <v>Department 425 - Events Center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1649.9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1649.9</v>
      </c>
      <c r="M12" s="4"/>
      <c r="N12" s="12">
        <f t="shared" ref="N12:N13" si="1">IF(H12=0,0,L12/H12)</f>
        <v>0</v>
      </c>
      <c r="O12" s="10"/>
      <c r="P12" s="4">
        <f>SUM(OSRRefP13x_0)</f>
        <v>7379.58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7379.58</v>
      </c>
      <c r="Y12" s="4"/>
      <c r="Z12" s="12">
        <f t="shared" ref="Z12:Z13" si="3">IF(T12=0,0,X12/T12)</f>
        <v>0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--1649.9</f>
        <v>1649.9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1649.9</v>
      </c>
      <c r="M13" s="2"/>
      <c r="N13" s="19">
        <f t="shared" si="1"/>
        <v>0</v>
      </c>
      <c r="O13" s="11"/>
      <c r="P13" s="2">
        <f>--7379.58</f>
        <v>7379.58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7379.58</v>
      </c>
      <c r="Y13" s="2"/>
      <c r="Z13" s="19">
        <f t="shared" si="3"/>
        <v>0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>
        <f>SUM(OSRRefD16x_0)</f>
        <v>969</v>
      </c>
      <c r="E15" s="4"/>
      <c r="F15" s="12">
        <f t="shared" ref="F15:F16" si="4">IF(D$12=0,0,D15/D$12)</f>
        <v>0.58730832171646763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969</v>
      </c>
      <c r="M15" s="4"/>
      <c r="N15" s="12">
        <f t="shared" ref="N15:N16" si="7">IF(H15=0,0,L15/H15)</f>
        <v>0</v>
      </c>
      <c r="O15" s="10"/>
      <c r="P15" s="4">
        <f>SUM(OSRRefP16x_0)</f>
        <v>7039.77</v>
      </c>
      <c r="Q15" s="4"/>
      <c r="R15" s="12">
        <f t="shared" ref="R15:R16" si="8">IF(P$12=0,0,P15/P$12)</f>
        <v>0.95395266397274647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7039.77</v>
      </c>
      <c r="Y15" s="4"/>
      <c r="Z15" s="12">
        <f t="shared" ref="Z15:Z16" si="11">IF(T15=0,0,X15/T15)</f>
        <v>0</v>
      </c>
    </row>
    <row r="16" spans="1:26" s="24" customFormat="1" hidden="1" outlineLevel="1" x14ac:dyDescent="0.3">
      <c r="A16" s="44"/>
      <c r="B16" s="11" t="str">
        <f>CONCATENATE("          ", "5053", " - ", "PURCHASES @ COST-FOOD")</f>
        <v xml:space="preserve">          5053 - PURCHASES @ COST-FOOD</v>
      </c>
      <c r="C16" s="11"/>
      <c r="D16" s="2">
        <v>969</v>
      </c>
      <c r="E16" s="2"/>
      <c r="F16" s="19">
        <f t="shared" si="4"/>
        <v>0.58730832171646763</v>
      </c>
      <c r="G16" s="2"/>
      <c r="H16" s="2"/>
      <c r="I16" s="2"/>
      <c r="J16" s="19">
        <f t="shared" si="5"/>
        <v>0</v>
      </c>
      <c r="K16" s="2"/>
      <c r="L16" s="2">
        <f t="shared" si="6"/>
        <v>969</v>
      </c>
      <c r="M16" s="2"/>
      <c r="N16" s="19">
        <f t="shared" si="7"/>
        <v>0</v>
      </c>
      <c r="O16" s="11"/>
      <c r="P16" s="2">
        <v>7039.77</v>
      </c>
      <c r="Q16" s="2"/>
      <c r="R16" s="19">
        <f t="shared" si="8"/>
        <v>0.95395266397274647</v>
      </c>
      <c r="S16" s="2"/>
      <c r="T16" s="2"/>
      <c r="U16" s="2"/>
      <c r="V16" s="19">
        <f t="shared" si="9"/>
        <v>0</v>
      </c>
      <c r="W16" s="2"/>
      <c r="X16" s="2">
        <f t="shared" si="10"/>
        <v>7039.77</v>
      </c>
      <c r="Y16" s="2"/>
      <c r="Z16" s="19">
        <f t="shared" si="11"/>
        <v>0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>
        <f>D12-D15</f>
        <v>680.90000000000009</v>
      </c>
      <c r="E18" s="13"/>
      <c r="F18" s="21">
        <f>IF(D$12=0,0,D18/D$12)</f>
        <v>0.41269167828353237</v>
      </c>
      <c r="G18" s="13"/>
      <c r="H18" s="20">
        <f>H12-H15</f>
        <v>0</v>
      </c>
      <c r="I18" s="13"/>
      <c r="J18" s="21">
        <f>IF(H$12=0,0,H18/H$12)</f>
        <v>0</v>
      </c>
      <c r="K18" s="15"/>
      <c r="L18" s="20">
        <f>+D18-H18</f>
        <v>680.90000000000009</v>
      </c>
      <c r="M18" s="15"/>
      <c r="N18" s="21">
        <f>IF(H18=0,0,L18/H18)</f>
        <v>0</v>
      </c>
      <c r="O18" s="25"/>
      <c r="P18" s="20">
        <f>P12-P15</f>
        <v>339.80999999999949</v>
      </c>
      <c r="Q18" s="13"/>
      <c r="R18" s="21">
        <f>IF(P$12=0,0,P18/P$12)</f>
        <v>4.6047336027253513E-2</v>
      </c>
      <c r="S18" s="13"/>
      <c r="T18" s="20">
        <f>T12-T15</f>
        <v>0</v>
      </c>
      <c r="U18" s="13"/>
      <c r="V18" s="21">
        <f>IF(T$12=0,0,T18/T$12)</f>
        <v>0</v>
      </c>
      <c r="W18" s="15"/>
      <c r="X18" s="20">
        <f>+P18-T18</f>
        <v>339.80999999999949</v>
      </c>
      <c r="Y18" s="15"/>
      <c r="Z18" s="21">
        <f>IF(T18=0,0,X18/T18)</f>
        <v>0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>
        <f>SUM(OSRRefD22x_0)</f>
        <v>2147.25</v>
      </c>
      <c r="E20" s="22"/>
      <c r="F20" s="34">
        <f t="shared" ref="F20:F26" si="12">IF(D$12=0,0,D20/D$12)</f>
        <v>1.3014425116673738</v>
      </c>
      <c r="G20" s="22"/>
      <c r="H20" s="22">
        <f>SUM(OSRRefH22x_0)</f>
        <v>1000.91</v>
      </c>
      <c r="I20" s="22"/>
      <c r="J20" s="34">
        <f t="shared" ref="J20:J26" si="13">IF(H$12=0,0,H20/H$12)</f>
        <v>0</v>
      </c>
      <c r="K20" s="4"/>
      <c r="L20" s="22">
        <f t="shared" ref="L20:L26" si="14">+D20-H20</f>
        <v>1146.3400000000001</v>
      </c>
      <c r="M20" s="4"/>
      <c r="N20" s="34">
        <f t="shared" ref="N20:N26" si="15">IF(H20=0,0,L20/H20)</f>
        <v>1.145297779021091</v>
      </c>
      <c r="O20" s="10"/>
      <c r="P20" s="22">
        <f>SUM(OSRRefP22x_0)</f>
        <v>10555.039999999999</v>
      </c>
      <c r="Q20" s="22"/>
      <c r="R20" s="34">
        <f t="shared" ref="R20:R26" si="16">IF(P$12=0,0,P20/P$12)</f>
        <v>1.4303036216153222</v>
      </c>
      <c r="S20" s="22"/>
      <c r="T20" s="22">
        <f>SUM(OSRRefT22x_0)</f>
        <v>9634.14</v>
      </c>
      <c r="U20" s="22"/>
      <c r="V20" s="34">
        <f t="shared" ref="V20:V26" si="17">IF(T$12=0,0,T20/T$12)</f>
        <v>0</v>
      </c>
      <c r="W20" s="4"/>
      <c r="X20" s="22">
        <f t="shared" ref="X20:X26" si="18">+P20-T20</f>
        <v>920.89999999999964</v>
      </c>
      <c r="Y20" s="4"/>
      <c r="Z20" s="34">
        <f t="shared" ref="Z20:Z26" si="19">IF(T20=0,0,X20/T20)</f>
        <v>9.5587151525719963E-2</v>
      </c>
    </row>
    <row r="21" spans="1:26" s="29" customFormat="1" outlineLevel="1" collapsed="1" x14ac:dyDescent="0.3">
      <c r="A21" s="27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1420.5</v>
      </c>
      <c r="U21" s="1"/>
      <c r="V21" s="5">
        <f t="shared" si="17"/>
        <v>0</v>
      </c>
      <c r="W21" s="1"/>
      <c r="X21" s="1">
        <f t="shared" si="18"/>
        <v>-1420.5</v>
      </c>
      <c r="Y21" s="1"/>
      <c r="Z21" s="5">
        <f t="shared" si="19"/>
        <v>-1</v>
      </c>
    </row>
    <row r="22" spans="1:26" s="24" customFormat="1" hidden="1" outlineLevel="2" x14ac:dyDescent="0.3">
      <c r="A22" s="28"/>
      <c r="B22" s="11" t="str">
        <f>CONCATENATE("          ", "6111", " - ", "F.I.C.A.")</f>
        <v xml:space="preserve">          6111 - F.I.C.A.</v>
      </c>
      <c r="C22" s="11"/>
      <c r="D22" s="6"/>
      <c r="E22" s="2"/>
      <c r="F22" s="7">
        <f t="shared" si="12"/>
        <v>0</v>
      </c>
      <c r="G22" s="2"/>
      <c r="H22" s="6"/>
      <c r="I22" s="2"/>
      <c r="J22" s="7">
        <f t="shared" si="13"/>
        <v>0</v>
      </c>
      <c r="K22" s="2"/>
      <c r="L22" s="6">
        <f t="shared" si="14"/>
        <v>0</v>
      </c>
      <c r="M22" s="2"/>
      <c r="N22" s="7">
        <f t="shared" si="15"/>
        <v>0</v>
      </c>
      <c r="O22" s="11"/>
      <c r="P22" s="6"/>
      <c r="Q22" s="2"/>
      <c r="R22" s="7">
        <f t="shared" si="16"/>
        <v>0</v>
      </c>
      <c r="S22" s="2"/>
      <c r="T22" s="6">
        <v>171.54</v>
      </c>
      <c r="U22" s="2"/>
      <c r="V22" s="7">
        <f t="shared" si="17"/>
        <v>0</v>
      </c>
      <c r="W22" s="2"/>
      <c r="X22" s="6">
        <f t="shared" si="18"/>
        <v>-171.54</v>
      </c>
      <c r="Y22" s="2"/>
      <c r="Z22" s="7">
        <f t="shared" si="19"/>
        <v>-1</v>
      </c>
    </row>
    <row r="23" spans="1:26" s="24" customFormat="1" hidden="1" outlineLevel="2" x14ac:dyDescent="0.3">
      <c r="A23" s="28"/>
      <c r="B23" s="11" t="str">
        <f>CONCATENATE("          ", "6113", " - ", "GROUP INSURANCE")</f>
        <v xml:space="preserve">          6113 - GROUP INSURANCE</v>
      </c>
      <c r="C23" s="11"/>
      <c r="D23" s="6"/>
      <c r="E23" s="2"/>
      <c r="F23" s="7">
        <f t="shared" si="12"/>
        <v>0</v>
      </c>
      <c r="G23" s="2"/>
      <c r="H23" s="6"/>
      <c r="I23" s="2"/>
      <c r="J23" s="7">
        <f t="shared" si="13"/>
        <v>0</v>
      </c>
      <c r="K23" s="2"/>
      <c r="L23" s="6">
        <f t="shared" si="14"/>
        <v>0</v>
      </c>
      <c r="M23" s="2"/>
      <c r="N23" s="7">
        <f t="shared" si="15"/>
        <v>0</v>
      </c>
      <c r="O23" s="11"/>
      <c r="P23" s="6"/>
      <c r="Q23" s="2"/>
      <c r="R23" s="7">
        <f t="shared" si="16"/>
        <v>0</v>
      </c>
      <c r="S23" s="2"/>
      <c r="T23" s="6">
        <v>699.3</v>
      </c>
      <c r="U23" s="2"/>
      <c r="V23" s="7">
        <f t="shared" si="17"/>
        <v>0</v>
      </c>
      <c r="W23" s="2"/>
      <c r="X23" s="6">
        <f t="shared" si="18"/>
        <v>-699.3</v>
      </c>
      <c r="Y23" s="2"/>
      <c r="Z23" s="7">
        <f t="shared" si="19"/>
        <v>-1</v>
      </c>
    </row>
    <row r="24" spans="1:26" s="24" customFormat="1" hidden="1" outlineLevel="2" x14ac:dyDescent="0.3">
      <c r="A24" s="28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12"/>
        <v>0</v>
      </c>
      <c r="G24" s="2"/>
      <c r="H24" s="6"/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1"/>
      <c r="P24" s="6"/>
      <c r="Q24" s="2"/>
      <c r="R24" s="7">
        <f t="shared" si="16"/>
        <v>0</v>
      </c>
      <c r="S24" s="2"/>
      <c r="T24" s="6">
        <v>355.22</v>
      </c>
      <c r="U24" s="2"/>
      <c r="V24" s="7">
        <f t="shared" si="17"/>
        <v>0</v>
      </c>
      <c r="W24" s="2"/>
      <c r="X24" s="6">
        <f t="shared" si="18"/>
        <v>-355.22</v>
      </c>
      <c r="Y24" s="2"/>
      <c r="Z24" s="7">
        <f t="shared" si="19"/>
        <v>-1</v>
      </c>
    </row>
    <row r="25" spans="1:26" s="24" customFormat="1" hidden="1" outlineLevel="2" x14ac:dyDescent="0.3">
      <c r="A25" s="28"/>
      <c r="B25" s="11" t="str">
        <f>CONCATENATE("          ", "6118", " - ", "VACATION")</f>
        <v xml:space="preserve">          6118 - VACATION</v>
      </c>
      <c r="C25" s="11"/>
      <c r="D25" s="6"/>
      <c r="E25" s="2"/>
      <c r="F25" s="7">
        <f t="shared" si="12"/>
        <v>0</v>
      </c>
      <c r="G25" s="2"/>
      <c r="H25" s="6"/>
      <c r="I25" s="2"/>
      <c r="J25" s="7">
        <f t="shared" si="13"/>
        <v>0</v>
      </c>
      <c r="K25" s="2"/>
      <c r="L25" s="6">
        <f t="shared" si="14"/>
        <v>0</v>
      </c>
      <c r="M25" s="2"/>
      <c r="N25" s="7">
        <f t="shared" si="15"/>
        <v>0</v>
      </c>
      <c r="O25" s="11"/>
      <c r="P25" s="6"/>
      <c r="Q25" s="2"/>
      <c r="R25" s="7">
        <f t="shared" si="16"/>
        <v>0</v>
      </c>
      <c r="S25" s="2"/>
      <c r="T25" s="6">
        <v>88.46</v>
      </c>
      <c r="U25" s="2"/>
      <c r="V25" s="7">
        <f t="shared" si="17"/>
        <v>0</v>
      </c>
      <c r="W25" s="2"/>
      <c r="X25" s="6">
        <f t="shared" si="18"/>
        <v>-88.46</v>
      </c>
      <c r="Y25" s="2"/>
      <c r="Z25" s="7">
        <f t="shared" si="19"/>
        <v>-1</v>
      </c>
    </row>
    <row r="26" spans="1:26" s="24" customFormat="1" hidden="1" outlineLevel="2" x14ac:dyDescent="0.3">
      <c r="A26" s="28"/>
      <c r="B26" s="11" t="str">
        <f>CONCATENATE("          ", "6119", " - ", "SICK LEAVE")</f>
        <v xml:space="preserve">          6119 - SICK LEAVE</v>
      </c>
      <c r="C26" s="11"/>
      <c r="D26" s="6"/>
      <c r="E26" s="2"/>
      <c r="F26" s="7">
        <f t="shared" si="12"/>
        <v>0</v>
      </c>
      <c r="G26" s="2"/>
      <c r="H26" s="6"/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/>
      <c r="Q26" s="2"/>
      <c r="R26" s="7">
        <f t="shared" si="16"/>
        <v>0</v>
      </c>
      <c r="S26" s="2"/>
      <c r="T26" s="6">
        <v>105.98</v>
      </c>
      <c r="U26" s="2"/>
      <c r="V26" s="7">
        <f t="shared" si="17"/>
        <v>0</v>
      </c>
      <c r="W26" s="2"/>
      <c r="X26" s="6">
        <f t="shared" si="18"/>
        <v>-105.98</v>
      </c>
      <c r="Y26" s="2"/>
      <c r="Z26" s="7">
        <f t="shared" si="19"/>
        <v>-1</v>
      </c>
    </row>
    <row r="27" spans="1:26" s="29" customFormat="1" outlineLevel="1" collapsed="1" x14ac:dyDescent="0.3">
      <c r="A27" s="27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0</v>
      </c>
      <c r="E27" s="1"/>
      <c r="F27" s="5">
        <f t="shared" ref="F27:F37" si="20">IF(D$12=0,0,D27/D$12)</f>
        <v>0</v>
      </c>
      <c r="G27" s="1"/>
      <c r="H27" s="1">
        <f>SUM(OSRRefH22_1x_0)</f>
        <v>0</v>
      </c>
      <c r="I27" s="1"/>
      <c r="J27" s="5">
        <f t="shared" ref="J27:J37" si="21">IF(H$12=0,0,H27/H$12)</f>
        <v>0</v>
      </c>
      <c r="K27" s="1"/>
      <c r="L27" s="1">
        <f t="shared" ref="L27:L37" si="22">+D27-H27</f>
        <v>0</v>
      </c>
      <c r="M27" s="1"/>
      <c r="N27" s="5">
        <f t="shared" ref="N27:N37" si="23">IF(H27=0,0,L27/H27)</f>
        <v>0</v>
      </c>
      <c r="O27" s="14"/>
      <c r="P27" s="1">
        <f>SUM(OSRRefP22_1x_0)</f>
        <v>0</v>
      </c>
      <c r="Q27" s="1"/>
      <c r="R27" s="5">
        <f t="shared" ref="R27:R37" si="24">IF(P$12=0,0,P27/P$12)</f>
        <v>0</v>
      </c>
      <c r="S27" s="1"/>
      <c r="T27" s="1">
        <f>SUM(OSRRefT22_1x_0)</f>
        <v>1378.61</v>
      </c>
      <c r="U27" s="1"/>
      <c r="V27" s="5">
        <f t="shared" ref="V27:V37" si="25">IF(T$12=0,0,T27/T$12)</f>
        <v>0</v>
      </c>
      <c r="W27" s="1"/>
      <c r="X27" s="1">
        <f t="shared" ref="X27:X37" si="26">+P27-T27</f>
        <v>-1378.61</v>
      </c>
      <c r="Y27" s="1"/>
      <c r="Z27" s="5">
        <f t="shared" ref="Z27:Z37" si="27">IF(T27=0,0,X27/T27)</f>
        <v>-1</v>
      </c>
    </row>
    <row r="28" spans="1:26" s="24" customFormat="1" hidden="1" outlineLevel="2" x14ac:dyDescent="0.3">
      <c r="A28" s="28"/>
      <c r="B28" s="11" t="str">
        <f>CONCATENATE("          ", "6002", " - ", "STAFF SALARIES")</f>
        <v xml:space="preserve">          6002 - STAFF SALARIES</v>
      </c>
      <c r="C28" s="11"/>
      <c r="D28" s="6"/>
      <c r="E28" s="2"/>
      <c r="F28" s="7">
        <f t="shared" si="20"/>
        <v>0</v>
      </c>
      <c r="G28" s="2"/>
      <c r="H28" s="6"/>
      <c r="I28" s="2"/>
      <c r="J28" s="7">
        <f t="shared" si="21"/>
        <v>0</v>
      </c>
      <c r="K28" s="2"/>
      <c r="L28" s="6">
        <f t="shared" si="22"/>
        <v>0</v>
      </c>
      <c r="M28" s="2"/>
      <c r="N28" s="7">
        <f t="shared" si="23"/>
        <v>0</v>
      </c>
      <c r="O28" s="11"/>
      <c r="P28" s="6"/>
      <c r="Q28" s="2"/>
      <c r="R28" s="7">
        <f t="shared" si="24"/>
        <v>0</v>
      </c>
      <c r="S28" s="2"/>
      <c r="T28" s="6">
        <v>1378.61</v>
      </c>
      <c r="U28" s="2"/>
      <c r="V28" s="7">
        <f t="shared" si="25"/>
        <v>0</v>
      </c>
      <c r="W28" s="2"/>
      <c r="X28" s="6">
        <f t="shared" si="26"/>
        <v>-1378.61</v>
      </c>
      <c r="Y28" s="2"/>
      <c r="Z28" s="7">
        <f t="shared" si="27"/>
        <v>-1</v>
      </c>
    </row>
    <row r="29" spans="1:26" s="29" customFormat="1" outlineLevel="1" collapsed="1" x14ac:dyDescent="0.3">
      <c r="A29" s="27"/>
      <c r="B29" s="14" t="str">
        <f>CONCATENATE("     ","Bank/card Fees                                    ")</f>
        <v xml:space="preserve">     Bank/card Fees                                    </v>
      </c>
      <c r="C29" s="14"/>
      <c r="D29" s="1">
        <f>SUM(OSRRefD22_2x_0)</f>
        <v>33.869999999999997</v>
      </c>
      <c r="E29" s="1"/>
      <c r="F29" s="5">
        <f t="shared" si="20"/>
        <v>2.0528516879810894E-2</v>
      </c>
      <c r="G29" s="1"/>
      <c r="H29" s="1">
        <f>SUM(OSRRefH22_2x_0)</f>
        <v>0</v>
      </c>
      <c r="I29" s="1"/>
      <c r="J29" s="5">
        <f t="shared" si="21"/>
        <v>0</v>
      </c>
      <c r="K29" s="1"/>
      <c r="L29" s="1">
        <f t="shared" si="22"/>
        <v>33.869999999999997</v>
      </c>
      <c r="M29" s="1"/>
      <c r="N29" s="5">
        <f t="shared" si="23"/>
        <v>0</v>
      </c>
      <c r="O29" s="14"/>
      <c r="P29" s="1">
        <f>SUM(OSRRefP22_2x_0)</f>
        <v>133.41</v>
      </c>
      <c r="Q29" s="1"/>
      <c r="R29" s="5">
        <f t="shared" si="24"/>
        <v>1.8078264616685501E-2</v>
      </c>
      <c r="S29" s="1"/>
      <c r="T29" s="1">
        <f>SUM(OSRRefT22_2x_0)</f>
        <v>0</v>
      </c>
      <c r="U29" s="1"/>
      <c r="V29" s="5">
        <f t="shared" si="25"/>
        <v>0</v>
      </c>
      <c r="W29" s="1"/>
      <c r="X29" s="1">
        <f t="shared" si="26"/>
        <v>133.41</v>
      </c>
      <c r="Y29" s="1"/>
      <c r="Z29" s="5">
        <f t="shared" si="27"/>
        <v>0</v>
      </c>
    </row>
    <row r="30" spans="1:26" s="24" customFormat="1" hidden="1" outlineLevel="2" x14ac:dyDescent="0.3">
      <c r="A30" s="28"/>
      <c r="B30" s="11" t="str">
        <f>CONCATENATE("          ", "6381", " - ", "BANK/CREDIT CARD FEES")</f>
        <v xml:space="preserve">          6381 - BANK/CREDIT CARD FEES</v>
      </c>
      <c r="C30" s="11"/>
      <c r="D30" s="6">
        <v>33.869999999999997</v>
      </c>
      <c r="E30" s="2"/>
      <c r="F30" s="7">
        <f t="shared" si="20"/>
        <v>2.0528516879810894E-2</v>
      </c>
      <c r="G30" s="2"/>
      <c r="H30" s="6"/>
      <c r="I30" s="2"/>
      <c r="J30" s="7">
        <f t="shared" si="21"/>
        <v>0</v>
      </c>
      <c r="K30" s="2"/>
      <c r="L30" s="6">
        <f t="shared" si="22"/>
        <v>33.869999999999997</v>
      </c>
      <c r="M30" s="2"/>
      <c r="N30" s="7">
        <f t="shared" si="23"/>
        <v>0</v>
      </c>
      <c r="O30" s="11"/>
      <c r="P30" s="6">
        <v>133.41</v>
      </c>
      <c r="Q30" s="2"/>
      <c r="R30" s="7">
        <f t="shared" si="24"/>
        <v>1.8078264616685501E-2</v>
      </c>
      <c r="S30" s="2"/>
      <c r="T30" s="6"/>
      <c r="U30" s="2"/>
      <c r="V30" s="7">
        <f t="shared" si="25"/>
        <v>0</v>
      </c>
      <c r="W30" s="2"/>
      <c r="X30" s="6">
        <f t="shared" si="26"/>
        <v>133.41</v>
      </c>
      <c r="Y30" s="2"/>
      <c r="Z30" s="7">
        <f t="shared" si="27"/>
        <v>0</v>
      </c>
    </row>
    <row r="31" spans="1:26" s="29" customFormat="1" outlineLevel="1" collapsed="1" x14ac:dyDescent="0.3">
      <c r="A31" s="27"/>
      <c r="B31" s="14" t="str">
        <f>CONCATENATE("     ","Depreciation                                      ")</f>
        <v xml:space="preserve">     Depreciation                                      </v>
      </c>
      <c r="C31" s="14"/>
      <c r="D31" s="1">
        <f>SUM(OSRRefD22_3x_0)</f>
        <v>1000.91</v>
      </c>
      <c r="E31" s="1"/>
      <c r="F31" s="5">
        <f t="shared" si="20"/>
        <v>0.60664888781138249</v>
      </c>
      <c r="G31" s="1"/>
      <c r="H31" s="1">
        <f>SUM(OSRRefH22_3x_0)</f>
        <v>1000.91</v>
      </c>
      <c r="I31" s="1"/>
      <c r="J31" s="5">
        <f t="shared" si="21"/>
        <v>0</v>
      </c>
      <c r="K31" s="1"/>
      <c r="L31" s="1">
        <f t="shared" si="22"/>
        <v>0</v>
      </c>
      <c r="M31" s="1"/>
      <c r="N31" s="5">
        <f t="shared" si="23"/>
        <v>0</v>
      </c>
      <c r="O31" s="14"/>
      <c r="P31" s="1">
        <f>SUM(OSRRefP22_3x_0)</f>
        <v>6005.46</v>
      </c>
      <c r="Q31" s="1"/>
      <c r="R31" s="5">
        <f t="shared" si="24"/>
        <v>0.81379428097534012</v>
      </c>
      <c r="S31" s="1"/>
      <c r="T31" s="1">
        <f>SUM(OSRRefT22_3x_0)</f>
        <v>6005.46</v>
      </c>
      <c r="U31" s="1"/>
      <c r="V31" s="5">
        <f t="shared" si="25"/>
        <v>0</v>
      </c>
      <c r="W31" s="1"/>
      <c r="X31" s="1">
        <f t="shared" si="26"/>
        <v>0</v>
      </c>
      <c r="Y31" s="1"/>
      <c r="Z31" s="5">
        <f t="shared" si="27"/>
        <v>0</v>
      </c>
    </row>
    <row r="32" spans="1:26" s="24" customFormat="1" hidden="1" outlineLevel="2" x14ac:dyDescent="0.3">
      <c r="A32" s="28"/>
      <c r="B32" s="11" t="str">
        <f>CONCATENATE("          ", "6322", " - ", "EQUIPMENT DEPRECIATION EXPENSE")</f>
        <v xml:space="preserve">          6322 - EQUIPMENT DEPRECIATION EXPENSE</v>
      </c>
      <c r="C32" s="11"/>
      <c r="D32" s="6">
        <v>1000.91</v>
      </c>
      <c r="E32" s="2"/>
      <c r="F32" s="7">
        <f t="shared" si="20"/>
        <v>0.60664888781138249</v>
      </c>
      <c r="G32" s="2"/>
      <c r="H32" s="6">
        <v>1000.91</v>
      </c>
      <c r="I32" s="2"/>
      <c r="J32" s="7">
        <f t="shared" si="21"/>
        <v>0</v>
      </c>
      <c r="K32" s="2"/>
      <c r="L32" s="6">
        <f t="shared" si="22"/>
        <v>0</v>
      </c>
      <c r="M32" s="2"/>
      <c r="N32" s="7">
        <f t="shared" si="23"/>
        <v>0</v>
      </c>
      <c r="O32" s="11"/>
      <c r="P32" s="6">
        <v>6005.46</v>
      </c>
      <c r="Q32" s="2"/>
      <c r="R32" s="7">
        <f t="shared" si="24"/>
        <v>0.81379428097534012</v>
      </c>
      <c r="S32" s="2"/>
      <c r="T32" s="6">
        <v>6005.46</v>
      </c>
      <c r="U32" s="2"/>
      <c r="V32" s="7">
        <f t="shared" si="25"/>
        <v>0</v>
      </c>
      <c r="W32" s="2"/>
      <c r="X32" s="6">
        <f t="shared" si="26"/>
        <v>0</v>
      </c>
      <c r="Y32" s="2"/>
      <c r="Z32" s="7">
        <f t="shared" si="27"/>
        <v>0</v>
      </c>
    </row>
    <row r="33" spans="1:26" s="29" customFormat="1" outlineLevel="1" collapsed="1" x14ac:dyDescent="0.3">
      <c r="A33" s="27"/>
      <c r="B33" s="14" t="str">
        <f>CONCATENATE("     ","General                                           ")</f>
        <v xml:space="preserve">     General                                           </v>
      </c>
      <c r="C33" s="14"/>
      <c r="D33" s="1">
        <f>SUM(OSRRefD22_4x_0)</f>
        <v>700</v>
      </c>
      <c r="E33" s="1"/>
      <c r="F33" s="5">
        <f t="shared" si="20"/>
        <v>0.4242681374628765</v>
      </c>
      <c r="G33" s="1"/>
      <c r="H33" s="1">
        <f>SUM(OSRRefH22_4x_0)</f>
        <v>0</v>
      </c>
      <c r="I33" s="1"/>
      <c r="J33" s="5">
        <f t="shared" si="21"/>
        <v>0</v>
      </c>
      <c r="K33" s="1"/>
      <c r="L33" s="1">
        <f t="shared" si="22"/>
        <v>700</v>
      </c>
      <c r="M33" s="1"/>
      <c r="N33" s="5">
        <f t="shared" si="23"/>
        <v>0</v>
      </c>
      <c r="O33" s="14"/>
      <c r="P33" s="1">
        <f>SUM(OSRRefP22_4x_0)</f>
        <v>2455</v>
      </c>
      <c r="Q33" s="1"/>
      <c r="R33" s="5">
        <f t="shared" si="24"/>
        <v>0.33267475926814266</v>
      </c>
      <c r="S33" s="1"/>
      <c r="T33" s="1">
        <f>SUM(OSRRefT22_4x_0)</f>
        <v>455</v>
      </c>
      <c r="U33" s="1"/>
      <c r="V33" s="5">
        <f t="shared" si="25"/>
        <v>0</v>
      </c>
      <c r="W33" s="1"/>
      <c r="X33" s="1">
        <f t="shared" si="26"/>
        <v>2000</v>
      </c>
      <c r="Y33" s="1"/>
      <c r="Z33" s="5">
        <f t="shared" si="27"/>
        <v>4.395604395604396</v>
      </c>
    </row>
    <row r="34" spans="1:26" s="24" customFormat="1" hidden="1" outlineLevel="2" x14ac:dyDescent="0.3">
      <c r="A34" s="28"/>
      <c r="B34" s="11" t="str">
        <f>CONCATENATE("          ", "6279", " - ", "GENERAL EXPENSE")</f>
        <v xml:space="preserve">          6279 - GENERAL EXPENSE</v>
      </c>
      <c r="C34" s="11"/>
      <c r="D34" s="6">
        <v>700</v>
      </c>
      <c r="E34" s="2"/>
      <c r="F34" s="7">
        <f t="shared" si="20"/>
        <v>0.4242681374628765</v>
      </c>
      <c r="G34" s="2"/>
      <c r="H34" s="6"/>
      <c r="I34" s="2"/>
      <c r="J34" s="7">
        <f t="shared" si="21"/>
        <v>0</v>
      </c>
      <c r="K34" s="2"/>
      <c r="L34" s="6">
        <f t="shared" si="22"/>
        <v>700</v>
      </c>
      <c r="M34" s="2"/>
      <c r="N34" s="7">
        <f t="shared" si="23"/>
        <v>0</v>
      </c>
      <c r="O34" s="11"/>
      <c r="P34" s="6">
        <v>2455</v>
      </c>
      <c r="Q34" s="2"/>
      <c r="R34" s="7">
        <f t="shared" si="24"/>
        <v>0.33267475926814266</v>
      </c>
      <c r="S34" s="2"/>
      <c r="T34" s="6">
        <v>455</v>
      </c>
      <c r="U34" s="2"/>
      <c r="V34" s="7">
        <f t="shared" si="25"/>
        <v>0</v>
      </c>
      <c r="W34" s="2"/>
      <c r="X34" s="6">
        <f t="shared" si="26"/>
        <v>2000</v>
      </c>
      <c r="Y34" s="2"/>
      <c r="Z34" s="7">
        <f t="shared" si="27"/>
        <v>4.395604395604396</v>
      </c>
    </row>
    <row r="35" spans="1:26" s="29" customFormat="1" outlineLevel="1" collapsed="1" x14ac:dyDescent="0.3">
      <c r="A35" s="27"/>
      <c r="B35" s="14" t="str">
        <f>CONCATENATE("     ","Repair and Maintenance                            ")</f>
        <v xml:space="preserve">     Repair and Maintenance                            </v>
      </c>
      <c r="C35" s="14"/>
      <c r="D35" s="1">
        <f>SUM(OSRRefD22_5x_0)</f>
        <v>0</v>
      </c>
      <c r="E35" s="1"/>
      <c r="F35" s="5">
        <f t="shared" si="20"/>
        <v>0</v>
      </c>
      <c r="G35" s="1"/>
      <c r="H35" s="1">
        <f>SUM(OSRRefH22_5x_0)</f>
        <v>0</v>
      </c>
      <c r="I35" s="1"/>
      <c r="J35" s="5">
        <f t="shared" si="21"/>
        <v>0</v>
      </c>
      <c r="K35" s="1"/>
      <c r="L35" s="1">
        <f t="shared" si="22"/>
        <v>0</v>
      </c>
      <c r="M35" s="1"/>
      <c r="N35" s="5">
        <f t="shared" si="23"/>
        <v>0</v>
      </c>
      <c r="O35" s="14"/>
      <c r="P35" s="1">
        <f>SUM(OSRRefP22_5x_0)</f>
        <v>0</v>
      </c>
      <c r="Q35" s="1"/>
      <c r="R35" s="5">
        <f t="shared" si="24"/>
        <v>0</v>
      </c>
      <c r="S35" s="1"/>
      <c r="T35" s="1">
        <f>SUM(OSRRefT22_5x_0)</f>
        <v>242.03</v>
      </c>
      <c r="U35" s="1"/>
      <c r="V35" s="5">
        <f t="shared" si="25"/>
        <v>0</v>
      </c>
      <c r="W35" s="1"/>
      <c r="X35" s="1">
        <f t="shared" si="26"/>
        <v>-242.03</v>
      </c>
      <c r="Y35" s="1"/>
      <c r="Z35" s="5">
        <f t="shared" si="27"/>
        <v>-1</v>
      </c>
    </row>
    <row r="36" spans="1:26" s="24" customFormat="1" hidden="1" outlineLevel="2" x14ac:dyDescent="0.3">
      <c r="A36" s="28"/>
      <c r="B36" s="11" t="str">
        <f>CONCATENATE("          ", "6373", " - ", "MAINTENANCE CONTRACTS")</f>
        <v xml:space="preserve">          6373 - MAINTENANCE CONTRACTS</v>
      </c>
      <c r="C36" s="11"/>
      <c r="D36" s="6"/>
      <c r="E36" s="2"/>
      <c r="F36" s="7">
        <f t="shared" si="20"/>
        <v>0</v>
      </c>
      <c r="G36" s="2"/>
      <c r="H36" s="6"/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235.8</v>
      </c>
      <c r="U36" s="2"/>
      <c r="V36" s="7">
        <f t="shared" si="25"/>
        <v>0</v>
      </c>
      <c r="W36" s="2"/>
      <c r="X36" s="6">
        <f t="shared" si="26"/>
        <v>-235.8</v>
      </c>
      <c r="Y36" s="2"/>
      <c r="Z36" s="7">
        <f t="shared" si="27"/>
        <v>-1</v>
      </c>
    </row>
    <row r="37" spans="1:26" s="24" customFormat="1" hidden="1" outlineLevel="2" x14ac:dyDescent="0.3">
      <c r="A37" s="28"/>
      <c r="B37" s="11" t="str">
        <f>CONCATENATE("          ", "6375", " - ", "OUTSIDE REPAIRS &amp; MAINTENANCE")</f>
        <v xml:space="preserve">          6375 - OUTSIDE REPAIRS &amp; MAINTENANCE</v>
      </c>
      <c r="C37" s="11"/>
      <c r="D37" s="6"/>
      <c r="E37" s="2"/>
      <c r="F37" s="7">
        <f t="shared" si="20"/>
        <v>0</v>
      </c>
      <c r="G37" s="2"/>
      <c r="H37" s="6"/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6.23</v>
      </c>
      <c r="U37" s="2"/>
      <c r="V37" s="7">
        <f t="shared" si="25"/>
        <v>0</v>
      </c>
      <c r="W37" s="2"/>
      <c r="X37" s="6">
        <f t="shared" si="26"/>
        <v>-6.23</v>
      </c>
      <c r="Y37" s="2"/>
      <c r="Z37" s="7">
        <f t="shared" si="27"/>
        <v>-1</v>
      </c>
    </row>
    <row r="38" spans="1:26" s="29" customFormat="1" outlineLevel="1" collapsed="1" x14ac:dyDescent="0.3">
      <c r="A38" s="27"/>
      <c r="B38" s="14" t="str">
        <f>CONCATENATE("     ","Royalty &amp; Commissions                             ")</f>
        <v xml:space="preserve">     Royalty &amp; Commissions                             </v>
      </c>
      <c r="C38" s="14"/>
      <c r="D38" s="1">
        <f>SUM(OSRRefD22_6x_0)</f>
        <v>412.47</v>
      </c>
      <c r="E38" s="1"/>
      <c r="F38" s="5">
        <f t="shared" ref="F38:F43" si="28">IF(D$12=0,0,D38/D$12)</f>
        <v>0.24999696951330383</v>
      </c>
      <c r="G38" s="1"/>
      <c r="H38" s="1">
        <f>SUM(OSRRefH22_6x_0)</f>
        <v>0</v>
      </c>
      <c r="I38" s="1"/>
      <c r="J38" s="5">
        <f t="shared" ref="J38:J43" si="29">IF(H$12=0,0,H38/H$12)</f>
        <v>0</v>
      </c>
      <c r="K38" s="1"/>
      <c r="L38" s="1">
        <f t="shared" ref="L38:L43" si="30">+D38-H38</f>
        <v>412.47</v>
      </c>
      <c r="M38" s="1"/>
      <c r="N38" s="5">
        <f t="shared" ref="N38:N43" si="31">IF(H38=0,0,L38/H38)</f>
        <v>0</v>
      </c>
      <c r="O38" s="14"/>
      <c r="P38" s="1">
        <f>SUM(OSRRefP22_6x_0)</f>
        <v>1844.91</v>
      </c>
      <c r="Q38" s="1"/>
      <c r="R38" s="5">
        <f t="shared" ref="R38:R43" si="32">IF(P$12=0,0,P38/P$12)</f>
        <v>0.25000203263600368</v>
      </c>
      <c r="S38" s="1"/>
      <c r="T38" s="1">
        <f>SUM(OSRRefT22_6x_0)</f>
        <v>0</v>
      </c>
      <c r="U38" s="1"/>
      <c r="V38" s="5">
        <f t="shared" ref="V38:V43" si="33">IF(T$12=0,0,T38/T$12)</f>
        <v>0</v>
      </c>
      <c r="W38" s="1"/>
      <c r="X38" s="1">
        <f t="shared" ref="X38:X43" si="34">+P38-T38</f>
        <v>1844.91</v>
      </c>
      <c r="Y38" s="1"/>
      <c r="Z38" s="5">
        <f t="shared" ref="Z38:Z43" si="35">IF(T38=0,0,X38/T38)</f>
        <v>0</v>
      </c>
    </row>
    <row r="39" spans="1:26" s="24" customFormat="1" hidden="1" outlineLevel="2" x14ac:dyDescent="0.3">
      <c r="A39" s="28"/>
      <c r="B39" s="11" t="str">
        <f>CONCATENATE("          ", "6254", " - ", "ROYALTY &amp; COMMISSIONS")</f>
        <v xml:space="preserve">          6254 - ROYALTY &amp; COMMISSIONS</v>
      </c>
      <c r="C39" s="11"/>
      <c r="D39" s="6">
        <v>412.47</v>
      </c>
      <c r="E39" s="2"/>
      <c r="F39" s="7">
        <f t="shared" si="28"/>
        <v>0.24999696951330383</v>
      </c>
      <c r="G39" s="2"/>
      <c r="H39" s="6"/>
      <c r="I39" s="2"/>
      <c r="J39" s="7">
        <f t="shared" si="29"/>
        <v>0</v>
      </c>
      <c r="K39" s="2"/>
      <c r="L39" s="6">
        <f t="shared" si="30"/>
        <v>412.47</v>
      </c>
      <c r="M39" s="2"/>
      <c r="N39" s="7">
        <f t="shared" si="31"/>
        <v>0</v>
      </c>
      <c r="O39" s="11"/>
      <c r="P39" s="6">
        <v>1844.91</v>
      </c>
      <c r="Q39" s="2"/>
      <c r="R39" s="7">
        <f t="shared" si="32"/>
        <v>0.25000203263600368</v>
      </c>
      <c r="S39" s="2"/>
      <c r="T39" s="6"/>
      <c r="U39" s="2"/>
      <c r="V39" s="7">
        <f t="shared" si="33"/>
        <v>0</v>
      </c>
      <c r="W39" s="2"/>
      <c r="X39" s="6">
        <f t="shared" si="34"/>
        <v>1844.91</v>
      </c>
      <c r="Y39" s="2"/>
      <c r="Z39" s="7">
        <f t="shared" si="35"/>
        <v>0</v>
      </c>
    </row>
    <row r="40" spans="1:26" s="29" customFormat="1" outlineLevel="1" collapsed="1" x14ac:dyDescent="0.3">
      <c r="A40" s="27"/>
      <c r="B40" s="14" t="str">
        <f>CONCATENATE("     ","Supplies                                          ")</f>
        <v xml:space="preserve">     Supplies                                          </v>
      </c>
      <c r="C40" s="14"/>
      <c r="D40" s="1">
        <f>SUM(OSRRefD22_7x_0)</f>
        <v>0</v>
      </c>
      <c r="E40" s="1"/>
      <c r="F40" s="5">
        <f t="shared" si="28"/>
        <v>0</v>
      </c>
      <c r="G40" s="1"/>
      <c r="H40" s="1">
        <f>SUM(OSRRefH22_7x_0)</f>
        <v>0</v>
      </c>
      <c r="I40" s="1"/>
      <c r="J40" s="5">
        <f t="shared" si="29"/>
        <v>0</v>
      </c>
      <c r="K40" s="1"/>
      <c r="L40" s="1">
        <f t="shared" si="30"/>
        <v>0</v>
      </c>
      <c r="M40" s="1"/>
      <c r="N40" s="5">
        <f t="shared" si="31"/>
        <v>0</v>
      </c>
      <c r="O40" s="14"/>
      <c r="P40" s="1">
        <f>SUM(OSRRefP22_7x_0)</f>
        <v>116.26</v>
      </c>
      <c r="Q40" s="1"/>
      <c r="R40" s="5">
        <f t="shared" si="32"/>
        <v>1.5754284119150412E-2</v>
      </c>
      <c r="S40" s="1"/>
      <c r="T40" s="1">
        <f>SUM(OSRRefT22_7x_0)</f>
        <v>0</v>
      </c>
      <c r="U40" s="1"/>
      <c r="V40" s="5">
        <f t="shared" si="33"/>
        <v>0</v>
      </c>
      <c r="W40" s="1"/>
      <c r="X40" s="1">
        <f t="shared" si="34"/>
        <v>116.26</v>
      </c>
      <c r="Y40" s="1"/>
      <c r="Z40" s="5">
        <f t="shared" si="35"/>
        <v>0</v>
      </c>
    </row>
    <row r="41" spans="1:26" s="24" customFormat="1" hidden="1" outlineLevel="2" x14ac:dyDescent="0.3">
      <c r="A41" s="28"/>
      <c r="B41" s="11" t="str">
        <f>CONCATENATE("          ", "6243", " - ", "PAPER SUPPLIES")</f>
        <v xml:space="preserve">          6243 - PAPER SUPPLIES</v>
      </c>
      <c r="C41" s="11"/>
      <c r="D41" s="6"/>
      <c r="E41" s="2"/>
      <c r="F41" s="7">
        <f t="shared" si="28"/>
        <v>0</v>
      </c>
      <c r="G41" s="2"/>
      <c r="H41" s="6"/>
      <c r="I41" s="2"/>
      <c r="J41" s="7">
        <f t="shared" si="29"/>
        <v>0</v>
      </c>
      <c r="K41" s="2"/>
      <c r="L41" s="6">
        <f t="shared" si="30"/>
        <v>0</v>
      </c>
      <c r="M41" s="2"/>
      <c r="N41" s="7">
        <f t="shared" si="31"/>
        <v>0</v>
      </c>
      <c r="O41" s="11"/>
      <c r="P41" s="6">
        <v>116.26</v>
      </c>
      <c r="Q41" s="2"/>
      <c r="R41" s="7">
        <f t="shared" si="32"/>
        <v>1.5754284119150412E-2</v>
      </c>
      <c r="S41" s="2"/>
      <c r="T41" s="6"/>
      <c r="U41" s="2"/>
      <c r="V41" s="7">
        <f t="shared" si="33"/>
        <v>0</v>
      </c>
      <c r="W41" s="2"/>
      <c r="X41" s="6">
        <f t="shared" si="34"/>
        <v>116.26</v>
      </c>
      <c r="Y41" s="2"/>
      <c r="Z41" s="7">
        <f t="shared" si="35"/>
        <v>0</v>
      </c>
    </row>
    <row r="42" spans="1:26" s="29" customFormat="1" outlineLevel="1" collapsed="1" x14ac:dyDescent="0.3">
      <c r="A42" s="27"/>
      <c r="B42" s="14" t="str">
        <f>CONCATENATE("     ","Telephone/Data Lines                              ")</f>
        <v xml:space="preserve">     Telephone/Data Lines                              </v>
      </c>
      <c r="C42" s="14"/>
      <c r="D42" s="1">
        <f>SUM(OSRRefD22_8x_0)</f>
        <v>0</v>
      </c>
      <c r="E42" s="1"/>
      <c r="F42" s="5">
        <f t="shared" si="28"/>
        <v>0</v>
      </c>
      <c r="G42" s="1"/>
      <c r="H42" s="1">
        <f>SUM(OSRRefH22_8x_0)</f>
        <v>0</v>
      </c>
      <c r="I42" s="1"/>
      <c r="J42" s="5">
        <f t="shared" si="29"/>
        <v>0</v>
      </c>
      <c r="K42" s="1"/>
      <c r="L42" s="1">
        <f t="shared" si="30"/>
        <v>0</v>
      </c>
      <c r="M42" s="1"/>
      <c r="N42" s="5">
        <f t="shared" si="31"/>
        <v>0</v>
      </c>
      <c r="O42" s="14"/>
      <c r="P42" s="1">
        <f>SUM(OSRRefP22_8x_0)</f>
        <v>0</v>
      </c>
      <c r="Q42" s="1"/>
      <c r="R42" s="5">
        <f t="shared" si="32"/>
        <v>0</v>
      </c>
      <c r="S42" s="1"/>
      <c r="T42" s="1">
        <f>SUM(OSRRefT22_8x_0)</f>
        <v>132.54</v>
      </c>
      <c r="U42" s="1"/>
      <c r="V42" s="5">
        <f t="shared" si="33"/>
        <v>0</v>
      </c>
      <c r="W42" s="1"/>
      <c r="X42" s="1">
        <f t="shared" si="34"/>
        <v>-132.54</v>
      </c>
      <c r="Y42" s="1"/>
      <c r="Z42" s="5">
        <f t="shared" si="35"/>
        <v>-1</v>
      </c>
    </row>
    <row r="43" spans="1:26" s="24" customFormat="1" hidden="1" outlineLevel="2" x14ac:dyDescent="0.3">
      <c r="A43" s="28"/>
      <c r="B43" s="11" t="str">
        <f>CONCATENATE("          ", "6309", " - ", "TELEPHONE")</f>
        <v xml:space="preserve">          6309 - TELEPHONE</v>
      </c>
      <c r="C43" s="11"/>
      <c r="D43" s="6"/>
      <c r="E43" s="2"/>
      <c r="F43" s="7">
        <f t="shared" si="28"/>
        <v>0</v>
      </c>
      <c r="G43" s="2"/>
      <c r="H43" s="6"/>
      <c r="I43" s="2"/>
      <c r="J43" s="7">
        <f t="shared" si="29"/>
        <v>0</v>
      </c>
      <c r="K43" s="2"/>
      <c r="L43" s="6">
        <f t="shared" si="30"/>
        <v>0</v>
      </c>
      <c r="M43" s="2"/>
      <c r="N43" s="7">
        <f t="shared" si="31"/>
        <v>0</v>
      </c>
      <c r="O43" s="11"/>
      <c r="P43" s="6"/>
      <c r="Q43" s="2"/>
      <c r="R43" s="7">
        <f t="shared" si="32"/>
        <v>0</v>
      </c>
      <c r="S43" s="2"/>
      <c r="T43" s="6">
        <v>132.54</v>
      </c>
      <c r="U43" s="2"/>
      <c r="V43" s="7">
        <f t="shared" si="33"/>
        <v>0</v>
      </c>
      <c r="W43" s="2"/>
      <c r="X43" s="6">
        <f t="shared" si="34"/>
        <v>-132.54</v>
      </c>
      <c r="Y43" s="2"/>
      <c r="Z43" s="7">
        <f t="shared" si="35"/>
        <v>-1</v>
      </c>
    </row>
    <row r="44" spans="1:26" s="53" customFormat="1" x14ac:dyDescent="0.3">
      <c r="A44" s="37"/>
      <c r="B44" s="37"/>
      <c r="C44" s="37"/>
      <c r="D44" s="1"/>
      <c r="E44" s="1"/>
      <c r="F44" s="5"/>
      <c r="G44" s="1"/>
      <c r="H44" s="1"/>
      <c r="I44" s="1"/>
      <c r="J44" s="5"/>
      <c r="K44" s="1"/>
      <c r="L44" s="1"/>
      <c r="M44" s="1"/>
      <c r="N44" s="5"/>
      <c r="O44" s="37"/>
      <c r="P44" s="1"/>
      <c r="Q44" s="1"/>
      <c r="R44" s="5"/>
      <c r="S44" s="1"/>
      <c r="T44" s="1"/>
      <c r="U44" s="1"/>
      <c r="V44" s="5"/>
      <c r="W44" s="1"/>
      <c r="X44" s="1"/>
      <c r="Y44" s="1"/>
      <c r="Z44" s="5"/>
    </row>
    <row r="45" spans="1:26" s="23" customFormat="1" x14ac:dyDescent="0.3">
      <c r="A45" s="10"/>
      <c r="B45" s="25" t="s">
        <v>292</v>
      </c>
      <c r="C45" s="10"/>
      <c r="D45" s="4">
        <f>SUM(0)</f>
        <v>0</v>
      </c>
      <c r="E45" s="4"/>
      <c r="F45" s="12">
        <f>IF(D$12=0,0,D45/D$12)</f>
        <v>0</v>
      </c>
      <c r="G45" s="4"/>
      <c r="H45" s="4">
        <f>SUM(0)</f>
        <v>0</v>
      </c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>
        <f>SUM(0)</f>
        <v>0</v>
      </c>
      <c r="Q45" s="4"/>
      <c r="R45" s="12">
        <f>IF(P$12=0,0,P45/P$12)</f>
        <v>0</v>
      </c>
      <c r="S45" s="4"/>
      <c r="T45" s="4">
        <f>SUM(0)</f>
        <v>0</v>
      </c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3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x14ac:dyDescent="0.3">
      <c r="A47" s="10"/>
      <c r="B47" s="26" t="s">
        <v>276</v>
      </c>
      <c r="C47" s="26"/>
      <c r="D47" s="20">
        <f>+D18-D20+D45</f>
        <v>-1466.35</v>
      </c>
      <c r="E47" s="13"/>
      <c r="F47" s="21">
        <f>IF(D$12=0,0,D47/D$12)</f>
        <v>-0.88875083338384131</v>
      </c>
      <c r="G47" s="13"/>
      <c r="H47" s="20">
        <f>+H18-H20+H45</f>
        <v>-1000.91</v>
      </c>
      <c r="I47" s="13"/>
      <c r="J47" s="21">
        <f>IF(H$12=0,0,H47/H$12)</f>
        <v>0</v>
      </c>
      <c r="K47" s="15"/>
      <c r="L47" s="20">
        <f>+D47-H47</f>
        <v>-465.43999999999994</v>
      </c>
      <c r="M47" s="15"/>
      <c r="N47" s="21">
        <f>IF(H47=0,0,L47/H47)</f>
        <v>0.46501683468044075</v>
      </c>
      <c r="O47" s="25"/>
      <c r="P47" s="20">
        <f>+P18-P20+P45</f>
        <v>-10215.23</v>
      </c>
      <c r="Q47" s="13"/>
      <c r="R47" s="21">
        <f>IF(P$12=0,0,P47/P$12)</f>
        <v>-1.3842562855880687</v>
      </c>
      <c r="S47" s="13"/>
      <c r="T47" s="20">
        <f>+T18-T20+T45</f>
        <v>-9634.14</v>
      </c>
      <c r="U47" s="13"/>
      <c r="V47" s="21">
        <f>IF(T$12=0,0,T47/T$12)</f>
        <v>0</v>
      </c>
      <c r="W47" s="15"/>
      <c r="X47" s="20">
        <f>+P47-T47</f>
        <v>-581.09000000000015</v>
      </c>
      <c r="Y47" s="15"/>
      <c r="Z47" s="21">
        <f>IF(T47=0,0,X47/T47)</f>
        <v>6.0315710587556352E-2</v>
      </c>
    </row>
    <row r="48" spans="1:26" x14ac:dyDescent="0.3">
      <c r="A48" s="9"/>
      <c r="B48" s="10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3">
      <c r="A49" s="51"/>
      <c r="B49" s="10" t="s">
        <v>127</v>
      </c>
      <c r="C49" s="10"/>
      <c r="D49" s="4">
        <v>205.82</v>
      </c>
      <c r="E49" s="4"/>
      <c r="F49" s="12">
        <f>IF(D$12=0,0,D49/D$12)</f>
        <v>0.12474695436087034</v>
      </c>
      <c r="G49" s="4"/>
      <c r="H49" s="4"/>
      <c r="I49" s="4"/>
      <c r="J49" s="12">
        <f>IF(H$12=0,0,H49/H$12)</f>
        <v>0</v>
      </c>
      <c r="K49" s="4"/>
      <c r="L49" s="4">
        <f>+D49-H49</f>
        <v>205.82</v>
      </c>
      <c r="M49" s="4"/>
      <c r="N49" s="12">
        <f>IF(H49=0,0,L49/H49)</f>
        <v>0</v>
      </c>
      <c r="O49" s="10"/>
      <c r="P49" s="4">
        <v>888.29</v>
      </c>
      <c r="Q49" s="4"/>
      <c r="R49" s="12">
        <f>IF(P$12=0,0,P49/P$12)</f>
        <v>0.12037134904696473</v>
      </c>
      <c r="S49" s="4"/>
      <c r="T49" s="4"/>
      <c r="U49" s="4"/>
      <c r="V49" s="12">
        <f>IF(T$12=0,0,T49/T$12)</f>
        <v>0</v>
      </c>
      <c r="W49" s="4"/>
      <c r="X49" s="4">
        <f>+P49-T49</f>
        <v>888.29</v>
      </c>
      <c r="Y49" s="4"/>
      <c r="Z49" s="12">
        <f>IF(T49=0,0,X49/T49)</f>
        <v>0</v>
      </c>
    </row>
    <row r="50" spans="1:26" x14ac:dyDescent="0.3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" thickBot="1" x14ac:dyDescent="0.35">
      <c r="A51" s="10"/>
      <c r="B51" s="26" t="s">
        <v>125</v>
      </c>
      <c r="C51" s="26"/>
      <c r="D51" s="32">
        <f>+D47-D49</f>
        <v>-1672.1699999999998</v>
      </c>
      <c r="E51" s="13"/>
      <c r="F51" s="35">
        <f>IF(D$12=0,0,D51/D$12)</f>
        <v>-1.0134977877447116</v>
      </c>
      <c r="G51" s="13"/>
      <c r="H51" s="32">
        <f>+H47-H49</f>
        <v>-1000.91</v>
      </c>
      <c r="I51" s="13"/>
      <c r="J51" s="35">
        <f>IF(H$12=0,0,H51/H$12)</f>
        <v>0</v>
      </c>
      <c r="K51" s="15"/>
      <c r="L51" s="32">
        <f>D51-H51</f>
        <v>-671.25999999999988</v>
      </c>
      <c r="M51" s="15"/>
      <c r="N51" s="35">
        <f>IF(H51=0,0,L51/H51)</f>
        <v>0.67064970876502372</v>
      </c>
      <c r="O51" s="25"/>
      <c r="P51" s="32">
        <f>+P47-P49</f>
        <v>-11103.52</v>
      </c>
      <c r="Q51" s="13"/>
      <c r="R51" s="35">
        <f>IF(P$12=0,0,P51/P$12)</f>
        <v>-1.5046276346350336</v>
      </c>
      <c r="S51" s="13"/>
      <c r="T51" s="32">
        <f>+T47-T49</f>
        <v>-9634.14</v>
      </c>
      <c r="U51" s="13"/>
      <c r="V51" s="35">
        <f>IF(T$12=0,0,T51/T$12)</f>
        <v>0</v>
      </c>
      <c r="W51" s="15"/>
      <c r="X51" s="32">
        <f>P51-T51</f>
        <v>-1469.380000000001</v>
      </c>
      <c r="Y51" s="15"/>
      <c r="Z51" s="35">
        <f>IF(T51=0,0,X51/T51)</f>
        <v>0.15251802444224405</v>
      </c>
    </row>
    <row r="52" spans="1:26" ht="15" thickTop="1" x14ac:dyDescent="0.3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x14ac:dyDescent="0.3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" thickBot="1" x14ac:dyDescent="0.35">
      <c r="A54" s="10"/>
      <c r="B54" s="26" t="s">
        <v>293</v>
      </c>
      <c r="C54" s="26"/>
      <c r="D54" s="31">
        <f>SUM(D51:D53)</f>
        <v>-1672.1699999999998</v>
      </c>
      <c r="E54" s="13"/>
      <c r="F54" s="33">
        <f>IF(D$12=0,0,D54/D$12)</f>
        <v>-1.0134977877447116</v>
      </c>
      <c r="G54" s="13"/>
      <c r="H54" s="31">
        <f>SUM(H51:H53)</f>
        <v>-1000.91</v>
      </c>
      <c r="I54" s="13"/>
      <c r="J54" s="33">
        <f>IF(H$12=0,0,H54/H$12)</f>
        <v>0</v>
      </c>
      <c r="K54" s="15"/>
      <c r="L54" s="31">
        <f>+D54-H54</f>
        <v>-671.25999999999988</v>
      </c>
      <c r="M54" s="15"/>
      <c r="N54" s="33">
        <f>IF(H54=0,0,L54/H54)</f>
        <v>0.67064970876502372</v>
      </c>
      <c r="O54" s="25"/>
      <c r="P54" s="31">
        <f>SUM(P51:P53)</f>
        <v>-11103.52</v>
      </c>
      <c r="Q54" s="13"/>
      <c r="R54" s="33">
        <f>IF(P$12=0,0,P54/P$12)</f>
        <v>-1.5046276346350336</v>
      </c>
      <c r="S54" s="13"/>
      <c r="T54" s="31">
        <f>SUM(T51:T53)</f>
        <v>-9634.14</v>
      </c>
      <c r="U54" s="13"/>
      <c r="V54" s="33">
        <f>IF(T$12=0,0,T54/T$12)</f>
        <v>0</v>
      </c>
      <c r="W54" s="15"/>
      <c r="X54" s="31">
        <f>+P54-T54</f>
        <v>-1469.380000000001</v>
      </c>
      <c r="Y54" s="15"/>
      <c r="Z54" s="33">
        <f>IF(T54=0,0,X54/T54)</f>
        <v>0.15251802444224405</v>
      </c>
    </row>
    <row r="55" spans="1:26" ht="15" thickTop="1" x14ac:dyDescent="0.3">
      <c r="A55" s="9"/>
      <c r="C55" s="9"/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  <row r="56" spans="1:26" x14ac:dyDescent="0.3">
      <c r="A56" s="9"/>
      <c r="B56" s="60">
        <v>44575.854680405093</v>
      </c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  <row r="57" spans="1:26" x14ac:dyDescent="0.3">
      <c r="A57" s="9"/>
      <c r="B57" s="57" t="s">
        <v>56</v>
      </c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3">
      <c r="A58" s="9"/>
      <c r="B58" s="59"/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  <row r="59" spans="1:26" x14ac:dyDescent="0.3">
      <c r="D59" s="17"/>
      <c r="E59" s="17"/>
      <c r="G59" s="17"/>
      <c r="H59" s="17"/>
      <c r="I59" s="17"/>
      <c r="J59" s="43"/>
      <c r="K59" s="17"/>
      <c r="L59" s="17"/>
      <c r="M59" s="17"/>
      <c r="P59" s="17"/>
      <c r="Q59" s="17"/>
      <c r="R59" s="43"/>
      <c r="S59" s="17"/>
      <c r="T59" s="17"/>
      <c r="U59" s="17"/>
      <c r="V59" s="43"/>
      <c r="W59" s="17"/>
      <c r="X59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1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","455", " - ", "Vending (old)")</f>
        <v>Department 455 - Vending (old)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22">
        <f>SUM(0)</f>
        <v>0</v>
      </c>
      <c r="E18" s="22"/>
      <c r="F18" s="34">
        <f>IF(D$12=0,0,D18/D$12)</f>
        <v>0</v>
      </c>
      <c r="G18" s="22"/>
      <c r="H18" s="22">
        <f>SUM(0)</f>
        <v>0</v>
      </c>
      <c r="I18" s="22"/>
      <c r="J18" s="34">
        <f>IF(H$12=0,0,H18/H$12)</f>
        <v>0</v>
      </c>
      <c r="K18" s="4"/>
      <c r="L18" s="22">
        <f>+D18-H18</f>
        <v>0</v>
      </c>
      <c r="M18" s="4"/>
      <c r="N18" s="34">
        <f>IF(H18=0,0,L18/H18)</f>
        <v>0</v>
      </c>
      <c r="O18" s="10"/>
      <c r="P18" s="22">
        <f>SUM(0)</f>
        <v>0</v>
      </c>
      <c r="Q18" s="22"/>
      <c r="R18" s="34">
        <f>IF(P$12=0,0,P18/P$12)</f>
        <v>0</v>
      </c>
      <c r="S18" s="22"/>
      <c r="T18" s="22">
        <f>SUM(0)</f>
        <v>0</v>
      </c>
      <c r="U18" s="22"/>
      <c r="V18" s="34">
        <f>IF(T$12=0,0,T18/T$12)</f>
        <v>0</v>
      </c>
      <c r="W18" s="4"/>
      <c r="X18" s="22">
        <f>+P18-T18</f>
        <v>0</v>
      </c>
      <c r="Y18" s="4"/>
      <c r="Z18" s="34">
        <f>IF(T18=0,0,X18/T18)</f>
        <v>0</v>
      </c>
    </row>
    <row r="19" spans="1:26" s="53" customFormat="1" x14ac:dyDescent="0.3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collapsed="1" x14ac:dyDescent="0.3">
      <c r="A20" s="10"/>
      <c r="B20" s="25" t="s">
        <v>292</v>
      </c>
      <c r="C20" s="10"/>
      <c r="D20" s="4">
        <f>SUM(OSRRefD25x_0)</f>
        <v>0</v>
      </c>
      <c r="E20" s="4"/>
      <c r="F20" s="12">
        <f t="shared" ref="F20:F22" si="0">IF(D$12=0,0,D20/D$12)</f>
        <v>0</v>
      </c>
      <c r="G20" s="4"/>
      <c r="H20" s="4">
        <f>SUM(OSRRefH25x_0)</f>
        <v>10316.52</v>
      </c>
      <c r="I20" s="4"/>
      <c r="J20" s="12">
        <f t="shared" ref="J20:J22" si="1">IF(H$12=0,0,H20/H$12)</f>
        <v>0</v>
      </c>
      <c r="K20" s="4"/>
      <c r="L20" s="4">
        <f t="shared" ref="L20:L22" si="2">+D20-H20</f>
        <v>-10316.52</v>
      </c>
      <c r="M20" s="4"/>
      <c r="N20" s="12">
        <f t="shared" ref="N20:N22" si="3">IF(H20=0,0,L20/H20)</f>
        <v>-1</v>
      </c>
      <c r="O20" s="10"/>
      <c r="P20" s="4">
        <f>SUM(OSRRefP25x_0)</f>
        <v>0</v>
      </c>
      <c r="Q20" s="4"/>
      <c r="R20" s="12">
        <f t="shared" ref="R20:R22" si="4">IF(P$12=0,0,P20/P$12)</f>
        <v>0</v>
      </c>
      <c r="S20" s="4"/>
      <c r="T20" s="4">
        <f>SUM(OSRRefT25x_0)</f>
        <v>13016.99</v>
      </c>
      <c r="U20" s="4"/>
      <c r="V20" s="12">
        <f t="shared" ref="V20:V22" si="5">IF(T$12=0,0,T20/T$12)</f>
        <v>0</v>
      </c>
      <c r="W20" s="4"/>
      <c r="X20" s="4">
        <f t="shared" ref="X20:X22" si="6">+P20-T20</f>
        <v>-13016.99</v>
      </c>
      <c r="Y20" s="4"/>
      <c r="Z20" s="12">
        <f t="shared" ref="Z20:Z22" si="7">IF(T20=0,0,X20/T20)</f>
        <v>-1</v>
      </c>
    </row>
    <row r="21" spans="1:26" s="24" customFormat="1" hidden="1" outlineLevel="1" x14ac:dyDescent="0.3">
      <c r="A21" s="44"/>
      <c r="B21" s="11" t="str">
        <f>CONCATENATE("          ", "9160", " - ", "MISC. INCOME")</f>
        <v xml:space="preserve">          9160 - MISC. INCOME</v>
      </c>
      <c r="C21" s="11"/>
      <c r="D21" s="2">
        <f t="shared" ref="D21:D22" si="8">0</f>
        <v>0</v>
      </c>
      <c r="E21" s="2"/>
      <c r="F21" s="19">
        <f t="shared" si="0"/>
        <v>0</v>
      </c>
      <c r="G21" s="2"/>
      <c r="H21" s="2">
        <f>--10000</f>
        <v>10000</v>
      </c>
      <c r="I21" s="2"/>
      <c r="J21" s="19">
        <f t="shared" si="1"/>
        <v>0</v>
      </c>
      <c r="K21" s="2"/>
      <c r="L21" s="2">
        <f t="shared" si="2"/>
        <v>-10000</v>
      </c>
      <c r="M21" s="2"/>
      <c r="N21" s="19">
        <f t="shared" si="3"/>
        <v>-1</v>
      </c>
      <c r="O21" s="11"/>
      <c r="P21" s="2">
        <f t="shared" ref="P21:P22" si="9">0</f>
        <v>0</v>
      </c>
      <c r="Q21" s="2"/>
      <c r="R21" s="19">
        <f t="shared" si="4"/>
        <v>0</v>
      </c>
      <c r="S21" s="2"/>
      <c r="T21" s="2">
        <f>--11701.82</f>
        <v>11701.82</v>
      </c>
      <c r="U21" s="2"/>
      <c r="V21" s="19">
        <f t="shared" si="5"/>
        <v>0</v>
      </c>
      <c r="W21" s="2"/>
      <c r="X21" s="2">
        <f t="shared" si="6"/>
        <v>-11701.82</v>
      </c>
      <c r="Y21" s="2"/>
      <c r="Z21" s="19">
        <f t="shared" si="7"/>
        <v>-1</v>
      </c>
    </row>
    <row r="22" spans="1:26" s="24" customFormat="1" hidden="1" outlineLevel="1" x14ac:dyDescent="0.3">
      <c r="A22" s="44"/>
      <c r="B22" s="11" t="str">
        <f>CONCATENATE("          ", "9165", " - ", "OTHER INCOME")</f>
        <v xml:space="preserve">          9165 - OTHER INCOME</v>
      </c>
      <c r="C22" s="11"/>
      <c r="D22" s="2">
        <f t="shared" si="8"/>
        <v>0</v>
      </c>
      <c r="E22" s="2"/>
      <c r="F22" s="19">
        <f t="shared" si="0"/>
        <v>0</v>
      </c>
      <c r="G22" s="2"/>
      <c r="H22" s="2">
        <f>--316.52</f>
        <v>316.52</v>
      </c>
      <c r="I22" s="2"/>
      <c r="J22" s="19">
        <f t="shared" si="1"/>
        <v>0</v>
      </c>
      <c r="K22" s="2"/>
      <c r="L22" s="2">
        <f t="shared" si="2"/>
        <v>-316.52</v>
      </c>
      <c r="M22" s="2"/>
      <c r="N22" s="19">
        <f t="shared" si="3"/>
        <v>-1</v>
      </c>
      <c r="O22" s="11"/>
      <c r="P22" s="2">
        <f t="shared" si="9"/>
        <v>0</v>
      </c>
      <c r="Q22" s="2"/>
      <c r="R22" s="19">
        <f t="shared" si="4"/>
        <v>0</v>
      </c>
      <c r="S22" s="2"/>
      <c r="T22" s="2">
        <f>--1315.17</f>
        <v>1315.17</v>
      </c>
      <c r="U22" s="2"/>
      <c r="V22" s="19">
        <f t="shared" si="5"/>
        <v>0</v>
      </c>
      <c r="W22" s="2"/>
      <c r="X22" s="2">
        <f t="shared" si="6"/>
        <v>-1315.17</v>
      </c>
      <c r="Y22" s="2"/>
      <c r="Z22" s="19">
        <f t="shared" si="7"/>
        <v>-1</v>
      </c>
    </row>
    <row r="23" spans="1:26" x14ac:dyDescent="0.3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10"/>
      <c r="B24" s="26" t="s">
        <v>276</v>
      </c>
      <c r="C24" s="26"/>
      <c r="D24" s="20">
        <f>+D16-D18+D20</f>
        <v>0</v>
      </c>
      <c r="E24" s="13"/>
      <c r="F24" s="21">
        <f>IF(D$12=0,0,D24/D$12)</f>
        <v>0</v>
      </c>
      <c r="G24" s="13"/>
      <c r="H24" s="20">
        <f>+H16-H18+H20</f>
        <v>10316.52</v>
      </c>
      <c r="I24" s="13"/>
      <c r="J24" s="21">
        <f>IF(H$12=0,0,H24/H$12)</f>
        <v>0</v>
      </c>
      <c r="K24" s="15"/>
      <c r="L24" s="20">
        <f>+D24-H24</f>
        <v>-10316.52</v>
      </c>
      <c r="M24" s="15"/>
      <c r="N24" s="21">
        <f>IF(H24=0,0,L24/H24)</f>
        <v>-1</v>
      </c>
      <c r="O24" s="25"/>
      <c r="P24" s="20">
        <f>+P16-P18+P20</f>
        <v>0</v>
      </c>
      <c r="Q24" s="13"/>
      <c r="R24" s="21">
        <f>IF(P$12=0,0,P24/P$12)</f>
        <v>0</v>
      </c>
      <c r="S24" s="13"/>
      <c r="T24" s="20">
        <f>+T16-T18+T20</f>
        <v>13016.99</v>
      </c>
      <c r="U24" s="13"/>
      <c r="V24" s="21">
        <f>IF(T$12=0,0,T24/T$12)</f>
        <v>0</v>
      </c>
      <c r="W24" s="15"/>
      <c r="X24" s="20">
        <f>+P24-T24</f>
        <v>-13016.99</v>
      </c>
      <c r="Y24" s="15"/>
      <c r="Z24" s="21">
        <f>IF(T24=0,0,X24/T24)</f>
        <v>-1</v>
      </c>
    </row>
    <row r="25" spans="1:26" x14ac:dyDescent="0.3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3">
      <c r="A26" s="51"/>
      <c r="B26" s="10" t="s">
        <v>127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" thickBot="1" x14ac:dyDescent="0.35">
      <c r="A28" s="10"/>
      <c r="B28" s="26" t="s">
        <v>125</v>
      </c>
      <c r="C28" s="26"/>
      <c r="D28" s="32">
        <f>+D24-D26</f>
        <v>0</v>
      </c>
      <c r="E28" s="13"/>
      <c r="F28" s="35">
        <f>IF(D$12=0,0,D28/D$12)</f>
        <v>0</v>
      </c>
      <c r="G28" s="13"/>
      <c r="H28" s="32">
        <f>+H24-H26</f>
        <v>10316.52</v>
      </c>
      <c r="I28" s="13"/>
      <c r="J28" s="35">
        <f>IF(H$12=0,0,H28/H$12)</f>
        <v>0</v>
      </c>
      <c r="K28" s="15"/>
      <c r="L28" s="32">
        <f>D28-H28</f>
        <v>-10316.52</v>
      </c>
      <c r="M28" s="15"/>
      <c r="N28" s="35">
        <f>IF(H28=0,0,L28/H28)</f>
        <v>-1</v>
      </c>
      <c r="O28" s="25"/>
      <c r="P28" s="32">
        <f>+P24-P26</f>
        <v>0</v>
      </c>
      <c r="Q28" s="13"/>
      <c r="R28" s="35">
        <f>IF(P$12=0,0,P28/P$12)</f>
        <v>0</v>
      </c>
      <c r="S28" s="13"/>
      <c r="T28" s="32">
        <f>+T24-T26</f>
        <v>13016.99</v>
      </c>
      <c r="U28" s="13"/>
      <c r="V28" s="35">
        <f>IF(T$12=0,0,T28/T$12)</f>
        <v>0</v>
      </c>
      <c r="W28" s="15"/>
      <c r="X28" s="32">
        <f>P28-T28</f>
        <v>-13016.99</v>
      </c>
      <c r="Y28" s="15"/>
      <c r="Z28" s="35">
        <f>IF(T28=0,0,X28/T28)</f>
        <v>-1</v>
      </c>
    </row>
    <row r="29" spans="1:26" ht="15" thickTop="1" x14ac:dyDescent="0.3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293</v>
      </c>
      <c r="C31" s="26"/>
      <c r="D31" s="31">
        <f>SUM(D28:D30)</f>
        <v>0</v>
      </c>
      <c r="E31" s="13"/>
      <c r="F31" s="33">
        <f>IF(D$12=0,0,D31/D$12)</f>
        <v>0</v>
      </c>
      <c r="G31" s="13"/>
      <c r="H31" s="31">
        <f>SUM(H28:H30)</f>
        <v>10316.52</v>
      </c>
      <c r="I31" s="13"/>
      <c r="J31" s="33">
        <f>IF(H$12=0,0,H31/H$12)</f>
        <v>0</v>
      </c>
      <c r="K31" s="15"/>
      <c r="L31" s="31">
        <f>+D31-H31</f>
        <v>-10316.52</v>
      </c>
      <c r="M31" s="15"/>
      <c r="N31" s="33">
        <f>IF(H31=0,0,L31/H31)</f>
        <v>-1</v>
      </c>
      <c r="O31" s="25"/>
      <c r="P31" s="31">
        <f>SUM(P28:P30)</f>
        <v>0</v>
      </c>
      <c r="Q31" s="13"/>
      <c r="R31" s="33">
        <f>IF(P$12=0,0,P31/P$12)</f>
        <v>0</v>
      </c>
      <c r="S31" s="13"/>
      <c r="T31" s="31">
        <f>SUM(T28:T30)</f>
        <v>13016.99</v>
      </c>
      <c r="U31" s="13"/>
      <c r="V31" s="33">
        <f>IF(T$12=0,0,T31/T$12)</f>
        <v>0</v>
      </c>
      <c r="W31" s="15"/>
      <c r="X31" s="31">
        <f>+P31-T31</f>
        <v>-13016.99</v>
      </c>
      <c r="Y31" s="15"/>
      <c r="Z31" s="33">
        <f>IF(T31=0,0,X31/T31)</f>
        <v>-1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3">
      <c r="A33" s="9"/>
      <c r="B33" s="60">
        <v>44575.854680405093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3">
      <c r="A34" s="9"/>
      <c r="B34" s="57" t="s">
        <v>56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3">
      <c r="A35" s="9"/>
      <c r="B35" s="59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3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outlinePr summaryBelow="0" summaryRight="0"/>
  </sheetPr>
  <dimension ref="A2:Z10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182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964831.3600000001</v>
      </c>
      <c r="E12" s="4"/>
      <c r="F12" s="12"/>
      <c r="G12" s="4"/>
      <c r="H12" s="4">
        <f>SUM(OSRRefH13x_0)</f>
        <v>85078.92</v>
      </c>
      <c r="I12" s="4"/>
      <c r="J12" s="12"/>
      <c r="K12" s="4"/>
      <c r="L12" s="4">
        <f t="shared" ref="L12:L15" si="0">+D12-H12</f>
        <v>879752.44000000006</v>
      </c>
      <c r="M12" s="4"/>
      <c r="N12" s="12">
        <f t="shared" ref="N12:N15" si="1">IF(H12=0,0,L12/H12)</f>
        <v>10.340427922686372</v>
      </c>
      <c r="O12" s="10"/>
      <c r="P12" s="4">
        <f>SUM(OSRRefP13x_0)</f>
        <v>5792949.6299999999</v>
      </c>
      <c r="Q12" s="4"/>
      <c r="R12" s="12"/>
      <c r="S12" s="4"/>
      <c r="T12" s="4">
        <f>SUM(OSRRefT13x_0)</f>
        <v>636499.86</v>
      </c>
      <c r="U12" s="4"/>
      <c r="V12" s="12"/>
      <c r="W12" s="4"/>
      <c r="X12" s="4">
        <f t="shared" ref="X12:X15" si="2">+P12-T12</f>
        <v>5156449.7699999996</v>
      </c>
      <c r="Y12" s="4"/>
      <c r="Z12" s="12">
        <f t="shared" ref="Z12:Z15" si="3">IF(T12=0,0,X12/T12)</f>
        <v>8.1012582940709521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--314.54</f>
        <v>314.54000000000002</v>
      </c>
      <c r="E13" s="2"/>
      <c r="F13" s="19"/>
      <c r="G13" s="2"/>
      <c r="H13" s="2">
        <f>--38.05</f>
        <v>38.049999999999997</v>
      </c>
      <c r="I13" s="2"/>
      <c r="J13" s="19"/>
      <c r="K13" s="2"/>
      <c r="L13" s="2">
        <f t="shared" si="0"/>
        <v>276.49</v>
      </c>
      <c r="M13" s="2"/>
      <c r="N13" s="19">
        <f t="shared" si="1"/>
        <v>7.2664914586070966</v>
      </c>
      <c r="O13" s="11"/>
      <c r="P13" s="2">
        <f>--2583.87</f>
        <v>2583.87</v>
      </c>
      <c r="Q13" s="2"/>
      <c r="R13" s="19"/>
      <c r="S13" s="2"/>
      <c r="T13" s="2">
        <f>--533.08</f>
        <v>533.08000000000004</v>
      </c>
      <c r="U13" s="2"/>
      <c r="V13" s="19"/>
      <c r="W13" s="2"/>
      <c r="X13" s="2">
        <f t="shared" si="2"/>
        <v>2050.79</v>
      </c>
      <c r="Y13" s="2"/>
      <c r="Z13" s="19">
        <f t="shared" si="3"/>
        <v>3.8470586028363467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--958820.66</f>
        <v>958820.66</v>
      </c>
      <c r="E14" s="2"/>
      <c r="F14" s="19"/>
      <c r="G14" s="2"/>
      <c r="H14" s="2">
        <f>--81403.33</f>
        <v>81403.33</v>
      </c>
      <c r="I14" s="2"/>
      <c r="J14" s="19"/>
      <c r="K14" s="2"/>
      <c r="L14" s="2">
        <f t="shared" si="0"/>
        <v>877417.33000000007</v>
      </c>
      <c r="M14" s="2"/>
      <c r="N14" s="19">
        <f t="shared" si="1"/>
        <v>10.778641733698118</v>
      </c>
      <c r="O14" s="11"/>
      <c r="P14" s="2">
        <f>--5733899.77</f>
        <v>5733899.7699999996</v>
      </c>
      <c r="Q14" s="2"/>
      <c r="R14" s="19"/>
      <c r="S14" s="2"/>
      <c r="T14" s="2">
        <f>--606205.38</f>
        <v>606205.38</v>
      </c>
      <c r="U14" s="2"/>
      <c r="V14" s="19"/>
      <c r="W14" s="2"/>
      <c r="X14" s="2">
        <f t="shared" si="2"/>
        <v>5127694.3899999997</v>
      </c>
      <c r="Y14" s="2"/>
      <c r="Z14" s="19">
        <f t="shared" si="3"/>
        <v>8.4586751605536712</v>
      </c>
    </row>
    <row r="15" spans="1:26" s="24" customFormat="1" hidden="1" outlineLevel="1" x14ac:dyDescent="0.3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--5696.16</f>
        <v>5696.16</v>
      </c>
      <c r="E15" s="2"/>
      <c r="F15" s="19"/>
      <c r="G15" s="2"/>
      <c r="H15" s="2">
        <f>--3637.54</f>
        <v>3637.54</v>
      </c>
      <c r="I15" s="2"/>
      <c r="J15" s="19"/>
      <c r="K15" s="2"/>
      <c r="L15" s="2">
        <f t="shared" si="0"/>
        <v>2058.62</v>
      </c>
      <c r="M15" s="2"/>
      <c r="N15" s="19">
        <f t="shared" si="1"/>
        <v>0.56593741924487428</v>
      </c>
      <c r="O15" s="11"/>
      <c r="P15" s="2">
        <f>--56465.99</f>
        <v>56465.99</v>
      </c>
      <c r="Q15" s="2"/>
      <c r="R15" s="19"/>
      <c r="S15" s="2"/>
      <c r="T15" s="2">
        <f>--29761.4</f>
        <v>29761.4</v>
      </c>
      <c r="U15" s="2"/>
      <c r="V15" s="19"/>
      <c r="W15" s="2"/>
      <c r="X15" s="2">
        <f t="shared" si="2"/>
        <v>26704.589999999997</v>
      </c>
      <c r="Y15" s="2"/>
      <c r="Z15" s="19">
        <f t="shared" si="3"/>
        <v>0.89728944202893668</v>
      </c>
    </row>
    <row r="16" spans="1:26" x14ac:dyDescent="0.3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">
      <c r="A17" s="10"/>
      <c r="B17" s="25" t="s">
        <v>256</v>
      </c>
      <c r="C17" s="10"/>
      <c r="D17" s="4">
        <f>SUM(OSRRefD16x_0)</f>
        <v>225578.85</v>
      </c>
      <c r="E17" s="4"/>
      <c r="F17" s="12">
        <f t="shared" ref="F17:F19" si="4">IF(D$12=0,0,D17/D$12)</f>
        <v>0.23380132461697761</v>
      </c>
      <c r="G17" s="4"/>
      <c r="H17" s="4">
        <f>SUM(OSRRefH16x_0)</f>
        <v>34611.79</v>
      </c>
      <c r="I17" s="4"/>
      <c r="J17" s="12">
        <f t="shared" ref="J17:J19" si="5">IF(H$12=0,0,H17/H$12)</f>
        <v>0.40681980918422567</v>
      </c>
      <c r="K17" s="4"/>
      <c r="L17" s="4">
        <f t="shared" ref="L17:L19" si="6">+D17-H17</f>
        <v>190967.06</v>
      </c>
      <c r="M17" s="4"/>
      <c r="N17" s="12">
        <f t="shared" ref="N17:N19" si="7">IF(H17=0,0,L17/H17)</f>
        <v>5.5173991290251099</v>
      </c>
      <c r="O17" s="10"/>
      <c r="P17" s="4">
        <f>SUM(OSRRefP16x_0)</f>
        <v>1504148.27</v>
      </c>
      <c r="Q17" s="4"/>
      <c r="R17" s="12">
        <f t="shared" ref="R17:R19" si="8">IF(P$12=0,0,P17/P$12)</f>
        <v>0.25965153610355146</v>
      </c>
      <c r="S17" s="4"/>
      <c r="T17" s="4">
        <f>SUM(OSRRefT16x_0)</f>
        <v>250864.81</v>
      </c>
      <c r="U17" s="4"/>
      <c r="V17" s="12">
        <f t="shared" ref="V17:V19" si="9">IF(T$12=0,0,T17/T$12)</f>
        <v>0.39413175990329363</v>
      </c>
      <c r="W17" s="4"/>
      <c r="X17" s="4">
        <f t="shared" ref="X17:X19" si="10">+P17-T17</f>
        <v>1253283.46</v>
      </c>
      <c r="Y17" s="4"/>
      <c r="Z17" s="12">
        <f t="shared" ref="Z17:Z19" si="11">IF(T17=0,0,X17/T17)</f>
        <v>4.9958519889656898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180607.85</v>
      </c>
      <c r="E18" s="2"/>
      <c r="F18" s="19">
        <f t="shared" si="4"/>
        <v>0.1871911066406465</v>
      </c>
      <c r="G18" s="2"/>
      <c r="H18" s="2">
        <v>32717.79</v>
      </c>
      <c r="I18" s="2"/>
      <c r="J18" s="19">
        <f t="shared" si="5"/>
        <v>0.38455812556153746</v>
      </c>
      <c r="K18" s="2"/>
      <c r="L18" s="2">
        <f t="shared" si="6"/>
        <v>147890.06</v>
      </c>
      <c r="M18" s="2"/>
      <c r="N18" s="19">
        <f t="shared" si="7"/>
        <v>4.5201726644739759</v>
      </c>
      <c r="O18" s="11"/>
      <c r="P18" s="2">
        <v>1511407.33</v>
      </c>
      <c r="Q18" s="2"/>
      <c r="R18" s="19">
        <f t="shared" si="8"/>
        <v>0.26090462139923698</v>
      </c>
      <c r="S18" s="2"/>
      <c r="T18" s="2">
        <v>256328.49</v>
      </c>
      <c r="U18" s="2"/>
      <c r="V18" s="19">
        <f t="shared" si="9"/>
        <v>0.4027157052320483</v>
      </c>
      <c r="W18" s="2"/>
      <c r="X18" s="2">
        <f t="shared" si="10"/>
        <v>1255078.8400000001</v>
      </c>
      <c r="Y18" s="2"/>
      <c r="Z18" s="19">
        <f t="shared" si="11"/>
        <v>4.8963688741739171</v>
      </c>
    </row>
    <row r="19" spans="1:26" s="24" customFormat="1" hidden="1" outlineLevel="1" x14ac:dyDescent="0.3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44971</v>
      </c>
      <c r="E19" s="2"/>
      <c r="F19" s="19">
        <f t="shared" si="4"/>
        <v>4.6610217976331116E-2</v>
      </c>
      <c r="G19" s="2"/>
      <c r="H19" s="2">
        <v>1894</v>
      </c>
      <c r="I19" s="2"/>
      <c r="J19" s="19">
        <f t="shared" si="5"/>
        <v>2.2261683622688207E-2</v>
      </c>
      <c r="K19" s="2"/>
      <c r="L19" s="2">
        <f t="shared" si="6"/>
        <v>43077</v>
      </c>
      <c r="M19" s="2"/>
      <c r="N19" s="19">
        <f t="shared" si="7"/>
        <v>22.743928194297784</v>
      </c>
      <c r="O19" s="11"/>
      <c r="P19" s="2">
        <v>-7259.06</v>
      </c>
      <c r="Q19" s="2"/>
      <c r="R19" s="19">
        <f t="shared" si="8"/>
        <v>-1.2530852956855419E-3</v>
      </c>
      <c r="S19" s="2"/>
      <c r="T19" s="2">
        <v>-5463.68</v>
      </c>
      <c r="U19" s="2"/>
      <c r="V19" s="19">
        <f t="shared" si="9"/>
        <v>-8.5839453287546684E-3</v>
      </c>
      <c r="W19" s="2"/>
      <c r="X19" s="2">
        <f t="shared" si="10"/>
        <v>-1795.38</v>
      </c>
      <c r="Y19" s="2"/>
      <c r="Z19" s="19">
        <f t="shared" si="11"/>
        <v>0.32860270001171371</v>
      </c>
    </row>
    <row r="20" spans="1:26" x14ac:dyDescent="0.3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">
      <c r="A21" s="10"/>
      <c r="B21" s="26" t="s">
        <v>107</v>
      </c>
      <c r="C21" s="26"/>
      <c r="D21" s="20">
        <f>D12-D17</f>
        <v>739252.51000000013</v>
      </c>
      <c r="E21" s="13"/>
      <c r="F21" s="21">
        <f>IF(D$12=0,0,D21/D$12)</f>
        <v>0.76619867538302244</v>
      </c>
      <c r="G21" s="13"/>
      <c r="H21" s="20">
        <f>H12-H17</f>
        <v>50467.13</v>
      </c>
      <c r="I21" s="13"/>
      <c r="J21" s="21">
        <f>IF(H$12=0,0,H21/H$12)</f>
        <v>0.59318019081577433</v>
      </c>
      <c r="K21" s="15"/>
      <c r="L21" s="20">
        <f>+D21-H21</f>
        <v>688785.38000000012</v>
      </c>
      <c r="M21" s="15"/>
      <c r="N21" s="21">
        <f>IF(H21=0,0,L21/H21)</f>
        <v>13.64819794587091</v>
      </c>
      <c r="O21" s="25"/>
      <c r="P21" s="20">
        <f>P12-P17</f>
        <v>4288801.3599999994</v>
      </c>
      <c r="Q21" s="13"/>
      <c r="R21" s="21">
        <f>IF(P$12=0,0,P21/P$12)</f>
        <v>0.74034846389644848</v>
      </c>
      <c r="S21" s="13"/>
      <c r="T21" s="20">
        <f>T12-T17</f>
        <v>385635.05</v>
      </c>
      <c r="U21" s="13"/>
      <c r="V21" s="21">
        <f>IF(T$12=0,0,T21/T$12)</f>
        <v>0.60586824009670637</v>
      </c>
      <c r="W21" s="15"/>
      <c r="X21" s="20">
        <f>+P21-T21</f>
        <v>3903166.3099999996</v>
      </c>
      <c r="Y21" s="15"/>
      <c r="Z21" s="21">
        <f>IF(T21=0,0,X21/T21)</f>
        <v>10.121399260777773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294</v>
      </c>
      <c r="C23" s="10"/>
      <c r="D23" s="22">
        <f>SUM(OSRRefD22x_0)</f>
        <v>456769.11999999994</v>
      </c>
      <c r="E23" s="22"/>
      <c r="F23" s="34">
        <f t="shared" ref="F23:F33" si="12">IF(D$12=0,0,D23/D$12)</f>
        <v>0.47341860861570656</v>
      </c>
      <c r="G23" s="22"/>
      <c r="H23" s="22">
        <f>SUM(OSRRefH22x_0)</f>
        <v>248474.40999999995</v>
      </c>
      <c r="I23" s="22"/>
      <c r="J23" s="34">
        <f t="shared" ref="J23:J33" si="13">IF(H$12=0,0,H23/H$12)</f>
        <v>2.9205167390465223</v>
      </c>
      <c r="K23" s="4"/>
      <c r="L23" s="22">
        <f t="shared" ref="L23:L33" si="14">+D23-H23</f>
        <v>208294.71</v>
      </c>
      <c r="M23" s="4"/>
      <c r="N23" s="34">
        <f t="shared" ref="N23:N33" si="15">IF(H23=0,0,L23/H23)</f>
        <v>0.83829441430206042</v>
      </c>
      <c r="O23" s="10"/>
      <c r="P23" s="22">
        <f>SUM(OSRRefP22x_0)</f>
        <v>2699262.2300000004</v>
      </c>
      <c r="Q23" s="22"/>
      <c r="R23" s="34">
        <f t="shared" ref="R23:R33" si="16">IF(P$12=0,0,P23/P$12)</f>
        <v>0.46595644747561882</v>
      </c>
      <c r="S23" s="22"/>
      <c r="T23" s="22">
        <f>SUM(OSRRefT22x_0)</f>
        <v>1403467.4999999995</v>
      </c>
      <c r="U23" s="22"/>
      <c r="V23" s="34">
        <f t="shared" ref="V23:V33" si="17">IF(T$12=0,0,T23/T$12)</f>
        <v>2.2049769186123616</v>
      </c>
      <c r="W23" s="4"/>
      <c r="X23" s="22">
        <f t="shared" ref="X23:X33" si="18">+P23-T23</f>
        <v>1295794.7300000009</v>
      </c>
      <c r="Y23" s="4"/>
      <c r="Z23" s="34">
        <f t="shared" ref="Z23:Z33" si="19">IF(T23=0,0,X23/T23)</f>
        <v>0.92328089535382996</v>
      </c>
    </row>
    <row r="24" spans="1:26" s="29" customFormat="1" outlineLevel="1" collapsed="1" x14ac:dyDescent="0.3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84916.609999999986</v>
      </c>
      <c r="E24" s="1"/>
      <c r="F24" s="5">
        <f t="shared" si="12"/>
        <v>8.8011867690536066E-2</v>
      </c>
      <c r="G24" s="1"/>
      <c r="H24" s="1">
        <f>SUM(OSRRefH22_0x_0)</f>
        <v>78432.709999999992</v>
      </c>
      <c r="I24" s="1"/>
      <c r="J24" s="5">
        <f t="shared" si="13"/>
        <v>0.92188182454596268</v>
      </c>
      <c r="K24" s="1"/>
      <c r="L24" s="1">
        <f t="shared" si="14"/>
        <v>6483.8999999999942</v>
      </c>
      <c r="M24" s="1"/>
      <c r="N24" s="5">
        <f t="shared" si="15"/>
        <v>8.2668315298553299E-2</v>
      </c>
      <c r="O24" s="14"/>
      <c r="P24" s="1">
        <f>SUM(OSRRefP22_0x_0)</f>
        <v>511169.62</v>
      </c>
      <c r="Q24" s="1"/>
      <c r="R24" s="5">
        <f t="shared" si="16"/>
        <v>8.8239955920348653E-2</v>
      </c>
      <c r="S24" s="1"/>
      <c r="T24" s="1">
        <f>SUM(OSRRefT22_0x_0)</f>
        <v>466708.24999999994</v>
      </c>
      <c r="U24" s="1"/>
      <c r="V24" s="5">
        <f t="shared" si="17"/>
        <v>0.73324171665960769</v>
      </c>
      <c r="W24" s="1"/>
      <c r="X24" s="1">
        <f t="shared" si="18"/>
        <v>44461.370000000054</v>
      </c>
      <c r="Y24" s="1"/>
      <c r="Z24" s="5">
        <f t="shared" si="19"/>
        <v>9.5265875415744328E-2</v>
      </c>
    </row>
    <row r="25" spans="1:26" s="24" customFormat="1" hidden="1" outlineLevel="2" x14ac:dyDescent="0.3">
      <c r="A25" s="28"/>
      <c r="B25" s="11" t="str">
        <f>CONCATENATE("          ", "6111", " - ", "F.I.C.A.")</f>
        <v xml:space="preserve">          6111 - F.I.C.A.</v>
      </c>
      <c r="C25" s="11"/>
      <c r="D25" s="6">
        <v>10959.95</v>
      </c>
      <c r="E25" s="2"/>
      <c r="F25" s="7">
        <f t="shared" si="12"/>
        <v>1.1359446276704771E-2</v>
      </c>
      <c r="G25" s="2"/>
      <c r="H25" s="6">
        <v>7180.2</v>
      </c>
      <c r="I25" s="2"/>
      <c r="J25" s="7">
        <f t="shared" si="13"/>
        <v>8.4394583288081235E-2</v>
      </c>
      <c r="K25" s="2"/>
      <c r="L25" s="6">
        <f t="shared" si="14"/>
        <v>3779.7500000000009</v>
      </c>
      <c r="M25" s="2"/>
      <c r="N25" s="7">
        <f t="shared" si="15"/>
        <v>0.5264129132893236</v>
      </c>
      <c r="O25" s="11"/>
      <c r="P25" s="6">
        <v>72790.12</v>
      </c>
      <c r="Q25" s="2"/>
      <c r="R25" s="7">
        <f t="shared" si="16"/>
        <v>1.256529482373559E-2</v>
      </c>
      <c r="S25" s="2"/>
      <c r="T25" s="6">
        <v>49106.04</v>
      </c>
      <c r="U25" s="2"/>
      <c r="V25" s="7">
        <f t="shared" si="17"/>
        <v>7.7150119090363983E-2</v>
      </c>
      <c r="W25" s="2"/>
      <c r="X25" s="6">
        <f t="shared" si="18"/>
        <v>23684.079999999994</v>
      </c>
      <c r="Y25" s="2"/>
      <c r="Z25" s="7">
        <f t="shared" si="19"/>
        <v>0.48230482441671113</v>
      </c>
    </row>
    <row r="26" spans="1:26" s="24" customFormat="1" hidden="1" outlineLevel="2" x14ac:dyDescent="0.3">
      <c r="A26" s="28"/>
      <c r="B26" s="11" t="str">
        <f>CONCATENATE("          ", "6112", " - ", "COMPENSATION INSURANCE")</f>
        <v xml:space="preserve">          6112 - COMPENSATION INSURANCE</v>
      </c>
      <c r="C26" s="11"/>
      <c r="D26" s="6">
        <v>8041.97</v>
      </c>
      <c r="E26" s="2"/>
      <c r="F26" s="7">
        <f t="shared" si="12"/>
        <v>8.3351042818508719E-3</v>
      </c>
      <c r="G26" s="2"/>
      <c r="H26" s="6">
        <v>8283.3700000000008</v>
      </c>
      <c r="I26" s="2"/>
      <c r="J26" s="7">
        <f t="shared" si="13"/>
        <v>9.7361014925906458E-2</v>
      </c>
      <c r="K26" s="2"/>
      <c r="L26" s="6">
        <f t="shared" si="14"/>
        <v>-241.40000000000055</v>
      </c>
      <c r="M26" s="2"/>
      <c r="N26" s="7">
        <f t="shared" si="15"/>
        <v>-2.914272814084129E-2</v>
      </c>
      <c r="O26" s="11"/>
      <c r="P26" s="6">
        <v>44767.56</v>
      </c>
      <c r="Q26" s="2"/>
      <c r="R26" s="7">
        <f t="shared" si="16"/>
        <v>7.7279387633826186E-3</v>
      </c>
      <c r="S26" s="2"/>
      <c r="T26" s="6">
        <v>34107.370000000003</v>
      </c>
      <c r="U26" s="2"/>
      <c r="V26" s="7">
        <f t="shared" si="17"/>
        <v>5.358582482641866E-2</v>
      </c>
      <c r="W26" s="2"/>
      <c r="X26" s="6">
        <f t="shared" si="18"/>
        <v>10660.189999999995</v>
      </c>
      <c r="Y26" s="2"/>
      <c r="Z26" s="7">
        <f t="shared" si="19"/>
        <v>0.31254799182698617</v>
      </c>
    </row>
    <row r="27" spans="1:26" s="24" customFormat="1" hidden="1" outlineLevel="2" x14ac:dyDescent="0.3">
      <c r="A27" s="28"/>
      <c r="B27" s="11" t="str">
        <f>CONCATENATE("          ", "6113", " - ", "GROUP INSURANCE")</f>
        <v xml:space="preserve">          6113 - GROUP INSURANCE</v>
      </c>
      <c r="C27" s="11"/>
      <c r="D27" s="6">
        <v>44247.77</v>
      </c>
      <c r="E27" s="2"/>
      <c r="F27" s="7">
        <f t="shared" si="12"/>
        <v>4.5860625840354101E-2</v>
      </c>
      <c r="G27" s="2"/>
      <c r="H27" s="6">
        <v>45706.3</v>
      </c>
      <c r="I27" s="2"/>
      <c r="J27" s="7">
        <f t="shared" si="13"/>
        <v>0.5372223812902186</v>
      </c>
      <c r="K27" s="2"/>
      <c r="L27" s="6">
        <f t="shared" si="14"/>
        <v>-1458.5300000000061</v>
      </c>
      <c r="M27" s="2"/>
      <c r="N27" s="7">
        <f t="shared" si="15"/>
        <v>-3.1910918188521188E-2</v>
      </c>
      <c r="O27" s="11"/>
      <c r="P27" s="6">
        <v>259012.87</v>
      </c>
      <c r="Q27" s="2"/>
      <c r="R27" s="7">
        <f t="shared" si="16"/>
        <v>4.4711742125056249E-2</v>
      </c>
      <c r="S27" s="2"/>
      <c r="T27" s="6">
        <v>267591.93</v>
      </c>
      <c r="U27" s="2"/>
      <c r="V27" s="7">
        <f t="shared" si="17"/>
        <v>0.42041160857443077</v>
      </c>
      <c r="W27" s="2"/>
      <c r="X27" s="6">
        <f t="shared" si="18"/>
        <v>-8579.0599999999977</v>
      </c>
      <c r="Y27" s="2"/>
      <c r="Z27" s="7">
        <f t="shared" si="19"/>
        <v>-3.2060234402435071E-2</v>
      </c>
    </row>
    <row r="28" spans="1:26" s="24" customFormat="1" hidden="1" outlineLevel="2" x14ac:dyDescent="0.3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6">
        <v>580.82000000000005</v>
      </c>
      <c r="E28" s="2"/>
      <c r="F28" s="7">
        <f t="shared" si="12"/>
        <v>6.0199121222593763E-4</v>
      </c>
      <c r="G28" s="2"/>
      <c r="H28" s="6"/>
      <c r="I28" s="2"/>
      <c r="J28" s="7">
        <f t="shared" si="13"/>
        <v>0</v>
      </c>
      <c r="K28" s="2"/>
      <c r="L28" s="6">
        <f t="shared" si="14"/>
        <v>580.82000000000005</v>
      </c>
      <c r="M28" s="2"/>
      <c r="N28" s="7">
        <f t="shared" si="15"/>
        <v>0</v>
      </c>
      <c r="O28" s="11"/>
      <c r="P28" s="6">
        <v>3233.22</v>
      </c>
      <c r="Q28" s="2"/>
      <c r="R28" s="7">
        <f t="shared" si="16"/>
        <v>5.5813017659537287E-4</v>
      </c>
      <c r="S28" s="2"/>
      <c r="T28" s="6">
        <v>1645.86</v>
      </c>
      <c r="U28" s="2"/>
      <c r="V28" s="7">
        <f t="shared" si="17"/>
        <v>2.5857978978974165E-3</v>
      </c>
      <c r="W28" s="2"/>
      <c r="X28" s="6">
        <f t="shared" si="18"/>
        <v>1587.36</v>
      </c>
      <c r="Y28" s="2"/>
      <c r="Z28" s="7">
        <f t="shared" si="19"/>
        <v>0.96445627210090779</v>
      </c>
    </row>
    <row r="29" spans="1:26" s="24" customFormat="1" hidden="1" outlineLevel="2" x14ac:dyDescent="0.3">
      <c r="A29" s="28"/>
      <c r="B29" s="11" t="str">
        <f>CONCATENATE("          ", "6115", " - ", "P.E.R.S.")</f>
        <v xml:space="preserve">          6115 - P.E.R.S.</v>
      </c>
      <c r="C29" s="11"/>
      <c r="D29" s="6">
        <v>4076.1</v>
      </c>
      <c r="E29" s="2"/>
      <c r="F29" s="7">
        <f t="shared" si="12"/>
        <v>4.2246761133468954E-3</v>
      </c>
      <c r="G29" s="2"/>
      <c r="H29" s="6">
        <v>3503.7</v>
      </c>
      <c r="I29" s="2"/>
      <c r="J29" s="7">
        <f t="shared" si="13"/>
        <v>4.1181763943406897E-2</v>
      </c>
      <c r="K29" s="2"/>
      <c r="L29" s="6">
        <f t="shared" si="14"/>
        <v>572.40000000000009</v>
      </c>
      <c r="M29" s="2"/>
      <c r="N29" s="7">
        <f t="shared" si="15"/>
        <v>0.16337015155407145</v>
      </c>
      <c r="O29" s="11"/>
      <c r="P29" s="6">
        <v>25398.52</v>
      </c>
      <c r="Q29" s="2"/>
      <c r="R29" s="7">
        <f t="shared" si="16"/>
        <v>4.3843847473605604E-3</v>
      </c>
      <c r="S29" s="2"/>
      <c r="T29" s="6">
        <v>23650.38</v>
      </c>
      <c r="U29" s="2"/>
      <c r="V29" s="7">
        <f t="shared" si="17"/>
        <v>3.7156928832631636E-2</v>
      </c>
      <c r="W29" s="2"/>
      <c r="X29" s="6">
        <f t="shared" si="18"/>
        <v>1748.1399999999994</v>
      </c>
      <c r="Y29" s="2"/>
      <c r="Z29" s="7">
        <f t="shared" si="19"/>
        <v>7.3915937080080721E-2</v>
      </c>
    </row>
    <row r="30" spans="1:26" s="24" customFormat="1" hidden="1" outlineLevel="2" x14ac:dyDescent="0.3">
      <c r="A30" s="28"/>
      <c r="B30" s="11" t="str">
        <f>CONCATENATE("          ", "6117", " - ", "RETIREMENT STAFF HOURLY")</f>
        <v xml:space="preserve">          6117 - RETIREMENT STAFF HOURLY</v>
      </c>
      <c r="C30" s="11"/>
      <c r="D30" s="6">
        <v>1654.25</v>
      </c>
      <c r="E30" s="2"/>
      <c r="F30" s="7">
        <f t="shared" si="12"/>
        <v>1.7145483330890073E-3</v>
      </c>
      <c r="G30" s="2"/>
      <c r="H30" s="6">
        <v>1345.94</v>
      </c>
      <c r="I30" s="2"/>
      <c r="J30" s="7">
        <f t="shared" si="13"/>
        <v>1.5819899923506318E-2</v>
      </c>
      <c r="K30" s="2"/>
      <c r="L30" s="6">
        <f t="shared" si="14"/>
        <v>308.30999999999995</v>
      </c>
      <c r="M30" s="2"/>
      <c r="N30" s="7">
        <f t="shared" si="15"/>
        <v>0.2290666745917351</v>
      </c>
      <c r="O30" s="11"/>
      <c r="P30" s="6">
        <v>9944.23</v>
      </c>
      <c r="Q30" s="2"/>
      <c r="R30" s="7">
        <f t="shared" si="16"/>
        <v>1.7166090912480452E-3</v>
      </c>
      <c r="S30" s="2"/>
      <c r="T30" s="6">
        <v>9032.7999999999993</v>
      </c>
      <c r="U30" s="2"/>
      <c r="V30" s="7">
        <f t="shared" si="17"/>
        <v>1.4191362115931964E-2</v>
      </c>
      <c r="W30" s="2"/>
      <c r="X30" s="6">
        <f t="shared" si="18"/>
        <v>911.43000000000029</v>
      </c>
      <c r="Y30" s="2"/>
      <c r="Z30" s="7">
        <f t="shared" si="19"/>
        <v>0.10090226729253392</v>
      </c>
    </row>
    <row r="31" spans="1:26" s="24" customFormat="1" hidden="1" outlineLevel="2" x14ac:dyDescent="0.3">
      <c r="A31" s="28"/>
      <c r="B31" s="11" t="str">
        <f>CONCATENATE("          ", "6118", " - ", "VACATION")</f>
        <v xml:space="preserve">          6118 - VACATION</v>
      </c>
      <c r="C31" s="11"/>
      <c r="D31" s="6">
        <v>6996.26</v>
      </c>
      <c r="E31" s="2"/>
      <c r="F31" s="7">
        <f t="shared" si="12"/>
        <v>7.251277570413963E-3</v>
      </c>
      <c r="G31" s="2"/>
      <c r="H31" s="6">
        <v>6444.74</v>
      </c>
      <c r="I31" s="2"/>
      <c r="J31" s="7">
        <f t="shared" si="13"/>
        <v>7.5750138812293338E-2</v>
      </c>
      <c r="K31" s="2"/>
      <c r="L31" s="6">
        <f t="shared" si="14"/>
        <v>551.52000000000044</v>
      </c>
      <c r="M31" s="2"/>
      <c r="N31" s="7">
        <f t="shared" si="15"/>
        <v>8.5576764927677532E-2</v>
      </c>
      <c r="O31" s="11"/>
      <c r="P31" s="6">
        <v>43719.93</v>
      </c>
      <c r="Q31" s="2"/>
      <c r="R31" s="7">
        <f t="shared" si="16"/>
        <v>7.5470930687170507E-3</v>
      </c>
      <c r="S31" s="2"/>
      <c r="T31" s="6">
        <v>40068</v>
      </c>
      <c r="U31" s="2"/>
      <c r="V31" s="7">
        <f t="shared" si="17"/>
        <v>6.295052445101873E-2</v>
      </c>
      <c r="W31" s="2"/>
      <c r="X31" s="6">
        <f t="shared" si="18"/>
        <v>3651.9300000000003</v>
      </c>
      <c r="Y31" s="2"/>
      <c r="Z31" s="7">
        <f t="shared" si="19"/>
        <v>9.1143306379155437E-2</v>
      </c>
    </row>
    <row r="32" spans="1:26" s="24" customFormat="1" hidden="1" outlineLevel="2" x14ac:dyDescent="0.3">
      <c r="A32" s="28"/>
      <c r="B32" s="11" t="str">
        <f>CONCATENATE("          ", "6119", " - ", "SICK LEAVE")</f>
        <v xml:space="preserve">          6119 - SICK LEAVE</v>
      </c>
      <c r="C32" s="11"/>
      <c r="D32" s="6">
        <v>5283.9</v>
      </c>
      <c r="E32" s="2"/>
      <c r="F32" s="7">
        <f t="shared" si="12"/>
        <v>5.476501095486779E-3</v>
      </c>
      <c r="G32" s="2"/>
      <c r="H32" s="6">
        <v>4207.78</v>
      </c>
      <c r="I32" s="2"/>
      <c r="J32" s="7">
        <f t="shared" si="13"/>
        <v>4.9457374400145179E-2</v>
      </c>
      <c r="K32" s="2"/>
      <c r="L32" s="6">
        <f t="shared" si="14"/>
        <v>1076.1199999999999</v>
      </c>
      <c r="M32" s="2"/>
      <c r="N32" s="7">
        <f t="shared" si="15"/>
        <v>0.25574530987836813</v>
      </c>
      <c r="O32" s="11"/>
      <c r="P32" s="6">
        <v>31943.08</v>
      </c>
      <c r="Q32" s="2"/>
      <c r="R32" s="7">
        <f t="shared" si="16"/>
        <v>5.514130458614052E-3</v>
      </c>
      <c r="S32" s="2"/>
      <c r="T32" s="6">
        <v>26664.23</v>
      </c>
      <c r="U32" s="2"/>
      <c r="V32" s="7">
        <f t="shared" si="17"/>
        <v>4.1891965223684414E-2</v>
      </c>
      <c r="W32" s="2"/>
      <c r="X32" s="6">
        <f t="shared" si="18"/>
        <v>5278.8500000000022</v>
      </c>
      <c r="Y32" s="2"/>
      <c r="Z32" s="7">
        <f t="shared" si="19"/>
        <v>0.19797496496242353</v>
      </c>
    </row>
    <row r="33" spans="1:26" s="24" customFormat="1" hidden="1" outlineLevel="2" x14ac:dyDescent="0.3">
      <c r="A33" s="28"/>
      <c r="B33" s="11" t="str">
        <f>CONCATENATE("          ", "6156", " - ", "EMPLOYEE MEALS")</f>
        <v xml:space="preserve">          6156 - EMPLOYEE MEALS</v>
      </c>
      <c r="C33" s="11"/>
      <c r="D33" s="6">
        <v>3075.59</v>
      </c>
      <c r="E33" s="2"/>
      <c r="F33" s="7">
        <f t="shared" si="12"/>
        <v>3.187696967063757E-3</v>
      </c>
      <c r="G33" s="2"/>
      <c r="H33" s="6">
        <v>1760.68</v>
      </c>
      <c r="I33" s="2"/>
      <c r="J33" s="7">
        <f t="shared" si="13"/>
        <v>2.0694667962404791E-2</v>
      </c>
      <c r="K33" s="2"/>
      <c r="L33" s="6">
        <f t="shared" si="14"/>
        <v>1314.91</v>
      </c>
      <c r="M33" s="2"/>
      <c r="N33" s="7">
        <f t="shared" si="15"/>
        <v>0.74681941068223645</v>
      </c>
      <c r="O33" s="11"/>
      <c r="P33" s="6">
        <v>20360.09</v>
      </c>
      <c r="Q33" s="2"/>
      <c r="R33" s="7">
        <f t="shared" si="16"/>
        <v>3.5146326656391108E-3</v>
      </c>
      <c r="S33" s="2"/>
      <c r="T33" s="6">
        <v>14841.64</v>
      </c>
      <c r="U33" s="2"/>
      <c r="V33" s="7">
        <f t="shared" si="17"/>
        <v>2.331758564723015E-2</v>
      </c>
      <c r="W33" s="2"/>
      <c r="X33" s="6">
        <f t="shared" si="18"/>
        <v>5518.4500000000007</v>
      </c>
      <c r="Y33" s="2"/>
      <c r="Z33" s="7">
        <f t="shared" si="19"/>
        <v>0.37182211669330351</v>
      </c>
    </row>
    <row r="34" spans="1:26" s="29" customFormat="1" outlineLevel="1" collapsed="1" x14ac:dyDescent="0.3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239115.61000000002</v>
      </c>
      <c r="E34" s="1"/>
      <c r="F34" s="5">
        <f t="shared" ref="F34:F40" si="20">IF(D$12=0,0,D34/D$12)</f>
        <v>0.24783150705217541</v>
      </c>
      <c r="G34" s="1"/>
      <c r="H34" s="1">
        <f>SUM(OSRRefH22_1x_0)</f>
        <v>92565.57</v>
      </c>
      <c r="I34" s="1"/>
      <c r="J34" s="5">
        <f t="shared" ref="J34:J40" si="21">IF(H$12=0,0,H34/H$12)</f>
        <v>1.0879965331012666</v>
      </c>
      <c r="K34" s="1"/>
      <c r="L34" s="1">
        <f t="shared" ref="L34:L40" si="22">+D34-H34</f>
        <v>146550.04</v>
      </c>
      <c r="M34" s="1"/>
      <c r="N34" s="5">
        <f t="shared" ref="N34:N40" si="23">IF(H34=0,0,L34/H34)</f>
        <v>1.5832024801446154</v>
      </c>
      <c r="O34" s="14"/>
      <c r="P34" s="1">
        <f>SUM(OSRRefP22_1x_0)</f>
        <v>1334631.6599999999</v>
      </c>
      <c r="Q34" s="1"/>
      <c r="R34" s="5">
        <f t="shared" ref="R34:R40" si="24">IF(P$12=0,0,P34/P$12)</f>
        <v>0.23038896335095527</v>
      </c>
      <c r="S34" s="1"/>
      <c r="T34" s="1">
        <f>SUM(OSRRefT22_1x_0)</f>
        <v>640516.01000000013</v>
      </c>
      <c r="U34" s="1"/>
      <c r="V34" s="5">
        <f t="shared" ref="V34:V40" si="25">IF(T$12=0,0,T34/T$12)</f>
        <v>1.0063097421576812</v>
      </c>
      <c r="W34" s="1"/>
      <c r="X34" s="1">
        <f t="shared" ref="X34:X40" si="26">+P34-T34</f>
        <v>694115.64999999979</v>
      </c>
      <c r="Y34" s="1"/>
      <c r="Z34" s="5">
        <f t="shared" ref="Z34:Z40" si="27">IF(T34=0,0,X34/T34)</f>
        <v>1.0836819676060863</v>
      </c>
    </row>
    <row r="35" spans="1:26" s="24" customFormat="1" hidden="1" outlineLevel="2" x14ac:dyDescent="0.3">
      <c r="A35" s="28"/>
      <c r="B35" s="11" t="str">
        <f>CONCATENATE("          ", "6001", " - ", "ADMINISTRATIVE SALARIES")</f>
        <v xml:space="preserve">          6001 - ADMINISTRATIVE SALARIES</v>
      </c>
      <c r="C35" s="11"/>
      <c r="D35" s="6">
        <v>8852.02</v>
      </c>
      <c r="E35" s="2"/>
      <c r="F35" s="7">
        <f t="shared" si="20"/>
        <v>9.1746810551431492E-3</v>
      </c>
      <c r="G35" s="2"/>
      <c r="H35" s="6">
        <v>8063.59</v>
      </c>
      <c r="I35" s="2"/>
      <c r="J35" s="7">
        <f t="shared" si="21"/>
        <v>9.4777766337419425E-2</v>
      </c>
      <c r="K35" s="2"/>
      <c r="L35" s="6">
        <f t="shared" si="22"/>
        <v>788.43000000000029</v>
      </c>
      <c r="M35" s="2"/>
      <c r="N35" s="7">
        <f t="shared" si="23"/>
        <v>9.7776548658848023E-2</v>
      </c>
      <c r="O35" s="11"/>
      <c r="P35" s="6">
        <v>55746.2</v>
      </c>
      <c r="Q35" s="2"/>
      <c r="R35" s="7">
        <f t="shared" si="24"/>
        <v>9.6231114648928848E-3</v>
      </c>
      <c r="S35" s="2"/>
      <c r="T35" s="6">
        <v>53309.26</v>
      </c>
      <c r="U35" s="2"/>
      <c r="V35" s="7">
        <f t="shared" si="25"/>
        <v>8.3753765476083541E-2</v>
      </c>
      <c r="W35" s="2"/>
      <c r="X35" s="6">
        <f t="shared" si="26"/>
        <v>2436.9399999999951</v>
      </c>
      <c r="Y35" s="2"/>
      <c r="Z35" s="7">
        <f t="shared" si="27"/>
        <v>4.5713258822200779E-2</v>
      </c>
    </row>
    <row r="36" spans="1:26" s="24" customFormat="1" hidden="1" outlineLevel="2" x14ac:dyDescent="0.3">
      <c r="A36" s="28"/>
      <c r="B36" s="11" t="str">
        <f>CONCATENATE("          ", "6002", " - ", "STAFF SALARIES")</f>
        <v xml:space="preserve">          6002 - STAFF SALARIES</v>
      </c>
      <c r="C36" s="11"/>
      <c r="D36" s="6">
        <v>34123.4</v>
      </c>
      <c r="E36" s="2"/>
      <c r="F36" s="7">
        <f t="shared" si="20"/>
        <v>3.5367216919649044E-2</v>
      </c>
      <c r="G36" s="2"/>
      <c r="H36" s="6">
        <v>24662.15</v>
      </c>
      <c r="I36" s="2"/>
      <c r="J36" s="7">
        <f t="shared" si="21"/>
        <v>0.28987380187712775</v>
      </c>
      <c r="K36" s="2"/>
      <c r="L36" s="6">
        <f t="shared" si="22"/>
        <v>9461.25</v>
      </c>
      <c r="M36" s="2"/>
      <c r="N36" s="7">
        <f t="shared" si="23"/>
        <v>0.38363443576492723</v>
      </c>
      <c r="O36" s="11"/>
      <c r="P36" s="6">
        <v>224749.56</v>
      </c>
      <c r="Q36" s="2"/>
      <c r="R36" s="7">
        <f t="shared" si="24"/>
        <v>3.8797085138818993E-2</v>
      </c>
      <c r="S36" s="2"/>
      <c r="T36" s="6">
        <v>169957.95</v>
      </c>
      <c r="U36" s="2"/>
      <c r="V36" s="7">
        <f t="shared" si="25"/>
        <v>0.26701961882599629</v>
      </c>
      <c r="W36" s="2"/>
      <c r="X36" s="6">
        <f t="shared" si="26"/>
        <v>54791.609999999986</v>
      </c>
      <c r="Y36" s="2"/>
      <c r="Z36" s="7">
        <f t="shared" si="27"/>
        <v>0.32238333070032898</v>
      </c>
    </row>
    <row r="37" spans="1:26" s="24" customFormat="1" hidden="1" outlineLevel="2" x14ac:dyDescent="0.3">
      <c r="A37" s="28"/>
      <c r="B37" s="11" t="str">
        <f>CONCATENATE("          ", "6004", " - ", "STAFF HOURLY")</f>
        <v xml:space="preserve">          6004 - STAFF HOURLY</v>
      </c>
      <c r="C37" s="11"/>
      <c r="D37" s="6">
        <v>66624.19</v>
      </c>
      <c r="E37" s="2"/>
      <c r="F37" s="7">
        <f t="shared" si="20"/>
        <v>6.9052678801816716E-2</v>
      </c>
      <c r="G37" s="2"/>
      <c r="H37" s="6">
        <v>36454.699999999997</v>
      </c>
      <c r="I37" s="2"/>
      <c r="J37" s="7">
        <f t="shared" si="21"/>
        <v>0.42848099153115715</v>
      </c>
      <c r="K37" s="2"/>
      <c r="L37" s="6">
        <f t="shared" si="22"/>
        <v>30169.490000000005</v>
      </c>
      <c r="M37" s="2"/>
      <c r="N37" s="7">
        <f t="shared" si="23"/>
        <v>0.82758848653260098</v>
      </c>
      <c r="O37" s="11"/>
      <c r="P37" s="6">
        <v>461714.64</v>
      </c>
      <c r="Q37" s="2"/>
      <c r="R37" s="7">
        <f t="shared" si="24"/>
        <v>7.9702857696002452E-2</v>
      </c>
      <c r="S37" s="2"/>
      <c r="T37" s="6">
        <v>275316.76</v>
      </c>
      <c r="U37" s="2"/>
      <c r="V37" s="7">
        <f t="shared" si="25"/>
        <v>0.43254802915431906</v>
      </c>
      <c r="W37" s="2"/>
      <c r="X37" s="6">
        <f t="shared" si="26"/>
        <v>186397.88</v>
      </c>
      <c r="Y37" s="2"/>
      <c r="Z37" s="7">
        <f t="shared" si="27"/>
        <v>0.67703063191648771</v>
      </c>
    </row>
    <row r="38" spans="1:26" s="24" customFormat="1" hidden="1" outlineLevel="2" x14ac:dyDescent="0.3">
      <c r="A38" s="28"/>
      <c r="B38" s="11" t="str">
        <f>CONCATENATE("          ", "6005", " - ", "TEMPORARY WAGES-HOURLY")</f>
        <v xml:space="preserve">          6005 - TEMPORARY WAGES-HOURLY</v>
      </c>
      <c r="C38" s="11"/>
      <c r="D38" s="6">
        <v>45152.2</v>
      </c>
      <c r="E38" s="2"/>
      <c r="F38" s="7">
        <f t="shared" si="20"/>
        <v>4.6798022817168786E-2</v>
      </c>
      <c r="G38" s="2"/>
      <c r="H38" s="6">
        <v>11620.64</v>
      </c>
      <c r="I38" s="2"/>
      <c r="J38" s="7">
        <f t="shared" si="21"/>
        <v>0.13658659512838198</v>
      </c>
      <c r="K38" s="2"/>
      <c r="L38" s="6">
        <f t="shared" si="22"/>
        <v>33531.56</v>
      </c>
      <c r="M38" s="2"/>
      <c r="N38" s="7">
        <f t="shared" si="23"/>
        <v>2.8855174930124332</v>
      </c>
      <c r="O38" s="11"/>
      <c r="P38" s="6">
        <v>248952.62</v>
      </c>
      <c r="Q38" s="2"/>
      <c r="R38" s="7">
        <f t="shared" si="24"/>
        <v>4.2975105240126175E-2</v>
      </c>
      <c r="S38" s="2"/>
      <c r="T38" s="6">
        <v>62163.73</v>
      </c>
      <c r="U38" s="2"/>
      <c r="V38" s="7">
        <f t="shared" si="25"/>
        <v>9.7664954710280694E-2</v>
      </c>
      <c r="W38" s="2"/>
      <c r="X38" s="6">
        <f t="shared" si="26"/>
        <v>186788.88999999998</v>
      </c>
      <c r="Y38" s="2"/>
      <c r="Z38" s="7">
        <f t="shared" si="27"/>
        <v>3.0047889661704659</v>
      </c>
    </row>
    <row r="39" spans="1:26" s="24" customFormat="1" hidden="1" outlineLevel="2" x14ac:dyDescent="0.3">
      <c r="A39" s="28"/>
      <c r="B39" s="11" t="str">
        <f>CONCATENATE("          ", "6007", " - ", "STUDENT HOURLY")</f>
        <v xml:space="preserve">          6007 - STUDENT HOURLY</v>
      </c>
      <c r="C39" s="11"/>
      <c r="D39" s="6">
        <v>53341.760000000002</v>
      </c>
      <c r="E39" s="2"/>
      <c r="F39" s="7">
        <f t="shared" si="20"/>
        <v>5.5286096836653399E-2</v>
      </c>
      <c r="G39" s="2"/>
      <c r="H39" s="6">
        <v>10668.46</v>
      </c>
      <c r="I39" s="2"/>
      <c r="J39" s="7">
        <f t="shared" si="21"/>
        <v>0.12539486867017116</v>
      </c>
      <c r="K39" s="2"/>
      <c r="L39" s="6">
        <f t="shared" si="22"/>
        <v>42673.3</v>
      </c>
      <c r="M39" s="2"/>
      <c r="N39" s="7">
        <f t="shared" si="23"/>
        <v>3.999949383509898</v>
      </c>
      <c r="O39" s="11"/>
      <c r="P39" s="6">
        <v>268068.63</v>
      </c>
      <c r="Q39" s="2"/>
      <c r="R39" s="7">
        <f t="shared" si="24"/>
        <v>4.6274980298767074E-2</v>
      </c>
      <c r="S39" s="2"/>
      <c r="T39" s="6">
        <v>69137.429999999993</v>
      </c>
      <c r="U39" s="2"/>
      <c r="V39" s="7">
        <f t="shared" si="25"/>
        <v>0.10862128076508924</v>
      </c>
      <c r="W39" s="2"/>
      <c r="X39" s="6">
        <f t="shared" si="26"/>
        <v>198931.20000000001</v>
      </c>
      <c r="Y39" s="2"/>
      <c r="Z39" s="7">
        <f t="shared" si="27"/>
        <v>2.8773299788551587</v>
      </c>
    </row>
    <row r="40" spans="1:26" s="24" customFormat="1" hidden="1" outlineLevel="2" x14ac:dyDescent="0.3">
      <c r="A40" s="28"/>
      <c r="B40" s="11" t="str">
        <f>CONCATENATE("          ", "6008", " - ", "STUDENT HOURLY-FICA EXEMPT")</f>
        <v xml:space="preserve">          6008 - STUDENT HOURLY-FICA EXEMPT</v>
      </c>
      <c r="C40" s="11"/>
      <c r="D40" s="6">
        <v>31022.04</v>
      </c>
      <c r="E40" s="2"/>
      <c r="F40" s="7">
        <f t="shared" si="20"/>
        <v>3.2152810621744299E-2</v>
      </c>
      <c r="G40" s="2"/>
      <c r="H40" s="6">
        <v>1096.03</v>
      </c>
      <c r="I40" s="2"/>
      <c r="J40" s="7">
        <f t="shared" si="21"/>
        <v>1.2882509557008951E-2</v>
      </c>
      <c r="K40" s="2"/>
      <c r="L40" s="6">
        <f t="shared" si="22"/>
        <v>29926.010000000002</v>
      </c>
      <c r="M40" s="2"/>
      <c r="N40" s="7">
        <f t="shared" si="23"/>
        <v>27.304006277200443</v>
      </c>
      <c r="O40" s="11"/>
      <c r="P40" s="6">
        <v>75400.009999999995</v>
      </c>
      <c r="Q40" s="2"/>
      <c r="R40" s="7">
        <f t="shared" si="24"/>
        <v>1.3015823512347716E-2</v>
      </c>
      <c r="S40" s="2"/>
      <c r="T40" s="6">
        <v>10630.88</v>
      </c>
      <c r="U40" s="2"/>
      <c r="V40" s="7">
        <f t="shared" si="25"/>
        <v>1.6702093225912099E-2</v>
      </c>
      <c r="W40" s="2"/>
      <c r="X40" s="6">
        <f t="shared" si="26"/>
        <v>64769.13</v>
      </c>
      <c r="Y40" s="2"/>
      <c r="Z40" s="7">
        <f t="shared" si="27"/>
        <v>6.0925464307752515</v>
      </c>
    </row>
    <row r="41" spans="1:26" s="29" customFormat="1" outlineLevel="1" collapsed="1" x14ac:dyDescent="0.3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204.12</v>
      </c>
      <c r="E41" s="1"/>
      <c r="F41" s="5">
        <f t="shared" ref="F41:F64" si="28">IF(D$12=0,0,D41/D$12)</f>
        <v>2.1156028759264207E-4</v>
      </c>
      <c r="G41" s="1"/>
      <c r="H41" s="1">
        <f>SUM(OSRRefH22_2x_0)</f>
        <v>0</v>
      </c>
      <c r="I41" s="1"/>
      <c r="J41" s="5">
        <f t="shared" ref="J41:J64" si="29">IF(H$12=0,0,H41/H$12)</f>
        <v>0</v>
      </c>
      <c r="K41" s="1"/>
      <c r="L41" s="1">
        <f t="shared" ref="L41:L64" si="30">+D41-H41</f>
        <v>204.12</v>
      </c>
      <c r="M41" s="1"/>
      <c r="N41" s="5">
        <f t="shared" ref="N41:N64" si="31">IF(H41=0,0,L41/H41)</f>
        <v>0</v>
      </c>
      <c r="O41" s="14"/>
      <c r="P41" s="1">
        <f>SUM(OSRRefP22_2x_0)</f>
        <v>3197.5</v>
      </c>
      <c r="Q41" s="1"/>
      <c r="R41" s="5">
        <f t="shared" ref="R41:R64" si="32">IF(P$12=0,0,P41/P$12)</f>
        <v>5.5196406049192598E-4</v>
      </c>
      <c r="S41" s="1"/>
      <c r="T41" s="1">
        <f>SUM(OSRRefT22_2x_0)</f>
        <v>1429</v>
      </c>
      <c r="U41" s="1"/>
      <c r="V41" s="5">
        <f t="shared" ref="V41:V64" si="33">IF(T$12=0,0,T41/T$12)</f>
        <v>2.2450908315989259E-3</v>
      </c>
      <c r="W41" s="1"/>
      <c r="X41" s="1">
        <f t="shared" ref="X41:X64" si="34">+P41-T41</f>
        <v>1768.5</v>
      </c>
      <c r="Y41" s="1"/>
      <c r="Z41" s="5">
        <f t="shared" ref="Z41:Z64" si="35">IF(T41=0,0,X41/T41)</f>
        <v>1.2375787263820854</v>
      </c>
    </row>
    <row r="42" spans="1:26" s="24" customFormat="1" hidden="1" outlineLevel="2" x14ac:dyDescent="0.3">
      <c r="A42" s="28"/>
      <c r="B42" s="11" t="str">
        <f>CONCATENATE("          ", "6362", " - ", "ADVERTISING EXPENSE")</f>
        <v xml:space="preserve">          6362 - ADVERTISING EXPENSE</v>
      </c>
      <c r="C42" s="11"/>
      <c r="D42" s="6">
        <v>204.12</v>
      </c>
      <c r="E42" s="2"/>
      <c r="F42" s="7">
        <f t="shared" si="28"/>
        <v>2.1156028759264207E-4</v>
      </c>
      <c r="G42" s="2"/>
      <c r="H42" s="6"/>
      <c r="I42" s="2"/>
      <c r="J42" s="7">
        <f t="shared" si="29"/>
        <v>0</v>
      </c>
      <c r="K42" s="2"/>
      <c r="L42" s="6">
        <f t="shared" si="30"/>
        <v>204.12</v>
      </c>
      <c r="M42" s="2"/>
      <c r="N42" s="7">
        <f t="shared" si="31"/>
        <v>0</v>
      </c>
      <c r="O42" s="11"/>
      <c r="P42" s="6">
        <v>3197.5</v>
      </c>
      <c r="Q42" s="2"/>
      <c r="R42" s="7">
        <f t="shared" si="32"/>
        <v>5.5196406049192598E-4</v>
      </c>
      <c r="S42" s="2"/>
      <c r="T42" s="6">
        <v>1429</v>
      </c>
      <c r="U42" s="2"/>
      <c r="V42" s="7">
        <f t="shared" si="33"/>
        <v>2.2450908315989259E-3</v>
      </c>
      <c r="W42" s="2"/>
      <c r="X42" s="6">
        <f t="shared" si="34"/>
        <v>1768.5</v>
      </c>
      <c r="Y42" s="2"/>
      <c r="Z42" s="7">
        <f t="shared" si="35"/>
        <v>1.2375787263820854</v>
      </c>
    </row>
    <row r="43" spans="1:26" s="29" customFormat="1" outlineLevel="1" collapsed="1" x14ac:dyDescent="0.3">
      <c r="A43" s="27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4"/>
      <c r="P43" s="1">
        <f>SUM(OSRRefP22_3x_0)</f>
        <v>-23.9</v>
      </c>
      <c r="Q43" s="1"/>
      <c r="R43" s="5">
        <f t="shared" si="32"/>
        <v>-4.1257047836613068E-6</v>
      </c>
      <c r="S43" s="1"/>
      <c r="T43" s="1">
        <f>SUM(OSRRefT22_3x_0)</f>
        <v>69.739999999999995</v>
      </c>
      <c r="U43" s="1"/>
      <c r="V43" s="5">
        <f t="shared" si="33"/>
        <v>1.0956797382484892E-4</v>
      </c>
      <c r="W43" s="1"/>
      <c r="X43" s="1">
        <f t="shared" si="34"/>
        <v>-93.639999999999986</v>
      </c>
      <c r="Y43" s="1"/>
      <c r="Z43" s="5">
        <f t="shared" si="35"/>
        <v>-1.3427014625752796</v>
      </c>
    </row>
    <row r="44" spans="1:26" s="24" customFormat="1" hidden="1" outlineLevel="2" x14ac:dyDescent="0.3">
      <c r="A44" s="28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28"/>
        <v>0</v>
      </c>
      <c r="G44" s="2"/>
      <c r="H44" s="6"/>
      <c r="I44" s="2"/>
      <c r="J44" s="7">
        <f t="shared" si="29"/>
        <v>0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>
        <v>-23.9</v>
      </c>
      <c r="Q44" s="2"/>
      <c r="R44" s="7">
        <f t="shared" si="32"/>
        <v>-4.1257047836613068E-6</v>
      </c>
      <c r="S44" s="2"/>
      <c r="T44" s="6">
        <v>69.739999999999995</v>
      </c>
      <c r="U44" s="2"/>
      <c r="V44" s="7">
        <f t="shared" si="33"/>
        <v>1.0956797382484892E-4</v>
      </c>
      <c r="W44" s="2"/>
      <c r="X44" s="6">
        <f t="shared" si="34"/>
        <v>-93.639999999999986</v>
      </c>
      <c r="Y44" s="2"/>
      <c r="Z44" s="7">
        <f t="shared" si="35"/>
        <v>-1.3427014625752796</v>
      </c>
    </row>
    <row r="45" spans="1:26" s="29" customFormat="1" outlineLevel="1" collapsed="1" x14ac:dyDescent="0.3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204.84</v>
      </c>
      <c r="E45" s="1"/>
      <c r="F45" s="5">
        <f t="shared" si="28"/>
        <v>2.123065319933216E-4</v>
      </c>
      <c r="G45" s="1"/>
      <c r="H45" s="1">
        <f>SUM(OSRRefH22_4x_0)</f>
        <v>25.03</v>
      </c>
      <c r="I45" s="1"/>
      <c r="J45" s="5">
        <f t="shared" si="29"/>
        <v>2.9419743457016149E-4</v>
      </c>
      <c r="K45" s="1"/>
      <c r="L45" s="1">
        <f t="shared" si="30"/>
        <v>179.81</v>
      </c>
      <c r="M45" s="1"/>
      <c r="N45" s="5">
        <f t="shared" si="31"/>
        <v>7.1837794646424289</v>
      </c>
      <c r="O45" s="14"/>
      <c r="P45" s="1">
        <f>SUM(OSRRefP22_4x_0)</f>
        <v>843.69</v>
      </c>
      <c r="Q45" s="1"/>
      <c r="R45" s="5">
        <f t="shared" si="32"/>
        <v>1.4564083133586646E-4</v>
      </c>
      <c r="S45" s="1"/>
      <c r="T45" s="1">
        <f>SUM(OSRRefT22_4x_0)</f>
        <v>35.200000000000003</v>
      </c>
      <c r="U45" s="1"/>
      <c r="V45" s="5">
        <f t="shared" si="33"/>
        <v>5.5302447356390627E-5</v>
      </c>
      <c r="W45" s="1"/>
      <c r="X45" s="1">
        <f t="shared" si="34"/>
        <v>808.49</v>
      </c>
      <c r="Y45" s="1"/>
      <c r="Z45" s="5">
        <f t="shared" si="35"/>
        <v>22.968465909090906</v>
      </c>
    </row>
    <row r="46" spans="1:26" s="24" customFormat="1" hidden="1" outlineLevel="2" x14ac:dyDescent="0.3">
      <c r="A46" s="28"/>
      <c r="B46" s="11" t="str">
        <f>CONCATENATE("          ", "6381", " - ", "BANK/CREDIT CARD FEES")</f>
        <v xml:space="preserve">          6381 - BANK/CREDIT CARD FEES</v>
      </c>
      <c r="C46" s="11"/>
      <c r="D46" s="6">
        <v>204.84</v>
      </c>
      <c r="E46" s="2"/>
      <c r="F46" s="7">
        <f t="shared" si="28"/>
        <v>2.123065319933216E-4</v>
      </c>
      <c r="G46" s="2"/>
      <c r="H46" s="6">
        <v>25.03</v>
      </c>
      <c r="I46" s="2"/>
      <c r="J46" s="7">
        <f t="shared" si="29"/>
        <v>2.9419743457016149E-4</v>
      </c>
      <c r="K46" s="2"/>
      <c r="L46" s="6">
        <f t="shared" si="30"/>
        <v>179.81</v>
      </c>
      <c r="M46" s="2"/>
      <c r="N46" s="7">
        <f t="shared" si="31"/>
        <v>7.1837794646424289</v>
      </c>
      <c r="O46" s="11"/>
      <c r="P46" s="6">
        <v>843.69</v>
      </c>
      <c r="Q46" s="2"/>
      <c r="R46" s="7">
        <f t="shared" si="32"/>
        <v>1.4564083133586646E-4</v>
      </c>
      <c r="S46" s="2"/>
      <c r="T46" s="6">
        <v>35.200000000000003</v>
      </c>
      <c r="U46" s="2"/>
      <c r="V46" s="7">
        <f t="shared" si="33"/>
        <v>5.5302447356390627E-5</v>
      </c>
      <c r="W46" s="2"/>
      <c r="X46" s="6">
        <f t="shared" si="34"/>
        <v>808.49</v>
      </c>
      <c r="Y46" s="2"/>
      <c r="Z46" s="7">
        <f t="shared" si="35"/>
        <v>22.968465909090906</v>
      </c>
    </row>
    <row r="47" spans="1:26" s="29" customFormat="1" outlineLevel="1" collapsed="1" x14ac:dyDescent="0.3">
      <c r="A47" s="27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SUM(OSRRefD22_5x_0)</f>
        <v>760.04</v>
      </c>
      <c r="E47" s="1"/>
      <c r="F47" s="5">
        <f t="shared" si="28"/>
        <v>7.8774388096174641E-4</v>
      </c>
      <c r="G47" s="1"/>
      <c r="H47" s="1">
        <f>SUM(OSRRefH22_5x_0)</f>
        <v>758.5</v>
      </c>
      <c r="I47" s="1"/>
      <c r="J47" s="5">
        <f t="shared" si="29"/>
        <v>8.9152518626235498E-3</v>
      </c>
      <c r="K47" s="1"/>
      <c r="L47" s="1">
        <f t="shared" si="30"/>
        <v>1.5399999999999636</v>
      </c>
      <c r="M47" s="1"/>
      <c r="N47" s="5">
        <f t="shared" si="31"/>
        <v>2.0303230059327141E-3</v>
      </c>
      <c r="O47" s="14"/>
      <c r="P47" s="1">
        <f>SUM(OSRRefP22_5x_0)</f>
        <v>4560.24</v>
      </c>
      <c r="Q47" s="1"/>
      <c r="R47" s="5">
        <f t="shared" si="32"/>
        <v>7.8720518755831124E-4</v>
      </c>
      <c r="S47" s="1"/>
      <c r="T47" s="1">
        <f>SUM(OSRRefT22_5x_0)</f>
        <v>4022.56</v>
      </c>
      <c r="U47" s="1"/>
      <c r="V47" s="5">
        <f t="shared" si="33"/>
        <v>6.3198128590318935E-3</v>
      </c>
      <c r="W47" s="1"/>
      <c r="X47" s="1">
        <f t="shared" si="34"/>
        <v>537.67999999999984</v>
      </c>
      <c r="Y47" s="1"/>
      <c r="Z47" s="5">
        <f t="shared" si="35"/>
        <v>0.13366612306590825</v>
      </c>
    </row>
    <row r="48" spans="1:26" s="24" customFormat="1" hidden="1" outlineLevel="2" x14ac:dyDescent="0.3">
      <c r="A48" s="28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760.04</v>
      </c>
      <c r="E48" s="2"/>
      <c r="F48" s="7">
        <f t="shared" si="28"/>
        <v>7.8774388096174641E-4</v>
      </c>
      <c r="G48" s="2"/>
      <c r="H48" s="6">
        <v>758.5</v>
      </c>
      <c r="I48" s="2"/>
      <c r="J48" s="7">
        <f t="shared" si="29"/>
        <v>8.9152518626235498E-3</v>
      </c>
      <c r="K48" s="2"/>
      <c r="L48" s="6">
        <f t="shared" si="30"/>
        <v>1.5399999999999636</v>
      </c>
      <c r="M48" s="2"/>
      <c r="N48" s="7">
        <f t="shared" si="31"/>
        <v>2.0303230059327141E-3</v>
      </c>
      <c r="O48" s="11"/>
      <c r="P48" s="6">
        <v>4560.24</v>
      </c>
      <c r="Q48" s="2"/>
      <c r="R48" s="7">
        <f t="shared" si="32"/>
        <v>7.8720518755831124E-4</v>
      </c>
      <c r="S48" s="2"/>
      <c r="T48" s="6">
        <v>4022.56</v>
      </c>
      <c r="U48" s="2"/>
      <c r="V48" s="7">
        <f t="shared" si="33"/>
        <v>6.3198128590318935E-3</v>
      </c>
      <c r="W48" s="2"/>
      <c r="X48" s="6">
        <f t="shared" si="34"/>
        <v>537.67999999999984</v>
      </c>
      <c r="Y48" s="2"/>
      <c r="Z48" s="7">
        <f t="shared" si="35"/>
        <v>0.13366612306590825</v>
      </c>
    </row>
    <row r="49" spans="1:26" s="29" customFormat="1" outlineLevel="1" collapsed="1" x14ac:dyDescent="0.3">
      <c r="A49" s="27"/>
      <c r="B49" s="14" t="str">
        <f>CONCATENATE("     ","Donations                                         ")</f>
        <v xml:space="preserve">     Donations                                         </v>
      </c>
      <c r="C49" s="14"/>
      <c r="D49" s="1">
        <f>SUM(OSRRefD22_6x_0)</f>
        <v>3782.41</v>
      </c>
      <c r="E49" s="1"/>
      <c r="F49" s="5">
        <f t="shared" si="28"/>
        <v>3.920280949408609E-3</v>
      </c>
      <c r="G49" s="1"/>
      <c r="H49" s="1">
        <f>SUM(OSRRefH22_6x_0)</f>
        <v>6666.05</v>
      </c>
      <c r="I49" s="1"/>
      <c r="J49" s="5">
        <f t="shared" si="29"/>
        <v>7.8351370703812415E-2</v>
      </c>
      <c r="K49" s="1"/>
      <c r="L49" s="1">
        <f t="shared" si="30"/>
        <v>-2883.6400000000003</v>
      </c>
      <c r="M49" s="1"/>
      <c r="N49" s="5">
        <f t="shared" si="31"/>
        <v>-0.4325860142063141</v>
      </c>
      <c r="O49" s="14"/>
      <c r="P49" s="1">
        <f>SUM(OSRRefP22_6x_0)</f>
        <v>36595</v>
      </c>
      <c r="Q49" s="1"/>
      <c r="R49" s="5">
        <f t="shared" si="32"/>
        <v>6.3171617806730349E-3</v>
      </c>
      <c r="S49" s="1"/>
      <c r="T49" s="1">
        <f>SUM(OSRRefT22_6x_0)</f>
        <v>36822.01</v>
      </c>
      <c r="U49" s="1"/>
      <c r="V49" s="5">
        <f t="shared" si="33"/>
        <v>5.7850774704019579E-2</v>
      </c>
      <c r="W49" s="1"/>
      <c r="X49" s="1">
        <f t="shared" si="34"/>
        <v>-227.01000000000204</v>
      </c>
      <c r="Y49" s="1"/>
      <c r="Z49" s="5">
        <f t="shared" si="35"/>
        <v>-6.1650626894078301E-3</v>
      </c>
    </row>
    <row r="50" spans="1:26" s="24" customFormat="1" hidden="1" outlineLevel="2" x14ac:dyDescent="0.3">
      <c r="A50" s="28"/>
      <c r="B50" s="11" t="str">
        <f>CONCATENATE("          ", "6399", " - ", "DONATION-ON CAMPUS")</f>
        <v xml:space="preserve">          6399 - DONATION-ON CAMPUS</v>
      </c>
      <c r="C50" s="11"/>
      <c r="D50" s="6">
        <v>3782.41</v>
      </c>
      <c r="E50" s="2"/>
      <c r="F50" s="7">
        <f t="shared" si="28"/>
        <v>3.920280949408609E-3</v>
      </c>
      <c r="G50" s="2"/>
      <c r="H50" s="6">
        <v>6666.05</v>
      </c>
      <c r="I50" s="2"/>
      <c r="J50" s="7">
        <f t="shared" si="29"/>
        <v>7.8351370703812415E-2</v>
      </c>
      <c r="K50" s="2"/>
      <c r="L50" s="6">
        <f t="shared" si="30"/>
        <v>-2883.6400000000003</v>
      </c>
      <c r="M50" s="2"/>
      <c r="N50" s="7">
        <f t="shared" si="31"/>
        <v>-0.4325860142063141</v>
      </c>
      <c r="O50" s="11"/>
      <c r="P50" s="6">
        <v>36595</v>
      </c>
      <c r="Q50" s="2"/>
      <c r="R50" s="7">
        <f t="shared" si="32"/>
        <v>6.3171617806730349E-3</v>
      </c>
      <c r="S50" s="2"/>
      <c r="T50" s="6">
        <v>36822.01</v>
      </c>
      <c r="U50" s="2"/>
      <c r="V50" s="7">
        <f t="shared" si="33"/>
        <v>5.7850774704019579E-2</v>
      </c>
      <c r="W50" s="2"/>
      <c r="X50" s="6">
        <f t="shared" si="34"/>
        <v>-227.01000000000204</v>
      </c>
      <c r="Y50" s="2"/>
      <c r="Z50" s="7">
        <f t="shared" si="35"/>
        <v>-6.1650626894078301E-3</v>
      </c>
    </row>
    <row r="51" spans="1:26" s="29" customFormat="1" outlineLevel="1" collapsed="1" x14ac:dyDescent="0.3">
      <c r="A51" s="27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SUM(OSRRefD22_7x_0)</f>
        <v>113.4</v>
      </c>
      <c r="E51" s="1"/>
      <c r="F51" s="5">
        <f t="shared" si="28"/>
        <v>1.1753349310702338E-4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113.4</v>
      </c>
      <c r="M51" s="1"/>
      <c r="N51" s="5">
        <f t="shared" si="31"/>
        <v>0</v>
      </c>
      <c r="O51" s="14"/>
      <c r="P51" s="1">
        <f>SUM(OSRRefP22_7x_0)</f>
        <v>162.36000000000001</v>
      </c>
      <c r="Q51" s="1"/>
      <c r="R51" s="5">
        <f t="shared" si="32"/>
        <v>2.8027172747918405E-5</v>
      </c>
      <c r="S51" s="1"/>
      <c r="T51" s="1">
        <f>SUM(OSRRefT22_7x_0)</f>
        <v>0</v>
      </c>
      <c r="U51" s="1"/>
      <c r="V51" s="5">
        <f t="shared" si="33"/>
        <v>0</v>
      </c>
      <c r="W51" s="1"/>
      <c r="X51" s="1">
        <f t="shared" si="34"/>
        <v>162.36000000000001</v>
      </c>
      <c r="Y51" s="1"/>
      <c r="Z51" s="5">
        <f t="shared" si="35"/>
        <v>0</v>
      </c>
    </row>
    <row r="52" spans="1:26" s="24" customFormat="1" hidden="1" outlineLevel="2" x14ac:dyDescent="0.3">
      <c r="A52" s="28"/>
      <c r="B52" s="11" t="str">
        <f>CONCATENATE("          ", "6277", " - ", "EMPLOYEE APPRECIATION")</f>
        <v xml:space="preserve">          6277 - EMPLOYEE APPRECIATION</v>
      </c>
      <c r="C52" s="11"/>
      <c r="D52" s="6">
        <v>113.4</v>
      </c>
      <c r="E52" s="2"/>
      <c r="F52" s="7">
        <f t="shared" si="28"/>
        <v>1.1753349310702338E-4</v>
      </c>
      <c r="G52" s="2"/>
      <c r="H52" s="6"/>
      <c r="I52" s="2"/>
      <c r="J52" s="7">
        <f t="shared" si="29"/>
        <v>0</v>
      </c>
      <c r="K52" s="2"/>
      <c r="L52" s="6">
        <f t="shared" si="30"/>
        <v>113.4</v>
      </c>
      <c r="M52" s="2"/>
      <c r="N52" s="7">
        <f t="shared" si="31"/>
        <v>0</v>
      </c>
      <c r="O52" s="11"/>
      <c r="P52" s="6">
        <v>162.36000000000001</v>
      </c>
      <c r="Q52" s="2"/>
      <c r="R52" s="7">
        <f t="shared" si="32"/>
        <v>2.8027172747918405E-5</v>
      </c>
      <c r="S52" s="2"/>
      <c r="T52" s="6"/>
      <c r="U52" s="2"/>
      <c r="V52" s="7">
        <f t="shared" si="33"/>
        <v>0</v>
      </c>
      <c r="W52" s="2"/>
      <c r="X52" s="6">
        <f t="shared" si="34"/>
        <v>162.36000000000001</v>
      </c>
      <c r="Y52" s="2"/>
      <c r="Z52" s="7">
        <f t="shared" si="35"/>
        <v>0</v>
      </c>
    </row>
    <row r="53" spans="1:26" s="29" customFormat="1" outlineLevel="1" collapsed="1" x14ac:dyDescent="0.3">
      <c r="A53" s="27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SUM(OSRRefD22_8x_0)</f>
        <v>862.99</v>
      </c>
      <c r="E53" s="1"/>
      <c r="F53" s="5">
        <f t="shared" si="28"/>
        <v>8.9444646575335192E-4</v>
      </c>
      <c r="G53" s="1"/>
      <c r="H53" s="1">
        <f>SUM(OSRRefH22_8x_0)</f>
        <v>386.91</v>
      </c>
      <c r="I53" s="1"/>
      <c r="J53" s="5">
        <f t="shared" si="29"/>
        <v>4.5476599844003667E-3</v>
      </c>
      <c r="K53" s="1"/>
      <c r="L53" s="1">
        <f t="shared" si="30"/>
        <v>476.08</v>
      </c>
      <c r="M53" s="1"/>
      <c r="N53" s="5">
        <f t="shared" si="31"/>
        <v>1.2304670336770824</v>
      </c>
      <c r="O53" s="14"/>
      <c r="P53" s="1">
        <f>SUM(OSRRefP22_8x_0)</f>
        <v>8264.7099999999991</v>
      </c>
      <c r="Q53" s="1"/>
      <c r="R53" s="5">
        <f t="shared" si="32"/>
        <v>1.4266842503168804E-3</v>
      </c>
      <c r="S53" s="1"/>
      <c r="T53" s="1">
        <f>SUM(OSRRefT22_8x_0)</f>
        <v>2927.53</v>
      </c>
      <c r="U53" s="1"/>
      <c r="V53" s="5">
        <f t="shared" si="33"/>
        <v>4.5994197076492686E-3</v>
      </c>
      <c r="W53" s="1"/>
      <c r="X53" s="1">
        <f t="shared" si="34"/>
        <v>5337.1799999999985</v>
      </c>
      <c r="Y53" s="1"/>
      <c r="Z53" s="5">
        <f t="shared" si="35"/>
        <v>1.8231000194703377</v>
      </c>
    </row>
    <row r="54" spans="1:26" s="24" customFormat="1" hidden="1" outlineLevel="2" x14ac:dyDescent="0.3">
      <c r="A54" s="28"/>
      <c r="B54" s="11" t="str">
        <f>CONCATENATE("          ", "6351", " - ", "EQUIPMENT RENTAL")</f>
        <v xml:space="preserve">          6351 - EQUIPMENT RENTAL</v>
      </c>
      <c r="C54" s="11"/>
      <c r="D54" s="6">
        <v>862.99</v>
      </c>
      <c r="E54" s="2"/>
      <c r="F54" s="7">
        <f t="shared" si="28"/>
        <v>8.9444646575335192E-4</v>
      </c>
      <c r="G54" s="2"/>
      <c r="H54" s="6">
        <v>386.91</v>
      </c>
      <c r="I54" s="2"/>
      <c r="J54" s="7">
        <f t="shared" si="29"/>
        <v>4.5476599844003667E-3</v>
      </c>
      <c r="K54" s="2"/>
      <c r="L54" s="6">
        <f t="shared" si="30"/>
        <v>476.08</v>
      </c>
      <c r="M54" s="2"/>
      <c r="N54" s="7">
        <f t="shared" si="31"/>
        <v>1.2304670336770824</v>
      </c>
      <c r="O54" s="11"/>
      <c r="P54" s="6">
        <v>8264.7099999999991</v>
      </c>
      <c r="Q54" s="2"/>
      <c r="R54" s="7">
        <f t="shared" si="32"/>
        <v>1.4266842503168804E-3</v>
      </c>
      <c r="S54" s="2"/>
      <c r="T54" s="6">
        <v>2927.53</v>
      </c>
      <c r="U54" s="2"/>
      <c r="V54" s="7">
        <f t="shared" si="33"/>
        <v>4.5994197076492686E-3</v>
      </c>
      <c r="W54" s="2"/>
      <c r="X54" s="6">
        <f t="shared" si="34"/>
        <v>5337.1799999999985</v>
      </c>
      <c r="Y54" s="2"/>
      <c r="Z54" s="7">
        <f t="shared" si="35"/>
        <v>1.8231000194703377</v>
      </c>
    </row>
    <row r="55" spans="1:26" s="29" customFormat="1" outlineLevel="1" collapsed="1" x14ac:dyDescent="0.3">
      <c r="A55" s="27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SUM(OSRRefD22_9x_0)</f>
        <v>0</v>
      </c>
      <c r="E55" s="1"/>
      <c r="F55" s="5">
        <f t="shared" si="28"/>
        <v>0</v>
      </c>
      <c r="G55" s="1"/>
      <c r="H55" s="1">
        <f>SUM(OSRRefH22_9x_0)</f>
        <v>739.48</v>
      </c>
      <c r="I55" s="1"/>
      <c r="J55" s="5">
        <f t="shared" si="29"/>
        <v>8.6916947229701558E-3</v>
      </c>
      <c r="K55" s="1"/>
      <c r="L55" s="1">
        <f t="shared" si="30"/>
        <v>-739.48</v>
      </c>
      <c r="M55" s="1"/>
      <c r="N55" s="5">
        <f t="shared" si="31"/>
        <v>-1</v>
      </c>
      <c r="O55" s="14"/>
      <c r="P55" s="1">
        <f>SUM(OSRRefP22_9x_0)</f>
        <v>11172.71</v>
      </c>
      <c r="Q55" s="1"/>
      <c r="R55" s="5">
        <f t="shared" si="32"/>
        <v>1.9286737696008586E-3</v>
      </c>
      <c r="S55" s="1"/>
      <c r="T55" s="1">
        <f>SUM(OSRRefT22_9x_0)</f>
        <v>7158.43</v>
      </c>
      <c r="U55" s="1"/>
      <c r="V55" s="5">
        <f t="shared" si="33"/>
        <v>1.1246553926971799E-2</v>
      </c>
      <c r="W55" s="1"/>
      <c r="X55" s="1">
        <f t="shared" si="34"/>
        <v>4014.2799999999988</v>
      </c>
      <c r="Y55" s="1"/>
      <c r="Z55" s="5">
        <f t="shared" si="35"/>
        <v>0.5607765948678689</v>
      </c>
    </row>
    <row r="56" spans="1:26" s="24" customFormat="1" hidden="1" outlineLevel="2" x14ac:dyDescent="0.3">
      <c r="A56" s="28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28"/>
        <v>0</v>
      </c>
      <c r="G56" s="2"/>
      <c r="H56" s="6">
        <v>739.48</v>
      </c>
      <c r="I56" s="2"/>
      <c r="J56" s="7">
        <f t="shared" si="29"/>
        <v>8.6916947229701558E-3</v>
      </c>
      <c r="K56" s="2"/>
      <c r="L56" s="6">
        <f t="shared" si="30"/>
        <v>-739.48</v>
      </c>
      <c r="M56" s="2"/>
      <c r="N56" s="7">
        <f t="shared" si="31"/>
        <v>-1</v>
      </c>
      <c r="O56" s="11"/>
      <c r="P56" s="6">
        <v>11172.71</v>
      </c>
      <c r="Q56" s="2"/>
      <c r="R56" s="7">
        <f t="shared" si="32"/>
        <v>1.9286737696008586E-3</v>
      </c>
      <c r="S56" s="2"/>
      <c r="T56" s="6">
        <v>7158.43</v>
      </c>
      <c r="U56" s="2"/>
      <c r="V56" s="7">
        <f t="shared" si="33"/>
        <v>1.1246553926971799E-2</v>
      </c>
      <c r="W56" s="2"/>
      <c r="X56" s="6">
        <f t="shared" si="34"/>
        <v>4014.2799999999988</v>
      </c>
      <c r="Y56" s="2"/>
      <c r="Z56" s="7">
        <f t="shared" si="35"/>
        <v>0.5607765948678689</v>
      </c>
    </row>
    <row r="57" spans="1:26" s="29" customFormat="1" outlineLevel="1" collapsed="1" x14ac:dyDescent="0.3">
      <c r="A57" s="27"/>
      <c r="B57" s="14" t="str">
        <f>CONCATENATE("     ","Insurance                                         ")</f>
        <v xml:space="preserve">     Insurance                                         </v>
      </c>
      <c r="C57" s="14"/>
      <c r="D57" s="1">
        <f>SUM(OSRRefD22_10x_0)</f>
        <v>5.21</v>
      </c>
      <c r="E57" s="1"/>
      <c r="F57" s="5">
        <f t="shared" si="28"/>
        <v>5.3999073993614798E-6</v>
      </c>
      <c r="G57" s="1"/>
      <c r="H57" s="1">
        <f>SUM(OSRRefH22_10x_0)</f>
        <v>5.9</v>
      </c>
      <c r="I57" s="1"/>
      <c r="J57" s="5">
        <f t="shared" si="29"/>
        <v>6.9347377705311728E-5</v>
      </c>
      <c r="K57" s="1"/>
      <c r="L57" s="1">
        <f t="shared" si="30"/>
        <v>-0.69000000000000039</v>
      </c>
      <c r="M57" s="1"/>
      <c r="N57" s="5">
        <f t="shared" si="31"/>
        <v>-0.11694915254237294</v>
      </c>
      <c r="O57" s="14"/>
      <c r="P57" s="1">
        <f>SUM(OSRRefP22_10x_0)</f>
        <v>31.27</v>
      </c>
      <c r="Q57" s="1"/>
      <c r="R57" s="5">
        <f t="shared" si="32"/>
        <v>5.3979409449828063E-6</v>
      </c>
      <c r="S57" s="1"/>
      <c r="T57" s="1">
        <f>SUM(OSRRefT22_10x_0)</f>
        <v>35.4</v>
      </c>
      <c r="U57" s="1"/>
      <c r="V57" s="5">
        <f t="shared" si="33"/>
        <v>5.5616665807279201E-5</v>
      </c>
      <c r="W57" s="1"/>
      <c r="X57" s="1">
        <f t="shared" si="34"/>
        <v>-4.129999999999999</v>
      </c>
      <c r="Y57" s="1"/>
      <c r="Z57" s="5">
        <f t="shared" si="35"/>
        <v>-0.11666666666666664</v>
      </c>
    </row>
    <row r="58" spans="1:26" s="24" customFormat="1" hidden="1" outlineLevel="2" x14ac:dyDescent="0.3">
      <c r="A58" s="28"/>
      <c r="B58" s="11" t="str">
        <f>CONCATENATE("          ", "6314", " - ", "LIABILITY INSURANCE")</f>
        <v xml:space="preserve">          6314 - LIABILITY INSURANCE</v>
      </c>
      <c r="C58" s="11"/>
      <c r="D58" s="6">
        <v>5.21</v>
      </c>
      <c r="E58" s="2"/>
      <c r="F58" s="7">
        <f t="shared" si="28"/>
        <v>5.3999073993614798E-6</v>
      </c>
      <c r="G58" s="2"/>
      <c r="H58" s="6">
        <v>5.9</v>
      </c>
      <c r="I58" s="2"/>
      <c r="J58" s="7">
        <f t="shared" si="29"/>
        <v>6.9347377705311728E-5</v>
      </c>
      <c r="K58" s="2"/>
      <c r="L58" s="6">
        <f t="shared" si="30"/>
        <v>-0.69000000000000039</v>
      </c>
      <c r="M58" s="2"/>
      <c r="N58" s="7">
        <f t="shared" si="31"/>
        <v>-0.11694915254237294</v>
      </c>
      <c r="O58" s="11"/>
      <c r="P58" s="6">
        <v>31.27</v>
      </c>
      <c r="Q58" s="2"/>
      <c r="R58" s="7">
        <f t="shared" si="32"/>
        <v>5.3979409449828063E-6</v>
      </c>
      <c r="S58" s="2"/>
      <c r="T58" s="6">
        <v>35.4</v>
      </c>
      <c r="U58" s="2"/>
      <c r="V58" s="7">
        <f t="shared" si="33"/>
        <v>5.5616665807279201E-5</v>
      </c>
      <c r="W58" s="2"/>
      <c r="X58" s="6">
        <f t="shared" si="34"/>
        <v>-4.129999999999999</v>
      </c>
      <c r="Y58" s="2"/>
      <c r="Z58" s="7">
        <f t="shared" si="35"/>
        <v>-0.11666666666666664</v>
      </c>
    </row>
    <row r="59" spans="1:26" s="29" customFormat="1" outlineLevel="1" collapsed="1" x14ac:dyDescent="0.3">
      <c r="A59" s="27"/>
      <c r="B59" s="14" t="str">
        <f>CONCATENATE("     ","R/H Commissions                                   ")</f>
        <v xml:space="preserve">     R/H Commissions                                   </v>
      </c>
      <c r="C59" s="14"/>
      <c r="D59" s="1">
        <f>SUM(OSRRefD22_11x_0)</f>
        <v>76752.539999999994</v>
      </c>
      <c r="E59" s="1"/>
      <c r="F59" s="5">
        <f t="shared" si="28"/>
        <v>7.9550212795736638E-2</v>
      </c>
      <c r="G59" s="1"/>
      <c r="H59" s="1">
        <f>SUM(OSRRefH22_11x_0)</f>
        <v>38313.42</v>
      </c>
      <c r="I59" s="1"/>
      <c r="J59" s="5">
        <f t="shared" si="29"/>
        <v>0.4503280013427533</v>
      </c>
      <c r="K59" s="1"/>
      <c r="L59" s="1">
        <f t="shared" si="30"/>
        <v>38439.119999999995</v>
      </c>
      <c r="M59" s="1"/>
      <c r="N59" s="5">
        <f t="shared" si="31"/>
        <v>1.0032808347571163</v>
      </c>
      <c r="O59" s="14"/>
      <c r="P59" s="1">
        <f>SUM(OSRRefP22_11x_0)</f>
        <v>449668.74</v>
      </c>
      <c r="Q59" s="1"/>
      <c r="R59" s="5">
        <f t="shared" si="32"/>
        <v>7.7623450697947807E-2</v>
      </c>
      <c r="S59" s="1"/>
      <c r="T59" s="1">
        <f>SUM(OSRRefT22_11x_0)</f>
        <v>75016.490000000005</v>
      </c>
      <c r="U59" s="1"/>
      <c r="V59" s="5">
        <f t="shared" si="33"/>
        <v>0.11785782639449442</v>
      </c>
      <c r="W59" s="1"/>
      <c r="X59" s="1">
        <f t="shared" si="34"/>
        <v>374652.25</v>
      </c>
      <c r="Y59" s="1"/>
      <c r="Z59" s="5">
        <f t="shared" si="35"/>
        <v>4.9942652608779747</v>
      </c>
    </row>
    <row r="60" spans="1:26" s="24" customFormat="1" hidden="1" outlineLevel="2" x14ac:dyDescent="0.3">
      <c r="A60" s="28"/>
      <c r="B60" s="11" t="str">
        <f>CONCATENATE("          ", "6387", " - ", "COMMISSION DUE HOUSING")</f>
        <v xml:space="preserve">          6387 - COMMISSION DUE HOUSING</v>
      </c>
      <c r="C60" s="11"/>
      <c r="D60" s="6">
        <v>76752.539999999994</v>
      </c>
      <c r="E60" s="2"/>
      <c r="F60" s="7">
        <f t="shared" si="28"/>
        <v>7.9550212795736638E-2</v>
      </c>
      <c r="G60" s="2"/>
      <c r="H60" s="6">
        <v>38313.42</v>
      </c>
      <c r="I60" s="2"/>
      <c r="J60" s="7">
        <f t="shared" si="29"/>
        <v>0.4503280013427533</v>
      </c>
      <c r="K60" s="2"/>
      <c r="L60" s="6">
        <f t="shared" si="30"/>
        <v>38439.119999999995</v>
      </c>
      <c r="M60" s="2"/>
      <c r="N60" s="7">
        <f t="shared" si="31"/>
        <v>1.0032808347571163</v>
      </c>
      <c r="O60" s="11"/>
      <c r="P60" s="6">
        <v>449668.74</v>
      </c>
      <c r="Q60" s="2"/>
      <c r="R60" s="7">
        <f t="shared" si="32"/>
        <v>7.7623450697947807E-2</v>
      </c>
      <c r="S60" s="2"/>
      <c r="T60" s="6">
        <v>75016.490000000005</v>
      </c>
      <c r="U60" s="2"/>
      <c r="V60" s="7">
        <f t="shared" si="33"/>
        <v>0.11785782639449442</v>
      </c>
      <c r="W60" s="2"/>
      <c r="X60" s="6">
        <f t="shared" si="34"/>
        <v>374652.25</v>
      </c>
      <c r="Y60" s="2"/>
      <c r="Z60" s="7">
        <f t="shared" si="35"/>
        <v>4.9942652608779747</v>
      </c>
    </row>
    <row r="61" spans="1:26" s="29" customFormat="1" outlineLevel="1" collapsed="1" x14ac:dyDescent="0.3">
      <c r="A61" s="27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SUM(OSRRefD22_12x_0)</f>
        <v>4201.8500000000004</v>
      </c>
      <c r="E61" s="1"/>
      <c r="F61" s="5">
        <f t="shared" si="28"/>
        <v>4.3550097708266863E-3</v>
      </c>
      <c r="G61" s="1"/>
      <c r="H61" s="1">
        <f>SUM(OSRRefH22_12x_0)</f>
        <v>3735.15</v>
      </c>
      <c r="I61" s="1"/>
      <c r="J61" s="5">
        <f t="shared" si="29"/>
        <v>4.3902179294236461E-2</v>
      </c>
      <c r="K61" s="1"/>
      <c r="L61" s="1">
        <f t="shared" si="30"/>
        <v>466.70000000000027</v>
      </c>
      <c r="M61" s="1"/>
      <c r="N61" s="5">
        <f t="shared" si="31"/>
        <v>0.12494812791989619</v>
      </c>
      <c r="O61" s="14"/>
      <c r="P61" s="1">
        <f>SUM(OSRRefP22_12x_0)</f>
        <v>26494.77</v>
      </c>
      <c r="Q61" s="1"/>
      <c r="R61" s="5">
        <f t="shared" si="32"/>
        <v>4.5736234029709662E-3</v>
      </c>
      <c r="S61" s="1"/>
      <c r="T61" s="1">
        <f>SUM(OSRRefT22_12x_0)</f>
        <v>8146.7899999999991</v>
      </c>
      <c r="U61" s="1"/>
      <c r="V61" s="5">
        <f t="shared" si="33"/>
        <v>1.2799358667572997E-2</v>
      </c>
      <c r="W61" s="1"/>
      <c r="X61" s="1">
        <f t="shared" si="34"/>
        <v>18347.980000000003</v>
      </c>
      <c r="Y61" s="1"/>
      <c r="Z61" s="5">
        <f t="shared" si="35"/>
        <v>2.2521729417353344</v>
      </c>
    </row>
    <row r="62" spans="1:26" s="24" customFormat="1" hidden="1" outlineLevel="2" x14ac:dyDescent="0.3">
      <c r="A62" s="28"/>
      <c r="B62" s="11" t="str">
        <f>CONCATENATE("          ", "6371", " - ", "COMPUTER SOFTWARE MAINTENANCE")</f>
        <v xml:space="preserve">          6371 - COMPUTER SOFTWARE MAINTENANCE</v>
      </c>
      <c r="C62" s="11"/>
      <c r="D62" s="6">
        <v>3500</v>
      </c>
      <c r="E62" s="2"/>
      <c r="F62" s="7">
        <f t="shared" si="28"/>
        <v>3.6275769477476351E-3</v>
      </c>
      <c r="G62" s="2"/>
      <c r="H62" s="6">
        <v>3500</v>
      </c>
      <c r="I62" s="2"/>
      <c r="J62" s="7">
        <f t="shared" si="29"/>
        <v>4.1138274909930689E-2</v>
      </c>
      <c r="K62" s="2"/>
      <c r="L62" s="6">
        <f t="shared" si="30"/>
        <v>0</v>
      </c>
      <c r="M62" s="2"/>
      <c r="N62" s="7">
        <f t="shared" si="31"/>
        <v>0</v>
      </c>
      <c r="O62" s="11"/>
      <c r="P62" s="6">
        <v>21000</v>
      </c>
      <c r="Q62" s="2"/>
      <c r="R62" s="7">
        <f t="shared" si="32"/>
        <v>3.6250962534262535E-3</v>
      </c>
      <c r="S62" s="2"/>
      <c r="T62" s="6">
        <v>3500</v>
      </c>
      <c r="U62" s="2"/>
      <c r="V62" s="7">
        <f t="shared" si="33"/>
        <v>5.4988228905502035E-3</v>
      </c>
      <c r="W62" s="2"/>
      <c r="X62" s="6">
        <f t="shared" si="34"/>
        <v>17500</v>
      </c>
      <c r="Y62" s="2"/>
      <c r="Z62" s="7">
        <f t="shared" si="35"/>
        <v>5</v>
      </c>
    </row>
    <row r="63" spans="1:26" s="24" customFormat="1" hidden="1" outlineLevel="2" x14ac:dyDescent="0.3">
      <c r="A63" s="28"/>
      <c r="B63" s="11" t="str">
        <f>CONCATENATE("          ", "6373", " - ", "MAINTENANCE CONTRACTS")</f>
        <v xml:space="preserve">          6373 - MAINTENANCE CONTRACTS</v>
      </c>
      <c r="C63" s="11"/>
      <c r="D63" s="6">
        <v>267.97000000000003</v>
      </c>
      <c r="E63" s="2"/>
      <c r="F63" s="7">
        <f t="shared" si="28"/>
        <v>2.7773765562512398E-4</v>
      </c>
      <c r="G63" s="2"/>
      <c r="H63" s="6">
        <v>235.15</v>
      </c>
      <c r="I63" s="2"/>
      <c r="J63" s="7">
        <f t="shared" si="29"/>
        <v>2.7639043843057719E-3</v>
      </c>
      <c r="K63" s="2"/>
      <c r="L63" s="6">
        <f t="shared" si="30"/>
        <v>32.820000000000022</v>
      </c>
      <c r="M63" s="2"/>
      <c r="N63" s="7">
        <f t="shared" si="31"/>
        <v>0.13957048692324056</v>
      </c>
      <c r="O63" s="11"/>
      <c r="P63" s="6">
        <v>605.39</v>
      </c>
      <c r="Q63" s="2"/>
      <c r="R63" s="7">
        <f t="shared" si="32"/>
        <v>1.0450462004103426E-4</v>
      </c>
      <c r="S63" s="2"/>
      <c r="T63" s="6">
        <v>2969.97</v>
      </c>
      <c r="U63" s="2"/>
      <c r="V63" s="7">
        <f t="shared" si="33"/>
        <v>4.6660968629278253E-3</v>
      </c>
      <c r="W63" s="2"/>
      <c r="X63" s="6">
        <f t="shared" si="34"/>
        <v>-2364.58</v>
      </c>
      <c r="Y63" s="2"/>
      <c r="Z63" s="7">
        <f t="shared" si="35"/>
        <v>-0.79616292420462165</v>
      </c>
    </row>
    <row r="64" spans="1:26" s="24" customFormat="1" hidden="1" outlineLevel="2" x14ac:dyDescent="0.3">
      <c r="A64" s="28"/>
      <c r="B64" s="11" t="str">
        <f>CONCATENATE("          ", "6375", " - ", "OUTSIDE REPAIRS &amp; MAINTENANCE")</f>
        <v xml:space="preserve">          6375 - OUTSIDE REPAIRS &amp; MAINTENANCE</v>
      </c>
      <c r="C64" s="11"/>
      <c r="D64" s="6">
        <v>433.88</v>
      </c>
      <c r="E64" s="2"/>
      <c r="F64" s="7">
        <f t="shared" si="28"/>
        <v>4.4969516745392682E-4</v>
      </c>
      <c r="G64" s="2"/>
      <c r="H64" s="6"/>
      <c r="I64" s="2"/>
      <c r="J64" s="7">
        <f t="shared" si="29"/>
        <v>0</v>
      </c>
      <c r="K64" s="2"/>
      <c r="L64" s="6">
        <f t="shared" si="30"/>
        <v>433.88</v>
      </c>
      <c r="M64" s="2"/>
      <c r="N64" s="7">
        <f t="shared" si="31"/>
        <v>0</v>
      </c>
      <c r="O64" s="11"/>
      <c r="P64" s="6">
        <v>4889.38</v>
      </c>
      <c r="Q64" s="2"/>
      <c r="R64" s="7">
        <f t="shared" si="32"/>
        <v>8.440225295036788E-4</v>
      </c>
      <c r="S64" s="2"/>
      <c r="T64" s="6">
        <v>1676.82</v>
      </c>
      <c r="U64" s="2"/>
      <c r="V64" s="7">
        <f t="shared" si="33"/>
        <v>2.6344389140949692E-3</v>
      </c>
      <c r="W64" s="2"/>
      <c r="X64" s="6">
        <f t="shared" si="34"/>
        <v>3212.5600000000004</v>
      </c>
      <c r="Y64" s="2"/>
      <c r="Z64" s="7">
        <f t="shared" si="35"/>
        <v>1.9158645531422578</v>
      </c>
    </row>
    <row r="65" spans="1:26" s="29" customFormat="1" outlineLevel="1" collapsed="1" x14ac:dyDescent="0.3">
      <c r="A65" s="27"/>
      <c r="B65" s="14" t="str">
        <f>CONCATENATE("     ","Services                                          ")</f>
        <v xml:space="preserve">     Services                                          </v>
      </c>
      <c r="C65" s="14"/>
      <c r="D65" s="1">
        <f>SUM(OSRRefD22_13x_0)</f>
        <v>15346.34</v>
      </c>
      <c r="E65" s="1"/>
      <c r="F65" s="5">
        <f t="shared" ref="F65:F69" si="36">IF(D$12=0,0,D65/D$12)</f>
        <v>1.5905722633227839E-2</v>
      </c>
      <c r="G65" s="1"/>
      <c r="H65" s="1">
        <f>SUM(OSRRefH22_13x_0)</f>
        <v>12610.109999999999</v>
      </c>
      <c r="I65" s="1"/>
      <c r="J65" s="5">
        <f t="shared" ref="J65:J69" si="37">IF(H$12=0,0,H65/H$12)</f>
        <v>0.14821662052127599</v>
      </c>
      <c r="K65" s="1"/>
      <c r="L65" s="1">
        <f t="shared" ref="L65:L69" si="38">+D65-H65</f>
        <v>2736.2300000000014</v>
      </c>
      <c r="M65" s="1"/>
      <c r="N65" s="5">
        <f t="shared" ref="N65:N69" si="39">IF(H65=0,0,L65/H65)</f>
        <v>0.21698700487148817</v>
      </c>
      <c r="O65" s="14"/>
      <c r="P65" s="1">
        <f>SUM(OSRRefP22_13x_0)</f>
        <v>97267.42</v>
      </c>
      <c r="Q65" s="1"/>
      <c r="R65" s="5">
        <f t="shared" ref="R65:R69" si="40">IF(P$12=0,0,P65/P$12)</f>
        <v>1.6790655229639895E-2</v>
      </c>
      <c r="S65" s="1"/>
      <c r="T65" s="1">
        <f>SUM(OSRRefT22_13x_0)</f>
        <v>65525.990000000005</v>
      </c>
      <c r="U65" s="1"/>
      <c r="V65" s="5">
        <f t="shared" ref="V65:V69" si="41">IF(T$12=0,0,T65/T$12)</f>
        <v>0.10294737535370393</v>
      </c>
      <c r="W65" s="1"/>
      <c r="X65" s="1">
        <f t="shared" ref="X65:X69" si="42">+P65-T65</f>
        <v>31741.429999999993</v>
      </c>
      <c r="Y65" s="1"/>
      <c r="Z65" s="5">
        <f t="shared" ref="Z65:Z69" si="43">IF(T65=0,0,X65/T65)</f>
        <v>0.48440977389277123</v>
      </c>
    </row>
    <row r="66" spans="1:26" s="24" customFormat="1" hidden="1" outlineLevel="2" x14ac:dyDescent="0.3">
      <c r="A66" s="28"/>
      <c r="B66" s="11" t="str">
        <f>CONCATENATE("          ", "6282", " - ", "JANITORIAL/EXTERMINATOR EXPENS")</f>
        <v xml:space="preserve">          6282 - JANITORIAL/EXTERMINATOR EXPENS</v>
      </c>
      <c r="C66" s="11"/>
      <c r="D66" s="6">
        <v>459.25</v>
      </c>
      <c r="E66" s="2"/>
      <c r="F66" s="7">
        <f t="shared" si="36"/>
        <v>4.7598991807231469E-4</v>
      </c>
      <c r="G66" s="2"/>
      <c r="H66" s="6">
        <v>1996.15</v>
      </c>
      <c r="I66" s="2"/>
      <c r="J66" s="7">
        <f t="shared" si="37"/>
        <v>2.3462333560416611E-2</v>
      </c>
      <c r="K66" s="2"/>
      <c r="L66" s="6">
        <f t="shared" si="38"/>
        <v>-1536.9</v>
      </c>
      <c r="M66" s="2"/>
      <c r="N66" s="7">
        <f t="shared" si="39"/>
        <v>-0.76993211932970973</v>
      </c>
      <c r="O66" s="11"/>
      <c r="P66" s="6">
        <v>9851.82</v>
      </c>
      <c r="Q66" s="2"/>
      <c r="R66" s="7">
        <f t="shared" si="40"/>
        <v>1.7006569414966587E-3</v>
      </c>
      <c r="S66" s="2"/>
      <c r="T66" s="6">
        <v>5884.86</v>
      </c>
      <c r="U66" s="2"/>
      <c r="V66" s="7">
        <f t="shared" si="41"/>
        <v>9.2456579644809352E-3</v>
      </c>
      <c r="W66" s="2"/>
      <c r="X66" s="6">
        <f t="shared" si="42"/>
        <v>3966.96</v>
      </c>
      <c r="Y66" s="2"/>
      <c r="Z66" s="7">
        <f t="shared" si="43"/>
        <v>0.67409590032728051</v>
      </c>
    </row>
    <row r="67" spans="1:26" s="24" customFormat="1" hidden="1" outlineLevel="2" x14ac:dyDescent="0.3">
      <c r="A67" s="28"/>
      <c r="B67" s="11" t="str">
        <f>CONCATENATE("          ", "6284", " - ", "TRASH REMOVAL EXPENSE")</f>
        <v xml:space="preserve">          6284 - TRASH REMOVAL EXPENSE</v>
      </c>
      <c r="C67" s="11"/>
      <c r="D67" s="6"/>
      <c r="E67" s="2"/>
      <c r="F67" s="7">
        <f t="shared" si="36"/>
        <v>0</v>
      </c>
      <c r="G67" s="2"/>
      <c r="H67" s="6">
        <v>282.75</v>
      </c>
      <c r="I67" s="2"/>
      <c r="J67" s="7">
        <f t="shared" si="37"/>
        <v>3.3233849230808292E-3</v>
      </c>
      <c r="K67" s="2"/>
      <c r="L67" s="6">
        <f t="shared" si="38"/>
        <v>-282.75</v>
      </c>
      <c r="M67" s="2"/>
      <c r="N67" s="7">
        <f t="shared" si="39"/>
        <v>-1</v>
      </c>
      <c r="O67" s="11"/>
      <c r="P67" s="6"/>
      <c r="Q67" s="2"/>
      <c r="R67" s="7">
        <f t="shared" si="40"/>
        <v>0</v>
      </c>
      <c r="S67" s="2"/>
      <c r="T67" s="6">
        <v>282.75</v>
      </c>
      <c r="U67" s="2"/>
      <c r="V67" s="7">
        <f t="shared" si="41"/>
        <v>4.442263349437343E-4</v>
      </c>
      <c r="W67" s="2"/>
      <c r="X67" s="6">
        <f t="shared" si="42"/>
        <v>-282.75</v>
      </c>
      <c r="Y67" s="2"/>
      <c r="Z67" s="7">
        <f t="shared" si="43"/>
        <v>-1</v>
      </c>
    </row>
    <row r="68" spans="1:26" s="24" customFormat="1" hidden="1" outlineLevel="2" x14ac:dyDescent="0.3">
      <c r="A68" s="28"/>
      <c r="B68" s="11" t="str">
        <f>CONCATENATE("          ", "6285", " - ", "JANITORIAL SERVICES")</f>
        <v xml:space="preserve">          6285 - JANITORIAL SERVICES</v>
      </c>
      <c r="C68" s="11"/>
      <c r="D68" s="6">
        <v>13631.9</v>
      </c>
      <c r="E68" s="2"/>
      <c r="F68" s="7">
        <f t="shared" si="36"/>
        <v>1.4128790341143138E-2</v>
      </c>
      <c r="G68" s="2"/>
      <c r="H68" s="6">
        <v>8351.15</v>
      </c>
      <c r="I68" s="2"/>
      <c r="J68" s="7">
        <f t="shared" si="37"/>
        <v>9.815768700401932E-2</v>
      </c>
      <c r="K68" s="2"/>
      <c r="L68" s="6">
        <f t="shared" si="38"/>
        <v>5280.75</v>
      </c>
      <c r="M68" s="2"/>
      <c r="N68" s="7">
        <f t="shared" si="39"/>
        <v>0.63233806122510072</v>
      </c>
      <c r="O68" s="11"/>
      <c r="P68" s="6">
        <v>72748.179999999993</v>
      </c>
      <c r="Q68" s="2"/>
      <c r="R68" s="7">
        <f t="shared" si="40"/>
        <v>1.2558054988646603E-2</v>
      </c>
      <c r="S68" s="2"/>
      <c r="T68" s="6">
        <v>49301.98</v>
      </c>
      <c r="U68" s="2"/>
      <c r="V68" s="7">
        <f t="shared" si="41"/>
        <v>7.7457958906699528E-2</v>
      </c>
      <c r="W68" s="2"/>
      <c r="X68" s="6">
        <f t="shared" si="42"/>
        <v>23446.19999999999</v>
      </c>
      <c r="Y68" s="2"/>
      <c r="Z68" s="7">
        <f t="shared" si="43"/>
        <v>0.47556305040892854</v>
      </c>
    </row>
    <row r="69" spans="1:26" s="24" customFormat="1" hidden="1" outlineLevel="2" x14ac:dyDescent="0.3">
      <c r="A69" s="28"/>
      <c r="B69" s="11" t="str">
        <f>CONCATENATE("          ", "6286", " - ", "LAUNDRY EXPENSE")</f>
        <v xml:space="preserve">          6286 - LAUNDRY EXPENSE</v>
      </c>
      <c r="C69" s="11"/>
      <c r="D69" s="6">
        <v>1255.19</v>
      </c>
      <c r="E69" s="2"/>
      <c r="F69" s="7">
        <f t="shared" si="36"/>
        <v>1.3009423740123868E-3</v>
      </c>
      <c r="G69" s="2"/>
      <c r="H69" s="6">
        <v>1980.06</v>
      </c>
      <c r="I69" s="2"/>
      <c r="J69" s="7">
        <f t="shared" si="37"/>
        <v>2.3273215033759245E-2</v>
      </c>
      <c r="K69" s="2"/>
      <c r="L69" s="6">
        <f t="shared" si="38"/>
        <v>-724.86999999999989</v>
      </c>
      <c r="M69" s="2"/>
      <c r="N69" s="7">
        <f t="shared" si="39"/>
        <v>-0.36608486611516816</v>
      </c>
      <c r="O69" s="11"/>
      <c r="P69" s="6">
        <v>14667.42</v>
      </c>
      <c r="Q69" s="2"/>
      <c r="R69" s="7">
        <f t="shared" si="40"/>
        <v>2.5319432994966333E-3</v>
      </c>
      <c r="S69" s="2"/>
      <c r="T69" s="6">
        <v>10056.4</v>
      </c>
      <c r="U69" s="2"/>
      <c r="V69" s="7">
        <f t="shared" si="41"/>
        <v>1.5799532147579735E-2</v>
      </c>
      <c r="W69" s="2"/>
      <c r="X69" s="6">
        <f t="shared" si="42"/>
        <v>4611.0200000000004</v>
      </c>
      <c r="Y69" s="2"/>
      <c r="Z69" s="7">
        <f t="shared" si="43"/>
        <v>0.45851596992959714</v>
      </c>
    </row>
    <row r="70" spans="1:26" s="29" customFormat="1" outlineLevel="1" collapsed="1" x14ac:dyDescent="0.3">
      <c r="A70" s="27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1">
        <f>SUM(OSRRefD22_14x_0)</f>
        <v>0</v>
      </c>
      <c r="E70" s="1"/>
      <c r="F70" s="5">
        <f t="shared" ref="F70:F80" si="44">IF(D$12=0,0,D70/D$12)</f>
        <v>0</v>
      </c>
      <c r="G70" s="1"/>
      <c r="H70" s="1">
        <f>SUM(OSRRefH22_14x_0)</f>
        <v>0</v>
      </c>
      <c r="I70" s="1"/>
      <c r="J70" s="5">
        <f t="shared" ref="J70:J80" si="45">IF(H$12=0,0,H70/H$12)</f>
        <v>0</v>
      </c>
      <c r="K70" s="1"/>
      <c r="L70" s="1">
        <f t="shared" ref="L70:L80" si="46">+D70-H70</f>
        <v>0</v>
      </c>
      <c r="M70" s="1"/>
      <c r="N70" s="5">
        <f t="shared" ref="N70:N80" si="47">IF(H70=0,0,L70/H70)</f>
        <v>0</v>
      </c>
      <c r="O70" s="14"/>
      <c r="P70" s="1">
        <f>SUM(OSRRefP22_14x_0)</f>
        <v>0</v>
      </c>
      <c r="Q70" s="1"/>
      <c r="R70" s="5">
        <f t="shared" ref="R70:R80" si="48">IF(P$12=0,0,P70/P$12)</f>
        <v>0</v>
      </c>
      <c r="S70" s="1"/>
      <c r="T70" s="1">
        <f>SUM(OSRRefT22_14x_0)</f>
        <v>795</v>
      </c>
      <c r="U70" s="1"/>
      <c r="V70" s="5">
        <f t="shared" ref="V70:V80" si="49">IF(T$12=0,0,T70/T$12)</f>
        <v>1.2490183422821178E-3</v>
      </c>
      <c r="W70" s="1"/>
      <c r="X70" s="1">
        <f t="shared" ref="X70:X80" si="50">+P70-T70</f>
        <v>-795</v>
      </c>
      <c r="Y70" s="1"/>
      <c r="Z70" s="5">
        <f t="shared" ref="Z70:Z80" si="51">IF(T70=0,0,X70/T70)</f>
        <v>-1</v>
      </c>
    </row>
    <row r="71" spans="1:26" s="24" customFormat="1" hidden="1" outlineLevel="2" x14ac:dyDescent="0.3">
      <c r="A71" s="28"/>
      <c r="B71" s="11" t="str">
        <f>CONCATENATE("          ", "6258", " - ", "MEMBERSHIP DUES")</f>
        <v xml:space="preserve">          6258 - MEMBERSHIP DUES</v>
      </c>
      <c r="C71" s="11"/>
      <c r="D71" s="6"/>
      <c r="E71" s="2"/>
      <c r="F71" s="7">
        <f t="shared" si="44"/>
        <v>0</v>
      </c>
      <c r="G71" s="2"/>
      <c r="H71" s="6"/>
      <c r="I71" s="2"/>
      <c r="J71" s="7">
        <f t="shared" si="45"/>
        <v>0</v>
      </c>
      <c r="K71" s="2"/>
      <c r="L71" s="6">
        <f t="shared" si="46"/>
        <v>0</v>
      </c>
      <c r="M71" s="2"/>
      <c r="N71" s="7">
        <f t="shared" si="47"/>
        <v>0</v>
      </c>
      <c r="O71" s="11"/>
      <c r="P71" s="6"/>
      <c r="Q71" s="2"/>
      <c r="R71" s="7">
        <f t="shared" si="48"/>
        <v>0</v>
      </c>
      <c r="S71" s="2"/>
      <c r="T71" s="6">
        <v>795</v>
      </c>
      <c r="U71" s="2"/>
      <c r="V71" s="7">
        <f t="shared" si="49"/>
        <v>1.2490183422821178E-3</v>
      </c>
      <c r="W71" s="2"/>
      <c r="X71" s="6">
        <f t="shared" si="50"/>
        <v>-795</v>
      </c>
      <c r="Y71" s="2"/>
      <c r="Z71" s="7">
        <f t="shared" si="51"/>
        <v>-1</v>
      </c>
    </row>
    <row r="72" spans="1:26" s="29" customFormat="1" outlineLevel="1" collapsed="1" x14ac:dyDescent="0.3">
      <c r="A72" s="27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SUM(OSRRefD22_15x_0)</f>
        <v>29394.16</v>
      </c>
      <c r="E72" s="1"/>
      <c r="F72" s="5">
        <f t="shared" si="44"/>
        <v>3.0465593489830179E-2</v>
      </c>
      <c r="G72" s="1"/>
      <c r="H72" s="1">
        <f>SUM(OSRRefH22_15x_0)</f>
        <v>13737.579999999998</v>
      </c>
      <c r="I72" s="1"/>
      <c r="J72" s="5">
        <f t="shared" si="45"/>
        <v>0.16146866932490445</v>
      </c>
      <c r="K72" s="1"/>
      <c r="L72" s="1">
        <f t="shared" si="46"/>
        <v>15656.580000000002</v>
      </c>
      <c r="M72" s="1"/>
      <c r="N72" s="5">
        <f t="shared" si="47"/>
        <v>1.1396898143632288</v>
      </c>
      <c r="O72" s="14"/>
      <c r="P72" s="1">
        <f>SUM(OSRRefP22_15x_0)</f>
        <v>209171.57</v>
      </c>
      <c r="Q72" s="1"/>
      <c r="R72" s="5">
        <f t="shared" si="48"/>
        <v>3.6107955939537494E-2</v>
      </c>
      <c r="S72" s="1"/>
      <c r="T72" s="1">
        <f>SUM(OSRRefT22_15x_0)</f>
        <v>89740.780000000013</v>
      </c>
      <c r="U72" s="1"/>
      <c r="V72" s="5">
        <f t="shared" si="49"/>
        <v>0.1409910443656657</v>
      </c>
      <c r="W72" s="1"/>
      <c r="X72" s="1">
        <f t="shared" si="50"/>
        <v>119430.79</v>
      </c>
      <c r="Y72" s="1"/>
      <c r="Z72" s="5">
        <f t="shared" si="51"/>
        <v>1.3308418981872008</v>
      </c>
    </row>
    <row r="73" spans="1:26" s="24" customFormat="1" hidden="1" outlineLevel="2" x14ac:dyDescent="0.3">
      <c r="A73" s="28"/>
      <c r="B73" s="11" t="str">
        <f>CONCATENATE("          ", "6234", " - ", "EXPENDABLE SUPPLIES &amp; EQUIPMEN")</f>
        <v xml:space="preserve">          6234 - EXPENDABLE SUPPLIES &amp; EQUIPMEN</v>
      </c>
      <c r="C73" s="11"/>
      <c r="D73" s="6">
        <v>315</v>
      </c>
      <c r="E73" s="2"/>
      <c r="F73" s="7">
        <f t="shared" si="44"/>
        <v>3.2648192529728714E-4</v>
      </c>
      <c r="G73" s="2"/>
      <c r="H73" s="6"/>
      <c r="I73" s="2"/>
      <c r="J73" s="7">
        <f t="shared" si="45"/>
        <v>0</v>
      </c>
      <c r="K73" s="2"/>
      <c r="L73" s="6">
        <f t="shared" si="46"/>
        <v>315</v>
      </c>
      <c r="M73" s="2"/>
      <c r="N73" s="7">
        <f t="shared" si="47"/>
        <v>0</v>
      </c>
      <c r="O73" s="11"/>
      <c r="P73" s="6">
        <v>336.98</v>
      </c>
      <c r="Q73" s="2"/>
      <c r="R73" s="7">
        <f t="shared" si="48"/>
        <v>5.817071121331328E-5</v>
      </c>
      <c r="S73" s="2"/>
      <c r="T73" s="6"/>
      <c r="U73" s="2"/>
      <c r="V73" s="7">
        <f t="shared" si="49"/>
        <v>0</v>
      </c>
      <c r="W73" s="2"/>
      <c r="X73" s="6">
        <f t="shared" si="50"/>
        <v>336.98</v>
      </c>
      <c r="Y73" s="2"/>
      <c r="Z73" s="7">
        <f t="shared" si="51"/>
        <v>0</v>
      </c>
    </row>
    <row r="74" spans="1:26" s="24" customFormat="1" hidden="1" outlineLevel="2" x14ac:dyDescent="0.3">
      <c r="A74" s="28"/>
      <c r="B74" s="11" t="str">
        <f>CONCATENATE("          ", "6235", " - ", "COVID-19 EXPENSES")</f>
        <v xml:space="preserve">          6235 - COVID-19 EXPENSES</v>
      </c>
      <c r="C74" s="11"/>
      <c r="D74" s="6"/>
      <c r="E74" s="2"/>
      <c r="F74" s="7">
        <f t="shared" si="44"/>
        <v>0</v>
      </c>
      <c r="G74" s="2"/>
      <c r="H74" s="6">
        <v>4714.9799999999996</v>
      </c>
      <c r="I74" s="2"/>
      <c r="J74" s="7">
        <f t="shared" si="45"/>
        <v>5.5418898124235706E-2</v>
      </c>
      <c r="K74" s="2"/>
      <c r="L74" s="6">
        <f t="shared" si="46"/>
        <v>-4714.9799999999996</v>
      </c>
      <c r="M74" s="2"/>
      <c r="N74" s="7">
        <f t="shared" si="47"/>
        <v>-1</v>
      </c>
      <c r="O74" s="11"/>
      <c r="P74" s="6"/>
      <c r="Q74" s="2"/>
      <c r="R74" s="7">
        <f t="shared" si="48"/>
        <v>0</v>
      </c>
      <c r="S74" s="2"/>
      <c r="T74" s="6">
        <v>47727.15</v>
      </c>
      <c r="U74" s="2"/>
      <c r="V74" s="7">
        <f t="shared" si="49"/>
        <v>7.4983755691635193E-2</v>
      </c>
      <c r="W74" s="2"/>
      <c r="X74" s="6">
        <f t="shared" si="50"/>
        <v>-47727.15</v>
      </c>
      <c r="Y74" s="2"/>
      <c r="Z74" s="7">
        <f t="shared" si="51"/>
        <v>-1</v>
      </c>
    </row>
    <row r="75" spans="1:26" s="24" customFormat="1" hidden="1" outlineLevel="2" x14ac:dyDescent="0.3">
      <c r="A75" s="28"/>
      <c r="B75" s="11" t="str">
        <f>CONCATENATE("          ", "6237", " - ", "JANITORIAL SUPPLIES")</f>
        <v xml:space="preserve">          6237 - JANITORIAL SUPPLIES</v>
      </c>
      <c r="C75" s="11"/>
      <c r="D75" s="6">
        <v>4735.74</v>
      </c>
      <c r="E75" s="2"/>
      <c r="F75" s="7">
        <f t="shared" si="44"/>
        <v>4.9083603584361094E-3</v>
      </c>
      <c r="G75" s="2"/>
      <c r="H75" s="6">
        <v>4782.1899999999996</v>
      </c>
      <c r="I75" s="2"/>
      <c r="J75" s="7">
        <f t="shared" si="45"/>
        <v>5.6208870540434691E-2</v>
      </c>
      <c r="K75" s="2"/>
      <c r="L75" s="6">
        <f t="shared" si="46"/>
        <v>-46.449999999999818</v>
      </c>
      <c r="M75" s="2"/>
      <c r="N75" s="7">
        <f t="shared" si="47"/>
        <v>-9.7131230670466501E-3</v>
      </c>
      <c r="O75" s="11"/>
      <c r="P75" s="6">
        <v>31797.62</v>
      </c>
      <c r="Q75" s="2"/>
      <c r="R75" s="7">
        <f t="shared" si="48"/>
        <v>5.4890206252319858E-3</v>
      </c>
      <c r="S75" s="2"/>
      <c r="T75" s="6">
        <v>13064.45</v>
      </c>
      <c r="U75" s="2"/>
      <c r="V75" s="7">
        <f t="shared" si="49"/>
        <v>2.0525456203556749E-2</v>
      </c>
      <c r="W75" s="2"/>
      <c r="X75" s="6">
        <f t="shared" si="50"/>
        <v>18733.169999999998</v>
      </c>
      <c r="Y75" s="2"/>
      <c r="Z75" s="7">
        <f t="shared" si="51"/>
        <v>1.4339042209966739</v>
      </c>
    </row>
    <row r="76" spans="1:26" s="24" customFormat="1" hidden="1" outlineLevel="2" x14ac:dyDescent="0.3">
      <c r="A76" s="28"/>
      <c r="B76" s="11" t="str">
        <f>CONCATENATE("          ", "6239", " - ", "KITCHEN SUPPLIES")</f>
        <v xml:space="preserve">          6239 - KITCHEN SUPPLIES</v>
      </c>
      <c r="C76" s="11"/>
      <c r="D76" s="6">
        <v>166.67</v>
      </c>
      <c r="E76" s="2"/>
      <c r="F76" s="7">
        <f t="shared" si="44"/>
        <v>1.7274521425174238E-4</v>
      </c>
      <c r="G76" s="2"/>
      <c r="H76" s="6">
        <v>148.04</v>
      </c>
      <c r="I76" s="2"/>
      <c r="J76" s="7">
        <f t="shared" si="45"/>
        <v>1.7400314907617539E-3</v>
      </c>
      <c r="K76" s="2"/>
      <c r="L76" s="6">
        <f t="shared" si="46"/>
        <v>18.629999999999995</v>
      </c>
      <c r="M76" s="2"/>
      <c r="N76" s="7">
        <f t="shared" si="47"/>
        <v>0.12584436638746282</v>
      </c>
      <c r="O76" s="11"/>
      <c r="P76" s="6">
        <v>24159.93</v>
      </c>
      <c r="Q76" s="2"/>
      <c r="R76" s="7">
        <f t="shared" si="48"/>
        <v>4.1705748440971687E-3</v>
      </c>
      <c r="S76" s="2"/>
      <c r="T76" s="6">
        <v>5814.55</v>
      </c>
      <c r="U76" s="2"/>
      <c r="V76" s="7">
        <f t="shared" si="49"/>
        <v>9.1351944680710534E-3</v>
      </c>
      <c r="W76" s="2"/>
      <c r="X76" s="6">
        <f t="shared" si="50"/>
        <v>18345.38</v>
      </c>
      <c r="Y76" s="2"/>
      <c r="Z76" s="7">
        <f t="shared" si="51"/>
        <v>3.1550816486228515</v>
      </c>
    </row>
    <row r="77" spans="1:26" s="24" customFormat="1" hidden="1" outlineLevel="2" x14ac:dyDescent="0.3">
      <c r="A77" s="28"/>
      <c r="B77" s="11" t="str">
        <f>CONCATENATE("          ", "6241", " - ", "OFFICE EXPENSE")</f>
        <v xml:space="preserve">          6241 - OFFICE EXPENSE</v>
      </c>
      <c r="C77" s="11"/>
      <c r="D77" s="6">
        <v>2479.64</v>
      </c>
      <c r="E77" s="2"/>
      <c r="F77" s="7">
        <f t="shared" si="44"/>
        <v>2.5700242579179845E-3</v>
      </c>
      <c r="G77" s="2"/>
      <c r="H77" s="6">
        <v>725.9</v>
      </c>
      <c r="I77" s="2"/>
      <c r="J77" s="7">
        <f t="shared" si="45"/>
        <v>8.5320782163196239E-3</v>
      </c>
      <c r="K77" s="2"/>
      <c r="L77" s="6">
        <f t="shared" si="46"/>
        <v>1753.7399999999998</v>
      </c>
      <c r="M77" s="2"/>
      <c r="N77" s="7">
        <f t="shared" si="47"/>
        <v>2.4159526105524174</v>
      </c>
      <c r="O77" s="11"/>
      <c r="P77" s="6">
        <v>13662.21</v>
      </c>
      <c r="Q77" s="2"/>
      <c r="R77" s="7">
        <f t="shared" si="48"/>
        <v>2.358420299262985E-3</v>
      </c>
      <c r="S77" s="2"/>
      <c r="T77" s="6">
        <v>3287.88</v>
      </c>
      <c r="U77" s="2"/>
      <c r="V77" s="7">
        <f t="shared" si="49"/>
        <v>5.1655628015377731E-3</v>
      </c>
      <c r="W77" s="2"/>
      <c r="X77" s="6">
        <f t="shared" si="50"/>
        <v>10374.329999999998</v>
      </c>
      <c r="Y77" s="2"/>
      <c r="Z77" s="7">
        <f t="shared" si="51"/>
        <v>3.1553250118617462</v>
      </c>
    </row>
    <row r="78" spans="1:26" s="24" customFormat="1" hidden="1" outlineLevel="2" x14ac:dyDescent="0.3">
      <c r="A78" s="28"/>
      <c r="B78" s="11" t="str">
        <f>CONCATENATE("          ", "6243", " - ", "PAPER SUPPLIES")</f>
        <v xml:space="preserve">          6243 - PAPER SUPPLIES</v>
      </c>
      <c r="C78" s="11"/>
      <c r="D78" s="6">
        <v>21252.43</v>
      </c>
      <c r="E78" s="2"/>
      <c r="F78" s="7">
        <f t="shared" si="44"/>
        <v>2.2027092900462935E-2</v>
      </c>
      <c r="G78" s="2"/>
      <c r="H78" s="6">
        <v>3366.47</v>
      </c>
      <c r="I78" s="2"/>
      <c r="J78" s="7">
        <f t="shared" si="45"/>
        <v>3.9568790953152674E-2</v>
      </c>
      <c r="K78" s="2"/>
      <c r="L78" s="6">
        <f t="shared" si="46"/>
        <v>17885.96</v>
      </c>
      <c r="M78" s="2"/>
      <c r="N78" s="7">
        <f t="shared" si="47"/>
        <v>5.3129717478545775</v>
      </c>
      <c r="O78" s="11"/>
      <c r="P78" s="6">
        <v>132358.89000000001</v>
      </c>
      <c r="Q78" s="2"/>
      <c r="R78" s="7">
        <f t="shared" si="48"/>
        <v>2.2848272202221791E-2</v>
      </c>
      <c r="S78" s="2"/>
      <c r="T78" s="6">
        <v>15346.16</v>
      </c>
      <c r="U78" s="2"/>
      <c r="V78" s="7">
        <f t="shared" si="49"/>
        <v>2.4110233111441691E-2</v>
      </c>
      <c r="W78" s="2"/>
      <c r="X78" s="6">
        <f t="shared" si="50"/>
        <v>117012.73000000001</v>
      </c>
      <c r="Y78" s="2"/>
      <c r="Z78" s="7">
        <f t="shared" si="51"/>
        <v>7.6248866165868208</v>
      </c>
    </row>
    <row r="79" spans="1:26" s="24" customFormat="1" hidden="1" outlineLevel="2" x14ac:dyDescent="0.3">
      <c r="A79" s="28"/>
      <c r="B79" s="11" t="str">
        <f>CONCATENATE("          ", "6247", " - ", "STORE SUPPLIES")</f>
        <v xml:space="preserve">          6247 - STORE SUPPLIES</v>
      </c>
      <c r="C79" s="11"/>
      <c r="D79" s="6">
        <v>444.68</v>
      </c>
      <c r="E79" s="2"/>
      <c r="F79" s="7">
        <f t="shared" si="44"/>
        <v>4.6088883346411951E-4</v>
      </c>
      <c r="G79" s="2"/>
      <c r="H79" s="6"/>
      <c r="I79" s="2"/>
      <c r="J79" s="7">
        <f t="shared" si="45"/>
        <v>0</v>
      </c>
      <c r="K79" s="2"/>
      <c r="L79" s="6">
        <f t="shared" si="46"/>
        <v>444.68</v>
      </c>
      <c r="M79" s="2"/>
      <c r="N79" s="7">
        <f t="shared" si="47"/>
        <v>0</v>
      </c>
      <c r="O79" s="11"/>
      <c r="P79" s="6">
        <v>1244.71</v>
      </c>
      <c r="Q79" s="2"/>
      <c r="R79" s="7">
        <f t="shared" si="48"/>
        <v>2.1486635988581865E-4</v>
      </c>
      <c r="S79" s="2"/>
      <c r="T79" s="6"/>
      <c r="U79" s="2"/>
      <c r="V79" s="7">
        <f t="shared" si="49"/>
        <v>0</v>
      </c>
      <c r="W79" s="2"/>
      <c r="X79" s="6">
        <f t="shared" si="50"/>
        <v>1244.71</v>
      </c>
      <c r="Y79" s="2"/>
      <c r="Z79" s="7">
        <f t="shared" si="51"/>
        <v>0</v>
      </c>
    </row>
    <row r="80" spans="1:26" s="24" customFormat="1" hidden="1" outlineLevel="2" x14ac:dyDescent="0.3">
      <c r="A80" s="28"/>
      <c r="B80" s="11" t="str">
        <f>CONCATENATE("          ", "6248", " - ", "UNIFORMS")</f>
        <v xml:space="preserve">          6248 - UNIFORMS</v>
      </c>
      <c r="C80" s="11"/>
      <c r="D80" s="6"/>
      <c r="E80" s="2"/>
      <c r="F80" s="7">
        <f t="shared" si="44"/>
        <v>0</v>
      </c>
      <c r="G80" s="2"/>
      <c r="H80" s="6"/>
      <c r="I80" s="2"/>
      <c r="J80" s="7">
        <f t="shared" si="45"/>
        <v>0</v>
      </c>
      <c r="K80" s="2"/>
      <c r="L80" s="6">
        <f t="shared" si="46"/>
        <v>0</v>
      </c>
      <c r="M80" s="2"/>
      <c r="N80" s="7">
        <f t="shared" si="47"/>
        <v>0</v>
      </c>
      <c r="O80" s="11"/>
      <c r="P80" s="6">
        <v>5611.23</v>
      </c>
      <c r="Q80" s="2"/>
      <c r="R80" s="7">
        <f t="shared" si="48"/>
        <v>9.6863089762442829E-4</v>
      </c>
      <c r="S80" s="2"/>
      <c r="T80" s="6">
        <v>4500.59</v>
      </c>
      <c r="U80" s="2"/>
      <c r="V80" s="7">
        <f t="shared" si="49"/>
        <v>7.0708420894232404E-3</v>
      </c>
      <c r="W80" s="2"/>
      <c r="X80" s="6">
        <f t="shared" si="50"/>
        <v>1110.6399999999994</v>
      </c>
      <c r="Y80" s="2"/>
      <c r="Z80" s="7">
        <f t="shared" si="51"/>
        <v>0.24677653374335351</v>
      </c>
    </row>
    <row r="81" spans="1:26" s="29" customFormat="1" outlineLevel="1" collapsed="1" x14ac:dyDescent="0.3">
      <c r="A81" s="27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SUM(OSRRefD22_16x_0)</f>
        <v>284</v>
      </c>
      <c r="E81" s="1"/>
      <c r="F81" s="5">
        <f t="shared" ref="F81:F87" si="52">IF(D$12=0,0,D81/D$12)</f>
        <v>2.9435195804580809E-4</v>
      </c>
      <c r="G81" s="1"/>
      <c r="H81" s="1">
        <f>SUM(OSRRefH22_16x_0)</f>
        <v>498</v>
      </c>
      <c r="I81" s="1"/>
      <c r="J81" s="5">
        <f t="shared" ref="J81:J87" si="53">IF(H$12=0,0,H81/H$12)</f>
        <v>5.853388830041566E-3</v>
      </c>
      <c r="K81" s="1"/>
      <c r="L81" s="1">
        <f t="shared" ref="L81:L87" si="54">+D81-H81</f>
        <v>-214</v>
      </c>
      <c r="M81" s="1"/>
      <c r="N81" s="5">
        <f t="shared" ref="N81:N87" si="55">IF(H81=0,0,L81/H81)</f>
        <v>-0.42971887550200805</v>
      </c>
      <c r="O81" s="14"/>
      <c r="P81" s="1">
        <f>SUM(OSRRefP22_16x_0)</f>
        <v>4285.8500000000004</v>
      </c>
      <c r="Q81" s="1"/>
      <c r="R81" s="5">
        <f t="shared" ref="R81:R87" si="56">IF(P$12=0,0,P81/P$12)</f>
        <v>7.3983898941651946E-4</v>
      </c>
      <c r="S81" s="1"/>
      <c r="T81" s="1">
        <f>SUM(OSRRefT22_16x_0)</f>
        <v>3783.32</v>
      </c>
      <c r="U81" s="1"/>
      <c r="V81" s="5">
        <f t="shared" ref="V81:V87" si="57">IF(T$12=0,0,T81/T$12)</f>
        <v>5.9439447480789708E-3</v>
      </c>
      <c r="W81" s="1"/>
      <c r="X81" s="1">
        <f t="shared" ref="X81:X87" si="58">+P81-T81</f>
        <v>502.5300000000002</v>
      </c>
      <c r="Y81" s="1"/>
      <c r="Z81" s="5">
        <f t="shared" ref="Z81:Z87" si="59">IF(T81=0,0,X81/T81)</f>
        <v>0.13282778089085781</v>
      </c>
    </row>
    <row r="82" spans="1:26" s="24" customFormat="1" hidden="1" outlineLevel="2" x14ac:dyDescent="0.3">
      <c r="A82" s="28"/>
      <c r="B82" s="11" t="str">
        <f>CONCATENATE("          ", "6309", " - ", "TELEPHONE")</f>
        <v xml:space="preserve">          6309 - TELEPHONE</v>
      </c>
      <c r="C82" s="11"/>
      <c r="D82" s="6">
        <v>284</v>
      </c>
      <c r="E82" s="2"/>
      <c r="F82" s="7">
        <f t="shared" si="52"/>
        <v>2.9435195804580809E-4</v>
      </c>
      <c r="G82" s="2"/>
      <c r="H82" s="6">
        <v>498</v>
      </c>
      <c r="I82" s="2"/>
      <c r="J82" s="7">
        <f t="shared" si="53"/>
        <v>5.853388830041566E-3</v>
      </c>
      <c r="K82" s="2"/>
      <c r="L82" s="6">
        <f t="shared" si="54"/>
        <v>-214</v>
      </c>
      <c r="M82" s="2"/>
      <c r="N82" s="7">
        <f t="shared" si="55"/>
        <v>-0.42971887550200805</v>
      </c>
      <c r="O82" s="11"/>
      <c r="P82" s="6">
        <v>4285.8500000000004</v>
      </c>
      <c r="Q82" s="2"/>
      <c r="R82" s="7">
        <f t="shared" si="56"/>
        <v>7.3983898941651946E-4</v>
      </c>
      <c r="S82" s="2"/>
      <c r="T82" s="6">
        <v>3783.32</v>
      </c>
      <c r="U82" s="2"/>
      <c r="V82" s="7">
        <f t="shared" si="57"/>
        <v>5.9439447480789708E-3</v>
      </c>
      <c r="W82" s="2"/>
      <c r="X82" s="6">
        <f t="shared" si="58"/>
        <v>502.5300000000002</v>
      </c>
      <c r="Y82" s="2"/>
      <c r="Z82" s="7">
        <f t="shared" si="59"/>
        <v>0.13282778089085781</v>
      </c>
    </row>
    <row r="83" spans="1:26" s="29" customFormat="1" outlineLevel="1" collapsed="1" x14ac:dyDescent="0.3">
      <c r="A83" s="27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SUM(OSRRefD22_17x_0)</f>
        <v>825</v>
      </c>
      <c r="E83" s="1"/>
      <c r="F83" s="5">
        <f t="shared" si="52"/>
        <v>8.5507170911194256E-4</v>
      </c>
      <c r="G83" s="1"/>
      <c r="H83" s="1">
        <f>SUM(OSRRefH22_17x_0)</f>
        <v>0</v>
      </c>
      <c r="I83" s="1"/>
      <c r="J83" s="5">
        <f t="shared" si="53"/>
        <v>0</v>
      </c>
      <c r="K83" s="1"/>
      <c r="L83" s="1">
        <f t="shared" si="54"/>
        <v>825</v>
      </c>
      <c r="M83" s="1"/>
      <c r="N83" s="5">
        <f t="shared" si="55"/>
        <v>0</v>
      </c>
      <c r="O83" s="14"/>
      <c r="P83" s="1">
        <f>SUM(OSRRefP22_17x_0)</f>
        <v>1070</v>
      </c>
      <c r="Q83" s="1"/>
      <c r="R83" s="5">
        <f t="shared" si="56"/>
        <v>1.8470728529362338E-4</v>
      </c>
      <c r="S83" s="1"/>
      <c r="T83" s="1">
        <f>SUM(OSRRefT22_17x_0)</f>
        <v>735</v>
      </c>
      <c r="U83" s="1"/>
      <c r="V83" s="5">
        <f t="shared" si="57"/>
        <v>1.1547528070155427E-3</v>
      </c>
      <c r="W83" s="1"/>
      <c r="X83" s="1">
        <f t="shared" si="58"/>
        <v>335</v>
      </c>
      <c r="Y83" s="1"/>
      <c r="Z83" s="5">
        <f t="shared" si="59"/>
        <v>0.45578231292517007</v>
      </c>
    </row>
    <row r="84" spans="1:26" s="24" customFormat="1" hidden="1" outlineLevel="2" x14ac:dyDescent="0.3">
      <c r="A84" s="28"/>
      <c r="B84" s="11" t="str">
        <f>CONCATENATE("          ", "6376", " - ", "TRAINING")</f>
        <v xml:space="preserve">          6376 - TRAINING</v>
      </c>
      <c r="C84" s="11"/>
      <c r="D84" s="6">
        <v>825</v>
      </c>
      <c r="E84" s="2"/>
      <c r="F84" s="7">
        <f t="shared" si="52"/>
        <v>8.5507170911194256E-4</v>
      </c>
      <c r="G84" s="2"/>
      <c r="H84" s="6"/>
      <c r="I84" s="2"/>
      <c r="J84" s="7">
        <f t="shared" si="53"/>
        <v>0</v>
      </c>
      <c r="K84" s="2"/>
      <c r="L84" s="6">
        <f t="shared" si="54"/>
        <v>825</v>
      </c>
      <c r="M84" s="2"/>
      <c r="N84" s="7">
        <f t="shared" si="55"/>
        <v>0</v>
      </c>
      <c r="O84" s="11"/>
      <c r="P84" s="6">
        <v>1070</v>
      </c>
      <c r="Q84" s="2"/>
      <c r="R84" s="7">
        <f t="shared" si="56"/>
        <v>1.8470728529362338E-4</v>
      </c>
      <c r="S84" s="2"/>
      <c r="T84" s="6">
        <v>735</v>
      </c>
      <c r="U84" s="2"/>
      <c r="V84" s="7">
        <f t="shared" si="57"/>
        <v>1.1547528070155427E-3</v>
      </c>
      <c r="W84" s="2"/>
      <c r="X84" s="6">
        <f t="shared" si="58"/>
        <v>335</v>
      </c>
      <c r="Y84" s="2"/>
      <c r="Z84" s="7">
        <f t="shared" si="59"/>
        <v>0.45578231292517007</v>
      </c>
    </row>
    <row r="85" spans="1:26" s="29" customFormat="1" outlineLevel="1" collapsed="1" x14ac:dyDescent="0.3">
      <c r="A85" s="27"/>
      <c r="B85" s="14" t="str">
        <f>CONCATENATE("     ","Travel                                            ")</f>
        <v xml:space="preserve">     Travel                                            </v>
      </c>
      <c r="C85" s="14"/>
      <c r="D85" s="1">
        <f>SUM(OSRRefD22_18x_0)</f>
        <v>0</v>
      </c>
      <c r="E85" s="1"/>
      <c r="F85" s="5">
        <f t="shared" si="52"/>
        <v>0</v>
      </c>
      <c r="G85" s="1"/>
      <c r="H85" s="1">
        <f>SUM(OSRRefH22_18x_0)</f>
        <v>0</v>
      </c>
      <c r="I85" s="1"/>
      <c r="J85" s="5">
        <f t="shared" si="53"/>
        <v>0</v>
      </c>
      <c r="K85" s="1"/>
      <c r="L85" s="1">
        <f t="shared" si="54"/>
        <v>0</v>
      </c>
      <c r="M85" s="1"/>
      <c r="N85" s="5">
        <f t="shared" si="55"/>
        <v>0</v>
      </c>
      <c r="O85" s="14"/>
      <c r="P85" s="1">
        <f>SUM(OSRRefP22_18x_0)</f>
        <v>699.02</v>
      </c>
      <c r="Q85" s="1"/>
      <c r="R85" s="5">
        <f t="shared" si="56"/>
        <v>1.2066737062238188E-4</v>
      </c>
      <c r="S85" s="1"/>
      <c r="T85" s="1">
        <f>SUM(OSRRefT22_18x_0)</f>
        <v>0</v>
      </c>
      <c r="U85" s="1"/>
      <c r="V85" s="5">
        <f t="shared" si="57"/>
        <v>0</v>
      </c>
      <c r="W85" s="1"/>
      <c r="X85" s="1">
        <f t="shared" si="58"/>
        <v>699.02</v>
      </c>
      <c r="Y85" s="1"/>
      <c r="Z85" s="5">
        <f t="shared" si="59"/>
        <v>0</v>
      </c>
    </row>
    <row r="86" spans="1:26" s="24" customFormat="1" hidden="1" outlineLevel="2" x14ac:dyDescent="0.3">
      <c r="A86" s="28"/>
      <c r="B86" s="11" t="str">
        <f>CONCATENATE("          ", "6292", " - ", "TRAVEL/CONFERENCE")</f>
        <v xml:space="preserve">          6292 - TRAVEL/CONFERENCE</v>
      </c>
      <c r="C86" s="11"/>
      <c r="D86" s="6"/>
      <c r="E86" s="2"/>
      <c r="F86" s="7">
        <f t="shared" si="52"/>
        <v>0</v>
      </c>
      <c r="G86" s="2"/>
      <c r="H86" s="6"/>
      <c r="I86" s="2"/>
      <c r="J86" s="7">
        <f t="shared" si="53"/>
        <v>0</v>
      </c>
      <c r="K86" s="2"/>
      <c r="L86" s="6">
        <f t="shared" si="54"/>
        <v>0</v>
      </c>
      <c r="M86" s="2"/>
      <c r="N86" s="7">
        <f t="shared" si="55"/>
        <v>0</v>
      </c>
      <c r="O86" s="11"/>
      <c r="P86" s="6">
        <v>595</v>
      </c>
      <c r="Q86" s="2"/>
      <c r="R86" s="7">
        <f t="shared" si="56"/>
        <v>1.0271106051374385E-4</v>
      </c>
      <c r="S86" s="2"/>
      <c r="T86" s="6"/>
      <c r="U86" s="2"/>
      <c r="V86" s="7">
        <f t="shared" si="57"/>
        <v>0</v>
      </c>
      <c r="W86" s="2"/>
      <c r="X86" s="6">
        <f t="shared" si="58"/>
        <v>595</v>
      </c>
      <c r="Y86" s="2"/>
      <c r="Z86" s="7">
        <f t="shared" si="59"/>
        <v>0</v>
      </c>
    </row>
    <row r="87" spans="1:26" s="24" customFormat="1" hidden="1" outlineLevel="2" x14ac:dyDescent="0.3">
      <c r="A87" s="28"/>
      <c r="B87" s="11" t="str">
        <f>CONCATENATE("          ", "6298", " - ", "VEHICLE MILEAGE")</f>
        <v xml:space="preserve">          6298 - VEHICLE MILEAGE</v>
      </c>
      <c r="C87" s="11"/>
      <c r="D87" s="6"/>
      <c r="E87" s="2"/>
      <c r="F87" s="7">
        <f t="shared" si="52"/>
        <v>0</v>
      </c>
      <c r="G87" s="2"/>
      <c r="H87" s="6"/>
      <c r="I87" s="2"/>
      <c r="J87" s="7">
        <f t="shared" si="53"/>
        <v>0</v>
      </c>
      <c r="K87" s="2"/>
      <c r="L87" s="6">
        <f t="shared" si="54"/>
        <v>0</v>
      </c>
      <c r="M87" s="2"/>
      <c r="N87" s="7">
        <f t="shared" si="55"/>
        <v>0</v>
      </c>
      <c r="O87" s="11"/>
      <c r="P87" s="6">
        <v>104.02</v>
      </c>
      <c r="Q87" s="2"/>
      <c r="R87" s="7">
        <f t="shared" si="56"/>
        <v>1.795631010863804E-5</v>
      </c>
      <c r="S87" s="2"/>
      <c r="T87" s="6"/>
      <c r="U87" s="2"/>
      <c r="V87" s="7">
        <f t="shared" si="57"/>
        <v>0</v>
      </c>
      <c r="W87" s="2"/>
      <c r="X87" s="6">
        <f t="shared" si="58"/>
        <v>104.02</v>
      </c>
      <c r="Y87" s="2"/>
      <c r="Z87" s="7">
        <f t="shared" si="59"/>
        <v>0</v>
      </c>
    </row>
    <row r="88" spans="1:26" s="53" customFormat="1" x14ac:dyDescent="0.3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3">
      <c r="A89" s="10"/>
      <c r="B89" s="25" t="s">
        <v>292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3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3">
      <c r="A91" s="10"/>
      <c r="B91" s="26" t="s">
        <v>276</v>
      </c>
      <c r="C91" s="26"/>
      <c r="D91" s="20">
        <f>+D21-D23+D89</f>
        <v>282483.39000000019</v>
      </c>
      <c r="E91" s="13"/>
      <c r="F91" s="21">
        <f>IF(D$12=0,0,D91/D$12)</f>
        <v>0.29278006676731583</v>
      </c>
      <c r="G91" s="13"/>
      <c r="H91" s="20">
        <f>+H21-H23+H89</f>
        <v>-198007.27999999994</v>
      </c>
      <c r="I91" s="13"/>
      <c r="J91" s="21">
        <f>IF(H$12=0,0,H91/H$12)</f>
        <v>-2.3273365482307478</v>
      </c>
      <c r="K91" s="15"/>
      <c r="L91" s="20">
        <f>+D91-H91</f>
        <v>480490.67000000016</v>
      </c>
      <c r="M91" s="15"/>
      <c r="N91" s="21">
        <f>IF(H91=0,0,L91/H91)</f>
        <v>-2.426631333959036</v>
      </c>
      <c r="O91" s="25"/>
      <c r="P91" s="20">
        <f>+P21-P23+P89</f>
        <v>1589539.129999999</v>
      </c>
      <c r="Q91" s="13"/>
      <c r="R91" s="21">
        <f>IF(P$12=0,0,P91/P$12)</f>
        <v>0.27439201642082967</v>
      </c>
      <c r="S91" s="13"/>
      <c r="T91" s="20">
        <f>+T21-T23+T89</f>
        <v>-1017832.4499999995</v>
      </c>
      <c r="U91" s="13"/>
      <c r="V91" s="21">
        <f>IF(T$12=0,0,T91/T$12)</f>
        <v>-1.5991086785156552</v>
      </c>
      <c r="W91" s="15"/>
      <c r="X91" s="20">
        <f>+P91-T91</f>
        <v>2607371.5799999982</v>
      </c>
      <c r="Y91" s="15"/>
      <c r="Z91" s="21">
        <f>IF(T91=0,0,X91/T91)</f>
        <v>-2.5616903646567759</v>
      </c>
    </row>
    <row r="92" spans="1:26" x14ac:dyDescent="0.3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3">
      <c r="A93" s="51"/>
      <c r="B93" s="10" t="s">
        <v>127</v>
      </c>
      <c r="C93" s="10"/>
      <c r="D93" s="4">
        <v>122216.38</v>
      </c>
      <c r="E93" s="4"/>
      <c r="F93" s="12">
        <f>IF(D$12=0,0,D93/D$12)</f>
        <v>0.12667123506433289</v>
      </c>
      <c r="G93" s="4"/>
      <c r="H93" s="4">
        <v>30145.14</v>
      </c>
      <c r="I93" s="4"/>
      <c r="J93" s="12">
        <f>IF(H$12=0,0,H93/H$12)</f>
        <v>0.35431973043381371</v>
      </c>
      <c r="K93" s="4"/>
      <c r="L93" s="4">
        <f>+D93-H93</f>
        <v>92071.24</v>
      </c>
      <c r="M93" s="4"/>
      <c r="N93" s="12">
        <f>IF(H93=0,0,L93/H93)</f>
        <v>3.0542648002298218</v>
      </c>
      <c r="O93" s="10"/>
      <c r="P93" s="4">
        <v>697301.96</v>
      </c>
      <c r="Q93" s="4"/>
      <c r="R93" s="12">
        <f>IF(P$12=0,0,P93/P$12)</f>
        <v>0.12037079631918014</v>
      </c>
      <c r="S93" s="4"/>
      <c r="T93" s="4">
        <v>117765.94</v>
      </c>
      <c r="U93" s="4"/>
      <c r="V93" s="12">
        <f>IF(T$12=0,0,T93/T$12)</f>
        <v>0.18502115617118911</v>
      </c>
      <c r="W93" s="4"/>
      <c r="X93" s="4">
        <f>+P93-T93</f>
        <v>579536.02</v>
      </c>
      <c r="Y93" s="4"/>
      <c r="Z93" s="12">
        <f>IF(T93=0,0,X93/T93)</f>
        <v>4.9210834643700885</v>
      </c>
    </row>
    <row r="94" spans="1:26" x14ac:dyDescent="0.3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" thickBot="1" x14ac:dyDescent="0.35">
      <c r="A95" s="10"/>
      <c r="B95" s="26" t="s">
        <v>125</v>
      </c>
      <c r="C95" s="26"/>
      <c r="D95" s="32">
        <f>+D91-D93</f>
        <v>160267.01000000018</v>
      </c>
      <c r="E95" s="13"/>
      <c r="F95" s="35">
        <f>IF(D$12=0,0,D95/D$12)</f>
        <v>0.16610883170298296</v>
      </c>
      <c r="G95" s="13"/>
      <c r="H95" s="32">
        <f>+H91-H93</f>
        <v>-228152.41999999993</v>
      </c>
      <c r="I95" s="13"/>
      <c r="J95" s="35">
        <f>IF(H$12=0,0,H95/H$12)</f>
        <v>-2.6816562786645615</v>
      </c>
      <c r="K95" s="15"/>
      <c r="L95" s="32">
        <f>D95-H95</f>
        <v>388419.43000000011</v>
      </c>
      <c r="M95" s="15"/>
      <c r="N95" s="35">
        <f>IF(H95=0,0,L95/H95)</f>
        <v>-1.7024558845354356</v>
      </c>
      <c r="O95" s="25"/>
      <c r="P95" s="32">
        <f>+P91-P93</f>
        <v>892237.16999999899</v>
      </c>
      <c r="Q95" s="13"/>
      <c r="R95" s="35">
        <f>IF(P$12=0,0,P95/P$12)</f>
        <v>0.15402122010164951</v>
      </c>
      <c r="S95" s="13"/>
      <c r="T95" s="32">
        <f>+T91-T93</f>
        <v>-1135598.3899999994</v>
      </c>
      <c r="U95" s="13"/>
      <c r="V95" s="35">
        <f>IF(T$12=0,0,T95/T$12)</f>
        <v>-1.7841298346868442</v>
      </c>
      <c r="W95" s="15"/>
      <c r="X95" s="32">
        <f>P95-T95</f>
        <v>2027835.5599999984</v>
      </c>
      <c r="Y95" s="15"/>
      <c r="Z95" s="35">
        <f>IF(T95=0,0,X95/T95)</f>
        <v>-1.7856978117061257</v>
      </c>
    </row>
    <row r="96" spans="1:26" ht="15" thickTop="1" x14ac:dyDescent="0.3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3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" thickBot="1" x14ac:dyDescent="0.35">
      <c r="A98" s="10"/>
      <c r="B98" s="26" t="s">
        <v>293</v>
      </c>
      <c r="C98" s="26"/>
      <c r="D98" s="31">
        <f>SUM(D95:D97)</f>
        <v>160267.01000000018</v>
      </c>
      <c r="E98" s="13"/>
      <c r="F98" s="33">
        <f>IF(D$12=0,0,D98/D$12)</f>
        <v>0.16610883170298296</v>
      </c>
      <c r="G98" s="13"/>
      <c r="H98" s="31">
        <f>SUM(H95:H97)</f>
        <v>-228152.41999999993</v>
      </c>
      <c r="I98" s="13"/>
      <c r="J98" s="33">
        <f>IF(H$12=0,0,H98/H$12)</f>
        <v>-2.6816562786645615</v>
      </c>
      <c r="K98" s="15"/>
      <c r="L98" s="31">
        <f>+D98-H98</f>
        <v>388419.43000000011</v>
      </c>
      <c r="M98" s="15"/>
      <c r="N98" s="33">
        <f>IF(H98=0,0,L98/H98)</f>
        <v>-1.7024558845354356</v>
      </c>
      <c r="O98" s="25"/>
      <c r="P98" s="31">
        <f>SUM(P95:P97)</f>
        <v>892237.16999999899</v>
      </c>
      <c r="Q98" s="13"/>
      <c r="R98" s="33">
        <f>IF(P$12=0,0,P98/P$12)</f>
        <v>0.15402122010164951</v>
      </c>
      <c r="S98" s="13"/>
      <c r="T98" s="31">
        <f>SUM(T95:T97)</f>
        <v>-1135598.3899999994</v>
      </c>
      <c r="U98" s="13"/>
      <c r="V98" s="33">
        <f>IF(T$12=0,0,T98/T$12)</f>
        <v>-1.7841298346868442</v>
      </c>
      <c r="W98" s="15"/>
      <c r="X98" s="31">
        <f>+P98-T98</f>
        <v>2027835.5599999984</v>
      </c>
      <c r="Y98" s="15"/>
      <c r="Z98" s="33">
        <f>IF(T98=0,0,X98/T98)</f>
        <v>-1.7856978117061257</v>
      </c>
    </row>
    <row r="99" spans="1:26" ht="15" thickTop="1" x14ac:dyDescent="0.3">
      <c r="A99" s="9"/>
      <c r="C99" s="9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6" x14ac:dyDescent="0.3">
      <c r="A100" s="9"/>
      <c r="B100" s="60">
        <v>44575.854554710648</v>
      </c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3">
      <c r="A101" s="9"/>
      <c r="B101" s="57" t="s">
        <v>56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3">
      <c r="A102" s="9"/>
      <c r="B102" s="59"/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3"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  <outlinePr summaryBelow="0" summaryRight="0"/>
  </sheetPr>
  <dimension ref="A2:Z6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","430", " - ", "Res Hall Management")</f>
        <v>Department 430 - Res Hall Management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22">
        <f>SUM(OSRRefD22x_0)</f>
        <v>20870.63</v>
      </c>
      <c r="E18" s="22"/>
      <c r="F18" s="34">
        <f t="shared" ref="F18:F27" si="0">IF(D$12=0,0,D18/D$12)</f>
        <v>0</v>
      </c>
      <c r="G18" s="22"/>
      <c r="H18" s="22">
        <f>SUM(OSRRefH22x_0)</f>
        <v>17675.349999999999</v>
      </c>
      <c r="I18" s="22"/>
      <c r="J18" s="34">
        <f t="shared" ref="J18:J27" si="1">IF(H$12=0,0,H18/H$12)</f>
        <v>0</v>
      </c>
      <c r="K18" s="4"/>
      <c r="L18" s="22">
        <f t="shared" ref="L18:L27" si="2">+D18-H18</f>
        <v>3195.2800000000025</v>
      </c>
      <c r="M18" s="4"/>
      <c r="N18" s="34">
        <f t="shared" ref="N18:N27" si="3">IF(H18=0,0,L18/H18)</f>
        <v>0.18077605252512696</v>
      </c>
      <c r="O18" s="10"/>
      <c r="P18" s="22">
        <f>SUM(OSRRefP22x_0)</f>
        <v>116950.13999999998</v>
      </c>
      <c r="Q18" s="22"/>
      <c r="R18" s="34">
        <f t="shared" ref="R18:R27" si="4">IF(P$12=0,0,P18/P$12)</f>
        <v>0</v>
      </c>
      <c r="S18" s="22"/>
      <c r="T18" s="22">
        <f>SUM(OSRRefT22x_0)</f>
        <v>97828.569999999992</v>
      </c>
      <c r="U18" s="22"/>
      <c r="V18" s="34">
        <f t="shared" ref="V18:V27" si="5">IF(T$12=0,0,T18/T$12)</f>
        <v>0</v>
      </c>
      <c r="W18" s="4"/>
      <c r="X18" s="22">
        <f t="shared" ref="X18:X27" si="6">+P18-T18</f>
        <v>19121.569999999992</v>
      </c>
      <c r="Y18" s="4"/>
      <c r="Z18" s="34">
        <f t="shared" ref="Z18:Z27" si="7">IF(T18=0,0,X18/T18)</f>
        <v>0.19545997656921688</v>
      </c>
    </row>
    <row r="19" spans="1:26" s="29" customFormat="1" outlineLevel="1" collapsed="1" x14ac:dyDescent="0.3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5868.99</v>
      </c>
      <c r="E19" s="1"/>
      <c r="F19" s="5">
        <f t="shared" si="0"/>
        <v>0</v>
      </c>
      <c r="G19" s="1"/>
      <c r="H19" s="1">
        <f>SUM(OSRRefH22_0x_0)</f>
        <v>6061.76</v>
      </c>
      <c r="I19" s="1"/>
      <c r="J19" s="5">
        <f t="shared" si="1"/>
        <v>0</v>
      </c>
      <c r="K19" s="1"/>
      <c r="L19" s="1">
        <f t="shared" si="2"/>
        <v>-192.77000000000044</v>
      </c>
      <c r="M19" s="1"/>
      <c r="N19" s="5">
        <f t="shared" si="3"/>
        <v>-3.1800995090534835E-2</v>
      </c>
      <c r="O19" s="14"/>
      <c r="P19" s="1">
        <f>SUM(OSRRefP22_0x_0)</f>
        <v>35782.909999999996</v>
      </c>
      <c r="Q19" s="1"/>
      <c r="R19" s="5">
        <f t="shared" si="4"/>
        <v>0</v>
      </c>
      <c r="S19" s="1"/>
      <c r="T19" s="1">
        <f>SUM(OSRRefT22_0x_0)</f>
        <v>35678.46</v>
      </c>
      <c r="U19" s="1"/>
      <c r="V19" s="5">
        <f t="shared" si="5"/>
        <v>0</v>
      </c>
      <c r="W19" s="1"/>
      <c r="X19" s="1">
        <f t="shared" si="6"/>
        <v>104.44999999999709</v>
      </c>
      <c r="Y19" s="1"/>
      <c r="Z19" s="5">
        <f t="shared" si="7"/>
        <v>2.9275366705849158E-3</v>
      </c>
    </row>
    <row r="20" spans="1:26" s="24" customFormat="1" hidden="1" outlineLevel="2" x14ac:dyDescent="0.3">
      <c r="A20" s="28"/>
      <c r="B20" s="11" t="str">
        <f>CONCATENATE("          ", "6111", " - ", "F.I.C.A.")</f>
        <v xml:space="preserve">          6111 - F.I.C.A.</v>
      </c>
      <c r="C20" s="11"/>
      <c r="D20" s="6">
        <v>730.45</v>
      </c>
      <c r="E20" s="2"/>
      <c r="F20" s="7">
        <f t="shared" si="0"/>
        <v>0</v>
      </c>
      <c r="G20" s="2"/>
      <c r="H20" s="6">
        <v>685.42</v>
      </c>
      <c r="I20" s="2"/>
      <c r="J20" s="7">
        <f t="shared" si="1"/>
        <v>0</v>
      </c>
      <c r="K20" s="2"/>
      <c r="L20" s="6">
        <f t="shared" si="2"/>
        <v>45.030000000000086</v>
      </c>
      <c r="M20" s="2"/>
      <c r="N20" s="7">
        <f t="shared" si="3"/>
        <v>6.5696944938869725E-2</v>
      </c>
      <c r="O20" s="11"/>
      <c r="P20" s="6">
        <v>4556.32</v>
      </c>
      <c r="Q20" s="2"/>
      <c r="R20" s="7">
        <f t="shared" si="4"/>
        <v>0</v>
      </c>
      <c r="S20" s="2"/>
      <c r="T20" s="6">
        <v>4672.5</v>
      </c>
      <c r="U20" s="2"/>
      <c r="V20" s="7">
        <f t="shared" si="5"/>
        <v>0</v>
      </c>
      <c r="W20" s="2"/>
      <c r="X20" s="6">
        <f t="shared" si="6"/>
        <v>-116.18000000000029</v>
      </c>
      <c r="Y20" s="2"/>
      <c r="Z20" s="7">
        <f t="shared" si="7"/>
        <v>-2.486463349384704E-2</v>
      </c>
    </row>
    <row r="21" spans="1:26" s="24" customFormat="1" hidden="1" outlineLevel="2" x14ac:dyDescent="0.3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335.45</v>
      </c>
      <c r="E21" s="2"/>
      <c r="F21" s="7">
        <f t="shared" si="0"/>
        <v>0</v>
      </c>
      <c r="G21" s="2"/>
      <c r="H21" s="6">
        <v>688.97</v>
      </c>
      <c r="I21" s="2"/>
      <c r="J21" s="7">
        <f t="shared" si="1"/>
        <v>0</v>
      </c>
      <c r="K21" s="2"/>
      <c r="L21" s="6">
        <f t="shared" si="2"/>
        <v>-353.52000000000004</v>
      </c>
      <c r="M21" s="2"/>
      <c r="N21" s="7">
        <f t="shared" si="3"/>
        <v>-0.51311377853897855</v>
      </c>
      <c r="O21" s="11"/>
      <c r="P21" s="6">
        <v>2135.84</v>
      </c>
      <c r="Q21" s="2"/>
      <c r="R21" s="7">
        <f t="shared" si="4"/>
        <v>0</v>
      </c>
      <c r="S21" s="2"/>
      <c r="T21" s="6">
        <v>2915.38</v>
      </c>
      <c r="U21" s="2"/>
      <c r="V21" s="7">
        <f t="shared" si="5"/>
        <v>0</v>
      </c>
      <c r="W21" s="2"/>
      <c r="X21" s="6">
        <f t="shared" si="6"/>
        <v>-779.54</v>
      </c>
      <c r="Y21" s="2"/>
      <c r="Z21" s="7">
        <f t="shared" si="7"/>
        <v>-0.2673888138081485</v>
      </c>
    </row>
    <row r="22" spans="1:26" s="24" customFormat="1" hidden="1" outlineLevel="2" x14ac:dyDescent="0.3">
      <c r="A22" s="28"/>
      <c r="B22" s="11" t="str">
        <f>CONCATENATE("          ", "6113", " - ", "GROUP INSURANCE")</f>
        <v xml:space="preserve">          6113 - GROUP INSURANCE</v>
      </c>
      <c r="C22" s="11"/>
      <c r="D22" s="6">
        <v>2687.98</v>
      </c>
      <c r="E22" s="2"/>
      <c r="F22" s="7">
        <f t="shared" si="0"/>
        <v>0</v>
      </c>
      <c r="G22" s="2"/>
      <c r="H22" s="6">
        <v>2737.9</v>
      </c>
      <c r="I22" s="2"/>
      <c r="J22" s="7">
        <f t="shared" si="1"/>
        <v>0</v>
      </c>
      <c r="K22" s="2"/>
      <c r="L22" s="6">
        <f t="shared" si="2"/>
        <v>-49.920000000000073</v>
      </c>
      <c r="M22" s="2"/>
      <c r="N22" s="7">
        <f t="shared" si="3"/>
        <v>-1.8232952262683105E-2</v>
      </c>
      <c r="O22" s="11"/>
      <c r="P22" s="6">
        <v>16139.13</v>
      </c>
      <c r="Q22" s="2"/>
      <c r="R22" s="7">
        <f t="shared" si="4"/>
        <v>0</v>
      </c>
      <c r="S22" s="2"/>
      <c r="T22" s="6">
        <v>16427.400000000001</v>
      </c>
      <c r="U22" s="2"/>
      <c r="V22" s="7">
        <f t="shared" si="5"/>
        <v>0</v>
      </c>
      <c r="W22" s="2"/>
      <c r="X22" s="6">
        <f t="shared" si="6"/>
        <v>-288.27000000000226</v>
      </c>
      <c r="Y22" s="2"/>
      <c r="Z22" s="7">
        <f t="shared" si="7"/>
        <v>-1.7548120822528351E-2</v>
      </c>
    </row>
    <row r="23" spans="1:26" s="24" customFormat="1" hidden="1" outlineLevel="2" x14ac:dyDescent="0.3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24.23</v>
      </c>
      <c r="E23" s="2"/>
      <c r="F23" s="7">
        <f t="shared" si="0"/>
        <v>0</v>
      </c>
      <c r="G23" s="2"/>
      <c r="H23" s="6"/>
      <c r="I23" s="2"/>
      <c r="J23" s="7">
        <f t="shared" si="1"/>
        <v>0</v>
      </c>
      <c r="K23" s="2"/>
      <c r="L23" s="6">
        <f t="shared" si="2"/>
        <v>24.23</v>
      </c>
      <c r="M23" s="2"/>
      <c r="N23" s="7">
        <f t="shared" si="3"/>
        <v>0</v>
      </c>
      <c r="O23" s="11"/>
      <c r="P23" s="6">
        <v>154.25</v>
      </c>
      <c r="Q23" s="2"/>
      <c r="R23" s="7">
        <f t="shared" si="4"/>
        <v>0</v>
      </c>
      <c r="S23" s="2"/>
      <c r="T23" s="6">
        <v>134.91999999999999</v>
      </c>
      <c r="U23" s="2"/>
      <c r="V23" s="7">
        <f t="shared" si="5"/>
        <v>0</v>
      </c>
      <c r="W23" s="2"/>
      <c r="X23" s="6">
        <f t="shared" si="6"/>
        <v>19.330000000000013</v>
      </c>
      <c r="Y23" s="2"/>
      <c r="Z23" s="7">
        <f t="shared" si="7"/>
        <v>0.14327008597687529</v>
      </c>
    </row>
    <row r="24" spans="1:26" s="24" customFormat="1" hidden="1" outlineLevel="2" x14ac:dyDescent="0.3">
      <c r="A24" s="28"/>
      <c r="B24" s="11" t="str">
        <f>CONCATENATE("          ", "6115", " - ", "P.E.R.S.")</f>
        <v xml:space="preserve">          6115 - P.E.R.S.</v>
      </c>
      <c r="C24" s="11"/>
      <c r="D24" s="6">
        <v>707.23</v>
      </c>
      <c r="E24" s="2"/>
      <c r="F24" s="7">
        <f t="shared" si="0"/>
        <v>0</v>
      </c>
      <c r="G24" s="2"/>
      <c r="H24" s="6">
        <v>692.57</v>
      </c>
      <c r="I24" s="2"/>
      <c r="J24" s="7">
        <f t="shared" si="1"/>
        <v>0</v>
      </c>
      <c r="K24" s="2"/>
      <c r="L24" s="6">
        <f t="shared" si="2"/>
        <v>14.659999999999968</v>
      </c>
      <c r="M24" s="2"/>
      <c r="N24" s="7">
        <f t="shared" si="3"/>
        <v>2.1167535411582897E-2</v>
      </c>
      <c r="O24" s="11"/>
      <c r="P24" s="6">
        <v>4474.59</v>
      </c>
      <c r="Q24" s="2"/>
      <c r="R24" s="7">
        <f t="shared" si="4"/>
        <v>0</v>
      </c>
      <c r="S24" s="2"/>
      <c r="T24" s="6">
        <v>4501.71</v>
      </c>
      <c r="U24" s="2"/>
      <c r="V24" s="7">
        <f t="shared" si="5"/>
        <v>0</v>
      </c>
      <c r="W24" s="2"/>
      <c r="X24" s="6">
        <f t="shared" si="6"/>
        <v>-27.119999999999891</v>
      </c>
      <c r="Y24" s="2"/>
      <c r="Z24" s="7">
        <f t="shared" si="7"/>
        <v>-6.0243774032534064E-3</v>
      </c>
    </row>
    <row r="25" spans="1:26" s="24" customFormat="1" hidden="1" outlineLevel="2" x14ac:dyDescent="0.3">
      <c r="A25" s="28"/>
      <c r="B25" s="11" t="str">
        <f>CONCATENATE("          ", "6118", " - ", "VACATION")</f>
        <v xml:space="preserve">          6118 - VACATION</v>
      </c>
      <c r="C25" s="11"/>
      <c r="D25" s="6">
        <v>860.74</v>
      </c>
      <c r="E25" s="2"/>
      <c r="F25" s="7">
        <f t="shared" si="0"/>
        <v>0</v>
      </c>
      <c r="G25" s="2"/>
      <c r="H25" s="6">
        <v>827.64</v>
      </c>
      <c r="I25" s="2"/>
      <c r="J25" s="7">
        <f t="shared" si="1"/>
        <v>0</v>
      </c>
      <c r="K25" s="2"/>
      <c r="L25" s="6">
        <f t="shared" si="2"/>
        <v>33.100000000000023</v>
      </c>
      <c r="M25" s="2"/>
      <c r="N25" s="7">
        <f t="shared" si="3"/>
        <v>3.9993233773138105E-2</v>
      </c>
      <c r="O25" s="11"/>
      <c r="P25" s="6">
        <v>5082.46</v>
      </c>
      <c r="Q25" s="2"/>
      <c r="R25" s="7">
        <f t="shared" si="4"/>
        <v>0</v>
      </c>
      <c r="S25" s="2"/>
      <c r="T25" s="6">
        <v>4172.3599999999997</v>
      </c>
      <c r="U25" s="2"/>
      <c r="V25" s="7">
        <f t="shared" si="5"/>
        <v>0</v>
      </c>
      <c r="W25" s="2"/>
      <c r="X25" s="6">
        <f t="shared" si="6"/>
        <v>910.10000000000036</v>
      </c>
      <c r="Y25" s="2"/>
      <c r="Z25" s="7">
        <f t="shared" si="7"/>
        <v>0.21812595269823323</v>
      </c>
    </row>
    <row r="26" spans="1:26" s="24" customFormat="1" hidden="1" outlineLevel="2" x14ac:dyDescent="0.3">
      <c r="A26" s="28"/>
      <c r="B26" s="11" t="str">
        <f>CONCATENATE("          ", "6119", " - ", "SICK LEAVE")</f>
        <v xml:space="preserve">          6119 - SICK LEAVE</v>
      </c>
      <c r="C26" s="11"/>
      <c r="D26" s="6">
        <v>429.78</v>
      </c>
      <c r="E26" s="2"/>
      <c r="F26" s="7">
        <f t="shared" si="0"/>
        <v>0</v>
      </c>
      <c r="G26" s="2"/>
      <c r="H26" s="6">
        <v>413.26</v>
      </c>
      <c r="I26" s="2"/>
      <c r="J26" s="7">
        <f t="shared" si="1"/>
        <v>0</v>
      </c>
      <c r="K26" s="2"/>
      <c r="L26" s="6">
        <f t="shared" si="2"/>
        <v>16.519999999999982</v>
      </c>
      <c r="M26" s="2"/>
      <c r="N26" s="7">
        <f t="shared" si="3"/>
        <v>3.9974834244785325E-2</v>
      </c>
      <c r="O26" s="11"/>
      <c r="P26" s="6">
        <v>2719.23</v>
      </c>
      <c r="Q26" s="2"/>
      <c r="R26" s="7">
        <f t="shared" si="4"/>
        <v>0</v>
      </c>
      <c r="S26" s="2"/>
      <c r="T26" s="6">
        <v>2686.19</v>
      </c>
      <c r="U26" s="2"/>
      <c r="V26" s="7">
        <f t="shared" si="5"/>
        <v>0</v>
      </c>
      <c r="W26" s="2"/>
      <c r="X26" s="6">
        <f t="shared" si="6"/>
        <v>33.039999999999964</v>
      </c>
      <c r="Y26" s="2"/>
      <c r="Z26" s="7">
        <f t="shared" si="7"/>
        <v>1.2299948998395482E-2</v>
      </c>
    </row>
    <row r="27" spans="1:26" s="24" customFormat="1" hidden="1" outlineLevel="2" x14ac:dyDescent="0.3">
      <c r="A27" s="28"/>
      <c r="B27" s="11" t="str">
        <f>CONCATENATE("          ", "6156", " - ", "EMPLOYEE MEALS")</f>
        <v xml:space="preserve">          6156 - EMPLOYEE MEALS</v>
      </c>
      <c r="C27" s="11"/>
      <c r="D27" s="6">
        <v>93.13</v>
      </c>
      <c r="E27" s="2"/>
      <c r="F27" s="7">
        <f t="shared" si="0"/>
        <v>0</v>
      </c>
      <c r="G27" s="2"/>
      <c r="H27" s="6">
        <v>16</v>
      </c>
      <c r="I27" s="2"/>
      <c r="J27" s="7">
        <f t="shared" si="1"/>
        <v>0</v>
      </c>
      <c r="K27" s="2"/>
      <c r="L27" s="6">
        <f t="shared" si="2"/>
        <v>77.13</v>
      </c>
      <c r="M27" s="2"/>
      <c r="N27" s="7">
        <f t="shared" si="3"/>
        <v>4.8206249999999997</v>
      </c>
      <c r="O27" s="11"/>
      <c r="P27" s="6">
        <v>521.09</v>
      </c>
      <c r="Q27" s="2"/>
      <c r="R27" s="7">
        <f t="shared" si="4"/>
        <v>0</v>
      </c>
      <c r="S27" s="2"/>
      <c r="T27" s="6">
        <v>168</v>
      </c>
      <c r="U27" s="2"/>
      <c r="V27" s="7">
        <f t="shared" si="5"/>
        <v>0</v>
      </c>
      <c r="W27" s="2"/>
      <c r="X27" s="6">
        <f t="shared" si="6"/>
        <v>353.09000000000003</v>
      </c>
      <c r="Y27" s="2"/>
      <c r="Z27" s="7">
        <f t="shared" si="7"/>
        <v>2.1017261904761906</v>
      </c>
    </row>
    <row r="28" spans="1:26" s="29" customFormat="1" outlineLevel="1" collapsed="1" x14ac:dyDescent="0.3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8852.02</v>
      </c>
      <c r="E28" s="1"/>
      <c r="F28" s="5">
        <f t="shared" ref="F28:F38" si="8">IF(D$12=0,0,D28/D$12)</f>
        <v>0</v>
      </c>
      <c r="G28" s="1"/>
      <c r="H28" s="1">
        <f>SUM(OSRRefH22_1x_0)</f>
        <v>8063.59</v>
      </c>
      <c r="I28" s="1"/>
      <c r="J28" s="5">
        <f t="shared" ref="J28:J38" si="9">IF(H$12=0,0,H28/H$12)</f>
        <v>0</v>
      </c>
      <c r="K28" s="1"/>
      <c r="L28" s="1">
        <f t="shared" ref="L28:L38" si="10">+D28-H28</f>
        <v>788.43000000000029</v>
      </c>
      <c r="M28" s="1"/>
      <c r="N28" s="5">
        <f t="shared" ref="N28:N38" si="11">IF(H28=0,0,L28/H28)</f>
        <v>9.7776548658848023E-2</v>
      </c>
      <c r="O28" s="14"/>
      <c r="P28" s="1">
        <f>SUM(OSRRefP22_1x_0)</f>
        <v>55746.2</v>
      </c>
      <c r="Q28" s="1"/>
      <c r="R28" s="5">
        <f t="shared" ref="R28:R38" si="12">IF(P$12=0,0,P28/P$12)</f>
        <v>0</v>
      </c>
      <c r="S28" s="1"/>
      <c r="T28" s="1">
        <f>SUM(OSRRefT22_1x_0)</f>
        <v>53309.26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2436.9399999999951</v>
      </c>
      <c r="Y28" s="1"/>
      <c r="Z28" s="5">
        <f t="shared" ref="Z28:Z38" si="15">IF(T28=0,0,X28/T28)</f>
        <v>4.5713258822200779E-2</v>
      </c>
    </row>
    <row r="29" spans="1:26" s="24" customFormat="1" hidden="1" outlineLevel="2" x14ac:dyDescent="0.3">
      <c r="A29" s="28"/>
      <c r="B29" s="11" t="str">
        <f>CONCATENATE("          ", "6001", " - ", "ADMINISTRATIVE SALARIES")</f>
        <v xml:space="preserve">          6001 - ADMINISTRATIVE SALARIES</v>
      </c>
      <c r="C29" s="11"/>
      <c r="D29" s="6">
        <v>8852.02</v>
      </c>
      <c r="E29" s="2"/>
      <c r="F29" s="7">
        <f t="shared" si="8"/>
        <v>0</v>
      </c>
      <c r="G29" s="2"/>
      <c r="H29" s="6">
        <v>8063.59</v>
      </c>
      <c r="I29" s="2"/>
      <c r="J29" s="7">
        <f t="shared" si="9"/>
        <v>0</v>
      </c>
      <c r="K29" s="2"/>
      <c r="L29" s="6">
        <f t="shared" si="10"/>
        <v>788.43000000000029</v>
      </c>
      <c r="M29" s="2"/>
      <c r="N29" s="7">
        <f t="shared" si="11"/>
        <v>9.7776548658848023E-2</v>
      </c>
      <c r="O29" s="11"/>
      <c r="P29" s="6">
        <v>55746.2</v>
      </c>
      <c r="Q29" s="2"/>
      <c r="R29" s="7">
        <f t="shared" si="12"/>
        <v>0</v>
      </c>
      <c r="S29" s="2"/>
      <c r="T29" s="6">
        <v>53309.26</v>
      </c>
      <c r="U29" s="2"/>
      <c r="V29" s="7">
        <f t="shared" si="13"/>
        <v>0</v>
      </c>
      <c r="W29" s="2"/>
      <c r="X29" s="6">
        <f t="shared" si="14"/>
        <v>2436.9399999999951</v>
      </c>
      <c r="Y29" s="2"/>
      <c r="Z29" s="7">
        <f t="shared" si="15"/>
        <v>4.5713258822200779E-2</v>
      </c>
    </row>
    <row r="30" spans="1:26" s="29" customFormat="1" outlineLevel="1" collapsed="1" x14ac:dyDescent="0.3">
      <c r="A30" s="27"/>
      <c r="B30" s="14" t="str">
        <f>CONCATENATE("     ","Advertising/Promo                                 ")</f>
        <v xml:space="preserve">     Advertising/Promo                                 </v>
      </c>
      <c r="C30" s="14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4"/>
      <c r="P30" s="1">
        <f>SUM(OSRRefP22_2x_0)</f>
        <v>45</v>
      </c>
      <c r="Q30" s="1"/>
      <c r="R30" s="5">
        <f t="shared" si="12"/>
        <v>0</v>
      </c>
      <c r="S30" s="1"/>
      <c r="T30" s="1">
        <f>SUM(OSRRefT22_2x_0)</f>
        <v>0</v>
      </c>
      <c r="U30" s="1"/>
      <c r="V30" s="5">
        <f t="shared" si="13"/>
        <v>0</v>
      </c>
      <c r="W30" s="1"/>
      <c r="X30" s="1">
        <f t="shared" si="14"/>
        <v>45</v>
      </c>
      <c r="Y30" s="1"/>
      <c r="Z30" s="5">
        <f t="shared" si="15"/>
        <v>0</v>
      </c>
    </row>
    <row r="31" spans="1:26" s="24" customFormat="1" hidden="1" outlineLevel="2" x14ac:dyDescent="0.3">
      <c r="A31" s="28"/>
      <c r="B31" s="11" t="str">
        <f>CONCATENATE("          ", "6362", " - ", "ADVERTISING EXPENSE")</f>
        <v xml:space="preserve">          6362 - ADVERTISING EXPENSE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>
        <v>45</v>
      </c>
      <c r="Q31" s="2"/>
      <c r="R31" s="7">
        <f t="shared" si="12"/>
        <v>0</v>
      </c>
      <c r="S31" s="2"/>
      <c r="T31" s="6"/>
      <c r="U31" s="2"/>
      <c r="V31" s="7">
        <f t="shared" si="13"/>
        <v>0</v>
      </c>
      <c r="W31" s="2"/>
      <c r="X31" s="6">
        <f t="shared" si="14"/>
        <v>45</v>
      </c>
      <c r="Y31" s="2"/>
      <c r="Z31" s="7">
        <f t="shared" si="15"/>
        <v>0</v>
      </c>
    </row>
    <row r="32" spans="1:26" s="29" customFormat="1" outlineLevel="1" collapsed="1" x14ac:dyDescent="0.3">
      <c r="A32" s="27"/>
      <c r="B32" s="14" t="str">
        <f>CONCATENATE("     ","General                                           ")</f>
        <v xml:space="preserve">     General                                           </v>
      </c>
      <c r="C32" s="14"/>
      <c r="D32" s="1">
        <f>SUM(OSRRefD22_3x_0)</f>
        <v>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4"/>
      <c r="P32" s="1">
        <f>SUM(OSRRefP22_3x_0)</f>
        <v>170</v>
      </c>
      <c r="Q32" s="1"/>
      <c r="R32" s="5">
        <f t="shared" si="12"/>
        <v>0</v>
      </c>
      <c r="S32" s="1"/>
      <c r="T32" s="1">
        <f>SUM(OSRRefT22_3x_0)</f>
        <v>1.65</v>
      </c>
      <c r="U32" s="1"/>
      <c r="V32" s="5">
        <f t="shared" si="13"/>
        <v>0</v>
      </c>
      <c r="W32" s="1"/>
      <c r="X32" s="1">
        <f t="shared" si="14"/>
        <v>168.35</v>
      </c>
      <c r="Y32" s="1"/>
      <c r="Z32" s="5">
        <f t="shared" si="15"/>
        <v>102.03030303030303</v>
      </c>
    </row>
    <row r="33" spans="1:26" s="24" customFormat="1" hidden="1" outlineLevel="2" x14ac:dyDescent="0.3">
      <c r="A33" s="28"/>
      <c r="B33" s="11" t="str">
        <f>CONCATENATE("          ", "6279", " - ", "GENERAL EXPENSE")</f>
        <v xml:space="preserve">          6279 - GENERAL EXPENSE</v>
      </c>
      <c r="C33" s="11"/>
      <c r="D33" s="6"/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>
        <v>170</v>
      </c>
      <c r="Q33" s="2"/>
      <c r="R33" s="7">
        <f t="shared" si="12"/>
        <v>0</v>
      </c>
      <c r="S33" s="2"/>
      <c r="T33" s="6">
        <v>1.65</v>
      </c>
      <c r="U33" s="2"/>
      <c r="V33" s="7">
        <f t="shared" si="13"/>
        <v>0</v>
      </c>
      <c r="W33" s="2"/>
      <c r="X33" s="6">
        <f t="shared" si="14"/>
        <v>168.35</v>
      </c>
      <c r="Y33" s="2"/>
      <c r="Z33" s="7">
        <f t="shared" si="15"/>
        <v>102.03030303030303</v>
      </c>
    </row>
    <row r="34" spans="1:26" s="29" customFormat="1" outlineLevel="1" collapsed="1" x14ac:dyDescent="0.3">
      <c r="A34" s="27"/>
      <c r="B34" s="14" t="str">
        <f>CONCATENATE("     ","Repair and Maintenance                            ")</f>
        <v xml:space="preserve">     Repair and Maintenance                            </v>
      </c>
      <c r="C34" s="14"/>
      <c r="D34" s="1">
        <f>SUM(OSRRefD22_4x_0)</f>
        <v>3500</v>
      </c>
      <c r="E34" s="1"/>
      <c r="F34" s="5">
        <f t="shared" si="8"/>
        <v>0</v>
      </c>
      <c r="G34" s="1"/>
      <c r="H34" s="1">
        <f>SUM(OSRRefH22_4x_0)</f>
        <v>3500</v>
      </c>
      <c r="I34" s="1"/>
      <c r="J34" s="5">
        <f t="shared" si="9"/>
        <v>0</v>
      </c>
      <c r="K34" s="1"/>
      <c r="L34" s="1">
        <f t="shared" si="10"/>
        <v>0</v>
      </c>
      <c r="M34" s="1"/>
      <c r="N34" s="5">
        <f t="shared" si="11"/>
        <v>0</v>
      </c>
      <c r="O34" s="14"/>
      <c r="P34" s="1">
        <f>SUM(OSRRefP22_4x_0)</f>
        <v>21000</v>
      </c>
      <c r="Q34" s="1"/>
      <c r="R34" s="5">
        <f t="shared" si="12"/>
        <v>0</v>
      </c>
      <c r="S34" s="1"/>
      <c r="T34" s="1">
        <f>SUM(OSRRefT22_4x_0)</f>
        <v>3500</v>
      </c>
      <c r="U34" s="1"/>
      <c r="V34" s="5">
        <f t="shared" si="13"/>
        <v>0</v>
      </c>
      <c r="W34" s="1"/>
      <c r="X34" s="1">
        <f t="shared" si="14"/>
        <v>17500</v>
      </c>
      <c r="Y34" s="1"/>
      <c r="Z34" s="5">
        <f t="shared" si="15"/>
        <v>5</v>
      </c>
    </row>
    <row r="35" spans="1:26" s="24" customFormat="1" hidden="1" outlineLevel="2" x14ac:dyDescent="0.3">
      <c r="A35" s="28"/>
      <c r="B35" s="11" t="str">
        <f>CONCATENATE("          ", "6371", " - ", "COMPUTER SOFTWARE MAINTENANCE")</f>
        <v xml:space="preserve">          6371 - COMPUTER SOFTWARE MAINTENANCE</v>
      </c>
      <c r="C35" s="11"/>
      <c r="D35" s="6">
        <v>3500</v>
      </c>
      <c r="E35" s="2"/>
      <c r="F35" s="7">
        <f t="shared" si="8"/>
        <v>0</v>
      </c>
      <c r="G35" s="2"/>
      <c r="H35" s="6">
        <v>3500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21000</v>
      </c>
      <c r="Q35" s="2"/>
      <c r="R35" s="7">
        <f t="shared" si="12"/>
        <v>0</v>
      </c>
      <c r="S35" s="2"/>
      <c r="T35" s="6">
        <v>3500</v>
      </c>
      <c r="U35" s="2"/>
      <c r="V35" s="7">
        <f t="shared" si="13"/>
        <v>0</v>
      </c>
      <c r="W35" s="2"/>
      <c r="X35" s="6">
        <f t="shared" si="14"/>
        <v>17500</v>
      </c>
      <c r="Y35" s="2"/>
      <c r="Z35" s="7">
        <f t="shared" si="15"/>
        <v>5</v>
      </c>
    </row>
    <row r="36" spans="1:26" s="29" customFormat="1" outlineLevel="1" collapsed="1" x14ac:dyDescent="0.3">
      <c r="A36" s="27"/>
      <c r="B36" s="14" t="str">
        <f>CONCATENATE("     ","Supplies                                          ")</f>
        <v xml:space="preserve">     Supplies                                          </v>
      </c>
      <c r="C36" s="14"/>
      <c r="D36" s="1">
        <f>SUM(OSRRefD22_5x_0)</f>
        <v>1824.62</v>
      </c>
      <c r="E36" s="1"/>
      <c r="F36" s="5">
        <f t="shared" si="8"/>
        <v>0</v>
      </c>
      <c r="G36" s="1"/>
      <c r="H36" s="1">
        <f>SUM(OSRRefH22_5x_0)</f>
        <v>0</v>
      </c>
      <c r="I36" s="1"/>
      <c r="J36" s="5">
        <f t="shared" si="9"/>
        <v>0</v>
      </c>
      <c r="K36" s="1"/>
      <c r="L36" s="1">
        <f t="shared" si="10"/>
        <v>1824.62</v>
      </c>
      <c r="M36" s="1"/>
      <c r="N36" s="5">
        <f t="shared" si="11"/>
        <v>0</v>
      </c>
      <c r="O36" s="14"/>
      <c r="P36" s="1">
        <f>SUM(OSRRefP22_5x_0)</f>
        <v>2353.0300000000002</v>
      </c>
      <c r="Q36" s="1"/>
      <c r="R36" s="5">
        <f t="shared" si="12"/>
        <v>0</v>
      </c>
      <c r="S36" s="1"/>
      <c r="T36" s="1">
        <f>SUM(OSRRefT22_5x_0)</f>
        <v>4939.2</v>
      </c>
      <c r="U36" s="1"/>
      <c r="V36" s="5">
        <f t="shared" si="13"/>
        <v>0</v>
      </c>
      <c r="W36" s="1"/>
      <c r="X36" s="1">
        <f t="shared" si="14"/>
        <v>-2586.1699999999996</v>
      </c>
      <c r="Y36" s="1"/>
      <c r="Z36" s="5">
        <f t="shared" si="15"/>
        <v>-0.52360098801425325</v>
      </c>
    </row>
    <row r="37" spans="1:26" s="24" customFormat="1" hidden="1" outlineLevel="2" x14ac:dyDescent="0.3">
      <c r="A37" s="28"/>
      <c r="B37" s="11" t="str">
        <f>CONCATENATE("          ", "6235", " - ", "COVID-19 EXPENSES")</f>
        <v xml:space="preserve">          6235 - COVID-19 EXPENSES</v>
      </c>
      <c r="C37" s="11"/>
      <c r="D37" s="6"/>
      <c r="E37" s="2"/>
      <c r="F37" s="7">
        <f t="shared" si="8"/>
        <v>0</v>
      </c>
      <c r="G37" s="2"/>
      <c r="H37" s="6"/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4939.2</v>
      </c>
      <c r="U37" s="2"/>
      <c r="V37" s="7">
        <f t="shared" si="13"/>
        <v>0</v>
      </c>
      <c r="W37" s="2"/>
      <c r="X37" s="6">
        <f t="shared" si="14"/>
        <v>-4939.2</v>
      </c>
      <c r="Y37" s="2"/>
      <c r="Z37" s="7">
        <f t="shared" si="15"/>
        <v>-1</v>
      </c>
    </row>
    <row r="38" spans="1:26" s="24" customFormat="1" hidden="1" outlineLevel="2" x14ac:dyDescent="0.3">
      <c r="A38" s="28"/>
      <c r="B38" s="11" t="str">
        <f>CONCATENATE("          ", "6241", " - ", "OFFICE EXPENSE")</f>
        <v xml:space="preserve">          6241 - OFFICE EXPENSE</v>
      </c>
      <c r="C38" s="11"/>
      <c r="D38" s="6">
        <v>1824.62</v>
      </c>
      <c r="E38" s="2"/>
      <c r="F38" s="7">
        <f t="shared" si="8"/>
        <v>0</v>
      </c>
      <c r="G38" s="2"/>
      <c r="H38" s="6"/>
      <c r="I38" s="2"/>
      <c r="J38" s="7">
        <f t="shared" si="9"/>
        <v>0</v>
      </c>
      <c r="K38" s="2"/>
      <c r="L38" s="6">
        <f t="shared" si="10"/>
        <v>1824.62</v>
      </c>
      <c r="M38" s="2"/>
      <c r="N38" s="7">
        <f t="shared" si="11"/>
        <v>0</v>
      </c>
      <c r="O38" s="11"/>
      <c r="P38" s="6">
        <v>2353.0300000000002</v>
      </c>
      <c r="Q38" s="2"/>
      <c r="R38" s="7">
        <f t="shared" si="12"/>
        <v>0</v>
      </c>
      <c r="S38" s="2"/>
      <c r="T38" s="6"/>
      <c r="U38" s="2"/>
      <c r="V38" s="7">
        <f t="shared" si="13"/>
        <v>0</v>
      </c>
      <c r="W38" s="2"/>
      <c r="X38" s="6">
        <f t="shared" si="14"/>
        <v>2353.0300000000002</v>
      </c>
      <c r="Y38" s="2"/>
      <c r="Z38" s="7">
        <f t="shared" si="15"/>
        <v>0</v>
      </c>
    </row>
    <row r="39" spans="1:26" s="29" customFormat="1" outlineLevel="1" collapsed="1" x14ac:dyDescent="0.3">
      <c r="A39" s="27"/>
      <c r="B39" s="14" t="str">
        <f>CONCATENATE("     ","Telephone/Data Lines                              ")</f>
        <v xml:space="preserve">     Telephone/Data Lines                              </v>
      </c>
      <c r="C39" s="14"/>
      <c r="D39" s="1">
        <f>SUM(OSRRefD22_6x_0)</f>
        <v>0</v>
      </c>
      <c r="E39" s="1"/>
      <c r="F39" s="5">
        <f t="shared" ref="F39:F44" si="16">IF(D$12=0,0,D39/D$12)</f>
        <v>0</v>
      </c>
      <c r="G39" s="1"/>
      <c r="H39" s="1">
        <f>SUM(OSRRefH22_6x_0)</f>
        <v>50</v>
      </c>
      <c r="I39" s="1"/>
      <c r="J39" s="5">
        <f t="shared" ref="J39:J44" si="17">IF(H$12=0,0,H39/H$12)</f>
        <v>0</v>
      </c>
      <c r="K39" s="1"/>
      <c r="L39" s="1">
        <f t="shared" ref="L39:L44" si="18">+D39-H39</f>
        <v>-50</v>
      </c>
      <c r="M39" s="1"/>
      <c r="N39" s="5">
        <f t="shared" ref="N39:N44" si="19">IF(H39=0,0,L39/H39)</f>
        <v>-1</v>
      </c>
      <c r="O39" s="14"/>
      <c r="P39" s="1">
        <f>SUM(OSRRefP22_6x_0)</f>
        <v>433</v>
      </c>
      <c r="Q39" s="1"/>
      <c r="R39" s="5">
        <f t="shared" ref="R39:R44" si="20">IF(P$12=0,0,P39/P$12)</f>
        <v>0</v>
      </c>
      <c r="S39" s="1"/>
      <c r="T39" s="1">
        <f>SUM(OSRRefT22_6x_0)</f>
        <v>400</v>
      </c>
      <c r="U39" s="1"/>
      <c r="V39" s="5">
        <f t="shared" ref="V39:V44" si="21">IF(T$12=0,0,T39/T$12)</f>
        <v>0</v>
      </c>
      <c r="W39" s="1"/>
      <c r="X39" s="1">
        <f t="shared" ref="X39:X44" si="22">+P39-T39</f>
        <v>33</v>
      </c>
      <c r="Y39" s="1"/>
      <c r="Z39" s="5">
        <f t="shared" ref="Z39:Z44" si="23">IF(T39=0,0,X39/T39)</f>
        <v>8.2500000000000004E-2</v>
      </c>
    </row>
    <row r="40" spans="1:26" s="24" customFormat="1" hidden="1" outlineLevel="2" x14ac:dyDescent="0.3">
      <c r="A40" s="28"/>
      <c r="B40" s="11" t="str">
        <f>CONCATENATE("          ", "6309", " - ", "TELEPHONE")</f>
        <v xml:space="preserve">          6309 - TELEPHONE</v>
      </c>
      <c r="C40" s="11"/>
      <c r="D40" s="6">
        <v>0</v>
      </c>
      <c r="E40" s="2"/>
      <c r="F40" s="7">
        <f t="shared" si="16"/>
        <v>0</v>
      </c>
      <c r="G40" s="2"/>
      <c r="H40" s="6">
        <v>50</v>
      </c>
      <c r="I40" s="2"/>
      <c r="J40" s="7">
        <f t="shared" si="17"/>
        <v>0</v>
      </c>
      <c r="K40" s="2"/>
      <c r="L40" s="6">
        <f t="shared" si="18"/>
        <v>-50</v>
      </c>
      <c r="M40" s="2"/>
      <c r="N40" s="7">
        <f t="shared" si="19"/>
        <v>-1</v>
      </c>
      <c r="O40" s="11"/>
      <c r="P40" s="6">
        <v>433</v>
      </c>
      <c r="Q40" s="2"/>
      <c r="R40" s="7">
        <f t="shared" si="20"/>
        <v>0</v>
      </c>
      <c r="S40" s="2"/>
      <c r="T40" s="6">
        <v>400</v>
      </c>
      <c r="U40" s="2"/>
      <c r="V40" s="7">
        <f t="shared" si="21"/>
        <v>0</v>
      </c>
      <c r="W40" s="2"/>
      <c r="X40" s="6">
        <f t="shared" si="22"/>
        <v>33</v>
      </c>
      <c r="Y40" s="2"/>
      <c r="Z40" s="7">
        <f t="shared" si="23"/>
        <v>8.2500000000000004E-2</v>
      </c>
    </row>
    <row r="41" spans="1:26" s="29" customFormat="1" outlineLevel="1" collapsed="1" x14ac:dyDescent="0.3">
      <c r="A41" s="27"/>
      <c r="B41" s="14" t="str">
        <f>CONCATENATE("     ","Training                                          ")</f>
        <v xml:space="preserve">     Training                                          </v>
      </c>
      <c r="C41" s="14"/>
      <c r="D41" s="1">
        <f>SUM(OSRRefD22_7x_0)</f>
        <v>825</v>
      </c>
      <c r="E41" s="1"/>
      <c r="F41" s="5">
        <f t="shared" si="16"/>
        <v>0</v>
      </c>
      <c r="G41" s="1"/>
      <c r="H41" s="1">
        <f>SUM(OSRRefH22_7x_0)</f>
        <v>0</v>
      </c>
      <c r="I41" s="1"/>
      <c r="J41" s="5">
        <f t="shared" si="17"/>
        <v>0</v>
      </c>
      <c r="K41" s="1"/>
      <c r="L41" s="1">
        <f t="shared" si="18"/>
        <v>825</v>
      </c>
      <c r="M41" s="1"/>
      <c r="N41" s="5">
        <f t="shared" si="19"/>
        <v>0</v>
      </c>
      <c r="O41" s="14"/>
      <c r="P41" s="1">
        <f>SUM(OSRRefP22_7x_0)</f>
        <v>825</v>
      </c>
      <c r="Q41" s="1"/>
      <c r="R41" s="5">
        <f t="shared" si="20"/>
        <v>0</v>
      </c>
      <c r="S41" s="1"/>
      <c r="T41" s="1">
        <f>SUM(OSRRefT22_7x_0)</f>
        <v>0</v>
      </c>
      <c r="U41" s="1"/>
      <c r="V41" s="5">
        <f t="shared" si="21"/>
        <v>0</v>
      </c>
      <c r="W41" s="1"/>
      <c r="X41" s="1">
        <f t="shared" si="22"/>
        <v>825</v>
      </c>
      <c r="Y41" s="1"/>
      <c r="Z41" s="5">
        <f t="shared" si="23"/>
        <v>0</v>
      </c>
    </row>
    <row r="42" spans="1:26" s="24" customFormat="1" hidden="1" outlineLevel="2" x14ac:dyDescent="0.3">
      <c r="A42" s="28"/>
      <c r="B42" s="11" t="str">
        <f>CONCATENATE("          ", "6376", " - ", "TRAINING")</f>
        <v xml:space="preserve">          6376 - TRAINING</v>
      </c>
      <c r="C42" s="11"/>
      <c r="D42" s="6">
        <v>825</v>
      </c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825</v>
      </c>
      <c r="M42" s="2"/>
      <c r="N42" s="7">
        <f t="shared" si="19"/>
        <v>0</v>
      </c>
      <c r="O42" s="11"/>
      <c r="P42" s="6">
        <v>825</v>
      </c>
      <c r="Q42" s="2"/>
      <c r="R42" s="7">
        <f t="shared" si="20"/>
        <v>0</v>
      </c>
      <c r="S42" s="2"/>
      <c r="T42" s="6"/>
      <c r="U42" s="2"/>
      <c r="V42" s="7">
        <f t="shared" si="21"/>
        <v>0</v>
      </c>
      <c r="W42" s="2"/>
      <c r="X42" s="6">
        <f t="shared" si="22"/>
        <v>825</v>
      </c>
      <c r="Y42" s="2"/>
      <c r="Z42" s="7">
        <f t="shared" si="23"/>
        <v>0</v>
      </c>
    </row>
    <row r="43" spans="1:26" s="29" customFormat="1" outlineLevel="1" collapsed="1" x14ac:dyDescent="0.3">
      <c r="A43" s="27"/>
      <c r="B43" s="14" t="str">
        <f>CONCATENATE("     ","Travel                                            ")</f>
        <v xml:space="preserve">     Travel                                            </v>
      </c>
      <c r="C43" s="14"/>
      <c r="D43" s="1">
        <f>SUM(OSRRefD22_8x_0)</f>
        <v>0</v>
      </c>
      <c r="E43" s="1"/>
      <c r="F43" s="5">
        <f t="shared" si="16"/>
        <v>0</v>
      </c>
      <c r="G43" s="1"/>
      <c r="H43" s="1">
        <f>SUM(OSRRefH22_8x_0)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4"/>
      <c r="P43" s="1">
        <f>SUM(OSRRefP22_8x_0)</f>
        <v>595</v>
      </c>
      <c r="Q43" s="1"/>
      <c r="R43" s="5">
        <f t="shared" si="20"/>
        <v>0</v>
      </c>
      <c r="S43" s="1"/>
      <c r="T43" s="1">
        <f>SUM(OSRRefT22_8x_0)</f>
        <v>0</v>
      </c>
      <c r="U43" s="1"/>
      <c r="V43" s="5">
        <f t="shared" si="21"/>
        <v>0</v>
      </c>
      <c r="W43" s="1"/>
      <c r="X43" s="1">
        <f t="shared" si="22"/>
        <v>595</v>
      </c>
      <c r="Y43" s="1"/>
      <c r="Z43" s="5">
        <f t="shared" si="23"/>
        <v>0</v>
      </c>
    </row>
    <row r="44" spans="1:26" s="24" customFormat="1" hidden="1" outlineLevel="2" x14ac:dyDescent="0.3">
      <c r="A44" s="28"/>
      <c r="B44" s="11" t="str">
        <f>CONCATENATE("          ", "6292", " - ", "TRAVEL/CONFERENCE")</f>
        <v xml:space="preserve">          6292 - TRAVEL/CONFERENCE</v>
      </c>
      <c r="C44" s="11"/>
      <c r="D44" s="6"/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>
        <v>595</v>
      </c>
      <c r="Q44" s="2"/>
      <c r="R44" s="7">
        <f t="shared" si="20"/>
        <v>0</v>
      </c>
      <c r="S44" s="2"/>
      <c r="T44" s="6"/>
      <c r="U44" s="2"/>
      <c r="V44" s="7">
        <f t="shared" si="21"/>
        <v>0</v>
      </c>
      <c r="W44" s="2"/>
      <c r="X44" s="6">
        <f t="shared" si="22"/>
        <v>595</v>
      </c>
      <c r="Y44" s="2"/>
      <c r="Z44" s="7">
        <f t="shared" si="23"/>
        <v>0</v>
      </c>
    </row>
    <row r="45" spans="1:26" s="53" customFormat="1" x14ac:dyDescent="0.3">
      <c r="A45" s="37"/>
      <c r="B45" s="37"/>
      <c r="C45" s="37"/>
      <c r="D45" s="1"/>
      <c r="E45" s="1"/>
      <c r="F45" s="5"/>
      <c r="G45" s="1"/>
      <c r="H45" s="1"/>
      <c r="I45" s="1"/>
      <c r="J45" s="5"/>
      <c r="K45" s="1"/>
      <c r="L45" s="1"/>
      <c r="M45" s="1"/>
      <c r="N45" s="5"/>
      <c r="O45" s="37"/>
      <c r="P45" s="1"/>
      <c r="Q45" s="1"/>
      <c r="R45" s="5"/>
      <c r="S45" s="1"/>
      <c r="T45" s="1"/>
      <c r="U45" s="1"/>
      <c r="V45" s="5"/>
      <c r="W45" s="1"/>
      <c r="X45" s="1"/>
      <c r="Y45" s="1"/>
      <c r="Z45" s="5"/>
    </row>
    <row r="46" spans="1:26" s="23" customFormat="1" x14ac:dyDescent="0.3">
      <c r="A46" s="10"/>
      <c r="B46" s="25" t="s">
        <v>292</v>
      </c>
      <c r="C46" s="10"/>
      <c r="D46" s="4">
        <f>SUM(0)</f>
        <v>0</v>
      </c>
      <c r="E46" s="4"/>
      <c r="F46" s="12">
        <f>IF(D$12=0,0,D46/D$12)</f>
        <v>0</v>
      </c>
      <c r="G46" s="4"/>
      <c r="H46" s="4">
        <f>SUM(0)</f>
        <v>0</v>
      </c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>
        <f>SUM(0)</f>
        <v>0</v>
      </c>
      <c r="Q46" s="4"/>
      <c r="R46" s="12">
        <f>IF(P$12=0,0,P46/P$12)</f>
        <v>0</v>
      </c>
      <c r="S46" s="4"/>
      <c r="T46" s="4">
        <f>SUM(0)</f>
        <v>0</v>
      </c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3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3">
      <c r="A48" s="10"/>
      <c r="B48" s="26" t="s">
        <v>276</v>
      </c>
      <c r="C48" s="26"/>
      <c r="D48" s="20">
        <f>+D16-D18+D46</f>
        <v>-20870.63</v>
      </c>
      <c r="E48" s="13"/>
      <c r="F48" s="21">
        <f>IF(D$12=0,0,D48/D$12)</f>
        <v>0</v>
      </c>
      <c r="G48" s="13"/>
      <c r="H48" s="20">
        <f>+H16-H18+H46</f>
        <v>-17675.349999999999</v>
      </c>
      <c r="I48" s="13"/>
      <c r="J48" s="21">
        <f>IF(H$12=0,0,H48/H$12)</f>
        <v>0</v>
      </c>
      <c r="K48" s="15"/>
      <c r="L48" s="20">
        <f>+D48-H48</f>
        <v>-3195.2800000000025</v>
      </c>
      <c r="M48" s="15"/>
      <c r="N48" s="21">
        <f>IF(H48=0,0,L48/H48)</f>
        <v>0.18077605252512696</v>
      </c>
      <c r="O48" s="25"/>
      <c r="P48" s="20">
        <f>+P16-P18+P46</f>
        <v>-116950.13999999998</v>
      </c>
      <c r="Q48" s="13"/>
      <c r="R48" s="21">
        <f>IF(P$12=0,0,P48/P$12)</f>
        <v>0</v>
      </c>
      <c r="S48" s="13"/>
      <c r="T48" s="20">
        <f>+T16-T18+T46</f>
        <v>-97828.569999999992</v>
      </c>
      <c r="U48" s="13"/>
      <c r="V48" s="21">
        <f>IF(T$12=0,0,T48/T$12)</f>
        <v>0</v>
      </c>
      <c r="W48" s="15"/>
      <c r="X48" s="20">
        <f>+P48-T48</f>
        <v>-19121.569999999992</v>
      </c>
      <c r="Y48" s="15"/>
      <c r="Z48" s="21">
        <f>IF(T48=0,0,X48/T48)</f>
        <v>0.19545997656921688</v>
      </c>
    </row>
    <row r="49" spans="1:26" x14ac:dyDescent="0.3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3">
      <c r="A50" s="51"/>
      <c r="B50" s="10" t="s">
        <v>127</v>
      </c>
      <c r="C50" s="10"/>
      <c r="D50" s="4"/>
      <c r="E50" s="4"/>
      <c r="F50" s="12">
        <f>IF(D$12=0,0,D50/D$12)</f>
        <v>0</v>
      </c>
      <c r="G50" s="4"/>
      <c r="H50" s="4"/>
      <c r="I50" s="4"/>
      <c r="J50" s="12">
        <f>IF(H$12=0,0,H50/H$12)</f>
        <v>0</v>
      </c>
      <c r="K50" s="4"/>
      <c r="L50" s="4">
        <f>+D50-H50</f>
        <v>0</v>
      </c>
      <c r="M50" s="4"/>
      <c r="N50" s="12">
        <f>IF(H50=0,0,L50/H50)</f>
        <v>0</v>
      </c>
      <c r="O50" s="10"/>
      <c r="P50" s="4"/>
      <c r="Q50" s="4"/>
      <c r="R50" s="12">
        <f>IF(P$12=0,0,P50/P$12)</f>
        <v>0</v>
      </c>
      <c r="S50" s="4"/>
      <c r="T50" s="4"/>
      <c r="U50" s="4"/>
      <c r="V50" s="12">
        <f>IF(T$12=0,0,T50/T$12)</f>
        <v>0</v>
      </c>
      <c r="W50" s="4"/>
      <c r="X50" s="4">
        <f>+P50-T50</f>
        <v>0</v>
      </c>
      <c r="Y50" s="4"/>
      <c r="Z50" s="12">
        <f>IF(T50=0,0,X50/T50)</f>
        <v>0</v>
      </c>
    </row>
    <row r="51" spans="1:26" x14ac:dyDescent="0.3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ht="15" thickBot="1" x14ac:dyDescent="0.35">
      <c r="A52" s="10"/>
      <c r="B52" s="26" t="s">
        <v>125</v>
      </c>
      <c r="C52" s="26"/>
      <c r="D52" s="32">
        <f>+D48-D50</f>
        <v>-20870.63</v>
      </c>
      <c r="E52" s="13"/>
      <c r="F52" s="35">
        <f>IF(D$12=0,0,D52/D$12)</f>
        <v>0</v>
      </c>
      <c r="G52" s="13"/>
      <c r="H52" s="32">
        <f>+H48-H50</f>
        <v>-17675.349999999999</v>
      </c>
      <c r="I52" s="13"/>
      <c r="J52" s="35">
        <f>IF(H$12=0,0,H52/H$12)</f>
        <v>0</v>
      </c>
      <c r="K52" s="15"/>
      <c r="L52" s="32">
        <f>D52-H52</f>
        <v>-3195.2800000000025</v>
      </c>
      <c r="M52" s="15"/>
      <c r="N52" s="35">
        <f>IF(H52=0,0,L52/H52)</f>
        <v>0.18077605252512696</v>
      </c>
      <c r="O52" s="25"/>
      <c r="P52" s="32">
        <f>+P48-P50</f>
        <v>-116950.13999999998</v>
      </c>
      <c r="Q52" s="13"/>
      <c r="R52" s="35">
        <f>IF(P$12=0,0,P52/P$12)</f>
        <v>0</v>
      </c>
      <c r="S52" s="13"/>
      <c r="T52" s="32">
        <f>+T48-T50</f>
        <v>-97828.569999999992</v>
      </c>
      <c r="U52" s="13"/>
      <c r="V52" s="35">
        <f>IF(T$12=0,0,T52/T$12)</f>
        <v>0</v>
      </c>
      <c r="W52" s="15"/>
      <c r="X52" s="32">
        <f>P52-T52</f>
        <v>-19121.569999999992</v>
      </c>
      <c r="Y52" s="15"/>
      <c r="Z52" s="35">
        <f>IF(T52=0,0,X52/T52)</f>
        <v>0.19545997656921688</v>
      </c>
    </row>
    <row r="53" spans="1:26" ht="15" thickTop="1" x14ac:dyDescent="0.3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x14ac:dyDescent="0.3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" thickBot="1" x14ac:dyDescent="0.35">
      <c r="A55" s="10"/>
      <c r="B55" s="26" t="s">
        <v>293</v>
      </c>
      <c r="C55" s="26"/>
      <c r="D55" s="31">
        <f>SUM(D52:D54)</f>
        <v>-20870.63</v>
      </c>
      <c r="E55" s="13"/>
      <c r="F55" s="33">
        <f>IF(D$12=0,0,D55/D$12)</f>
        <v>0</v>
      </c>
      <c r="G55" s="13"/>
      <c r="H55" s="31">
        <f>SUM(H52:H54)</f>
        <v>-17675.349999999999</v>
      </c>
      <c r="I55" s="13"/>
      <c r="J55" s="33">
        <f>IF(H$12=0,0,H55/H$12)</f>
        <v>0</v>
      </c>
      <c r="K55" s="15"/>
      <c r="L55" s="31">
        <f>+D55-H55</f>
        <v>-3195.2800000000025</v>
      </c>
      <c r="M55" s="15"/>
      <c r="N55" s="33">
        <f>IF(H55=0,0,L55/H55)</f>
        <v>0.18077605252512696</v>
      </c>
      <c r="O55" s="25"/>
      <c r="P55" s="31">
        <f>SUM(P52:P54)</f>
        <v>-116950.13999999998</v>
      </c>
      <c r="Q55" s="13"/>
      <c r="R55" s="33">
        <f>IF(P$12=0,0,P55/P$12)</f>
        <v>0</v>
      </c>
      <c r="S55" s="13"/>
      <c r="T55" s="31">
        <f>SUM(T52:T54)</f>
        <v>-97828.569999999992</v>
      </c>
      <c r="U55" s="13"/>
      <c r="V55" s="33">
        <f>IF(T$12=0,0,T55/T$12)</f>
        <v>0</v>
      </c>
      <c r="W55" s="15"/>
      <c r="X55" s="31">
        <f>+P55-T55</f>
        <v>-19121.569999999992</v>
      </c>
      <c r="Y55" s="15"/>
      <c r="Z55" s="33">
        <f>IF(T55=0,0,X55/T55)</f>
        <v>0.19545997656921688</v>
      </c>
    </row>
    <row r="56" spans="1:26" ht="15" thickTop="1" x14ac:dyDescent="0.3">
      <c r="A56" s="9"/>
      <c r="C56" s="9"/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  <row r="57" spans="1:26" x14ac:dyDescent="0.3">
      <c r="A57" s="9"/>
      <c r="B57" s="60">
        <v>44575.854680405093</v>
      </c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3">
      <c r="A58" s="9"/>
      <c r="B58" s="57" t="s">
        <v>56</v>
      </c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  <row r="59" spans="1:26" x14ac:dyDescent="0.3">
      <c r="A59" s="9"/>
      <c r="B59" s="59"/>
      <c r="D59" s="17"/>
      <c r="E59" s="17"/>
      <c r="G59" s="17"/>
      <c r="H59" s="17"/>
      <c r="I59" s="17"/>
      <c r="J59" s="43"/>
      <c r="K59" s="17"/>
      <c r="L59" s="17"/>
      <c r="M59" s="17"/>
      <c r="P59" s="17"/>
      <c r="Q59" s="17"/>
      <c r="R59" s="43"/>
      <c r="S59" s="17"/>
      <c r="T59" s="17"/>
      <c r="U59" s="17"/>
      <c r="V59" s="43"/>
      <c r="W59" s="17"/>
      <c r="X59" s="17"/>
    </row>
    <row r="60" spans="1:26" x14ac:dyDescent="0.3">
      <c r="D60" s="17"/>
      <c r="E60" s="17"/>
      <c r="G60" s="17"/>
      <c r="H60" s="17"/>
      <c r="I60" s="17"/>
      <c r="J60" s="43"/>
      <c r="K60" s="17"/>
      <c r="L60" s="17"/>
      <c r="M60" s="17"/>
      <c r="P60" s="17"/>
      <c r="Q60" s="17"/>
      <c r="R60" s="43"/>
      <c r="S60" s="17"/>
      <c r="T60" s="17"/>
      <c r="U60" s="17"/>
      <c r="V60" s="43"/>
      <c r="W60" s="17"/>
      <c r="X60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138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","433", " - ", "Hillside Dining Hall")</f>
        <v>Department 433 - Hillside Dining Hall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310634.16000000003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310634.16000000003</v>
      </c>
      <c r="M12" s="4"/>
      <c r="N12" s="12">
        <f t="shared" ref="N12:N15" si="1">IF(H12=0,0,L12/H12)</f>
        <v>0</v>
      </c>
      <c r="O12" s="10"/>
      <c r="P12" s="4">
        <f>SUM(OSRRefP13x_0)</f>
        <v>2034399.22</v>
      </c>
      <c r="Q12" s="4"/>
      <c r="R12" s="12"/>
      <c r="S12" s="4"/>
      <c r="T12" s="4">
        <f>SUM(OSRRefT13x_0)</f>
        <v>23802.12</v>
      </c>
      <c r="U12" s="4"/>
      <c r="V12" s="12"/>
      <c r="W12" s="4"/>
      <c r="X12" s="4">
        <f t="shared" ref="X12:X15" si="2">+P12-T12</f>
        <v>2010597.0999999999</v>
      </c>
      <c r="Y12" s="4"/>
      <c r="Z12" s="12">
        <f t="shared" ref="Z12:Z15" si="3">IF(T12=0,0,X12/T12)</f>
        <v>84.471345409568556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--171.71</f>
        <v>171.71</v>
      </c>
      <c r="E13" s="2"/>
      <c r="F13" s="19"/>
      <c r="G13" s="2"/>
      <c r="H13" s="2">
        <f t="shared" ref="H13:H15" si="4">0</f>
        <v>0</v>
      </c>
      <c r="I13" s="2"/>
      <c r="J13" s="19"/>
      <c r="K13" s="2"/>
      <c r="L13" s="2">
        <f t="shared" si="0"/>
        <v>171.71</v>
      </c>
      <c r="M13" s="2"/>
      <c r="N13" s="19">
        <f t="shared" si="1"/>
        <v>0</v>
      </c>
      <c r="O13" s="11"/>
      <c r="P13" s="2">
        <f>--1843.99</f>
        <v>1843.99</v>
      </c>
      <c r="Q13" s="2"/>
      <c r="R13" s="19"/>
      <c r="S13" s="2"/>
      <c r="T13" s="2">
        <f>--217.65</f>
        <v>217.65</v>
      </c>
      <c r="U13" s="2"/>
      <c r="V13" s="19"/>
      <c r="W13" s="2"/>
      <c r="X13" s="2">
        <f t="shared" si="2"/>
        <v>1626.34</v>
      </c>
      <c r="Y13" s="2"/>
      <c r="Z13" s="19">
        <f t="shared" si="3"/>
        <v>7.4722719963243733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--306692.26</f>
        <v>306692.26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306692.26</v>
      </c>
      <c r="M14" s="2"/>
      <c r="N14" s="19">
        <f t="shared" si="1"/>
        <v>0</v>
      </c>
      <c r="O14" s="11"/>
      <c r="P14" s="2">
        <f>--1994254.92</f>
        <v>1994254.92</v>
      </c>
      <c r="Q14" s="2"/>
      <c r="R14" s="19"/>
      <c r="S14" s="2"/>
      <c r="T14" s="2">
        <f>--16096</f>
        <v>16096</v>
      </c>
      <c r="U14" s="2"/>
      <c r="V14" s="19"/>
      <c r="W14" s="2"/>
      <c r="X14" s="2">
        <f t="shared" si="2"/>
        <v>1978158.92</v>
      </c>
      <c r="Y14" s="2"/>
      <c r="Z14" s="19">
        <f t="shared" si="3"/>
        <v>122.89754721669979</v>
      </c>
    </row>
    <row r="15" spans="1:26" s="24" customFormat="1" hidden="1" outlineLevel="1" x14ac:dyDescent="0.3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--3770.19</f>
        <v>3770.19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3770.19</v>
      </c>
      <c r="M15" s="2"/>
      <c r="N15" s="19">
        <f t="shared" si="1"/>
        <v>0</v>
      </c>
      <c r="O15" s="11"/>
      <c r="P15" s="2">
        <f>--38300.31</f>
        <v>38300.31</v>
      </c>
      <c r="Q15" s="2"/>
      <c r="R15" s="19"/>
      <c r="S15" s="2"/>
      <c r="T15" s="2">
        <f>--7488.47</f>
        <v>7488.47</v>
      </c>
      <c r="U15" s="2"/>
      <c r="V15" s="19"/>
      <c r="W15" s="2"/>
      <c r="X15" s="2">
        <f t="shared" si="2"/>
        <v>30811.839999999997</v>
      </c>
      <c r="Y15" s="2"/>
      <c r="Z15" s="19">
        <f t="shared" si="3"/>
        <v>4.1145708001768044</v>
      </c>
    </row>
    <row r="16" spans="1:26" x14ac:dyDescent="0.3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">
      <c r="A17" s="10"/>
      <c r="B17" s="25" t="s">
        <v>256</v>
      </c>
      <c r="C17" s="10"/>
      <c r="D17" s="4">
        <f>SUM(OSRRefD16x_0)</f>
        <v>77391.13</v>
      </c>
      <c r="E17" s="4"/>
      <c r="F17" s="12">
        <f t="shared" ref="F17:F19" si="5">IF(D$12=0,0,D17/D$12)</f>
        <v>0.24913914812202237</v>
      </c>
      <c r="G17" s="4"/>
      <c r="H17" s="4">
        <f>SUM(OSRRefH16x_0)</f>
        <v>0</v>
      </c>
      <c r="I17" s="4"/>
      <c r="J17" s="12">
        <f t="shared" ref="J17:J19" si="6">IF(H$12=0,0,H17/H$12)</f>
        <v>0</v>
      </c>
      <c r="K17" s="4"/>
      <c r="L17" s="4">
        <f t="shared" ref="L17:L19" si="7">+D17-H17</f>
        <v>77391.13</v>
      </c>
      <c r="M17" s="4"/>
      <c r="N17" s="12">
        <f t="shared" ref="N17:N19" si="8">IF(H17=0,0,L17/H17)</f>
        <v>0</v>
      </c>
      <c r="O17" s="10"/>
      <c r="P17" s="4">
        <f>SUM(OSRRefP16x_0)</f>
        <v>533737.30000000005</v>
      </c>
      <c r="Q17" s="4"/>
      <c r="R17" s="12">
        <f t="shared" ref="R17:R19" si="9">IF(P$12=0,0,P17/P$12)</f>
        <v>0.26235622524471869</v>
      </c>
      <c r="S17" s="4"/>
      <c r="T17" s="4">
        <f>SUM(OSRRefT16x_0)</f>
        <v>25322.92</v>
      </c>
      <c r="U17" s="4"/>
      <c r="V17" s="12">
        <f t="shared" ref="V17:V19" si="10">IF(T$12=0,0,T17/T$12)</f>
        <v>1.0638934683129067</v>
      </c>
      <c r="W17" s="4"/>
      <c r="X17" s="4">
        <f t="shared" ref="X17:X19" si="11">+P17-T17</f>
        <v>508414.38000000006</v>
      </c>
      <c r="Y17" s="4"/>
      <c r="Z17" s="12">
        <f t="shared" ref="Z17:Z19" si="12">IF(T17=0,0,X17/T17)</f>
        <v>20.077241487158673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60607.13</v>
      </c>
      <c r="E18" s="2"/>
      <c r="F18" s="19">
        <f t="shared" si="5"/>
        <v>0.19510774346259918</v>
      </c>
      <c r="G18" s="2"/>
      <c r="H18" s="2"/>
      <c r="I18" s="2"/>
      <c r="J18" s="19">
        <f t="shared" si="6"/>
        <v>0</v>
      </c>
      <c r="K18" s="2"/>
      <c r="L18" s="2">
        <f t="shared" si="7"/>
        <v>60607.13</v>
      </c>
      <c r="M18" s="2"/>
      <c r="N18" s="19">
        <f t="shared" si="8"/>
        <v>0</v>
      </c>
      <c r="O18" s="11"/>
      <c r="P18" s="2">
        <v>540791.30000000005</v>
      </c>
      <c r="Q18" s="2"/>
      <c r="R18" s="19">
        <f t="shared" si="9"/>
        <v>0.26582358795831629</v>
      </c>
      <c r="S18" s="2"/>
      <c r="T18" s="2">
        <v>14410.92</v>
      </c>
      <c r="U18" s="2"/>
      <c r="V18" s="19">
        <f t="shared" si="10"/>
        <v>0.60544690977106241</v>
      </c>
      <c r="W18" s="2"/>
      <c r="X18" s="2">
        <f t="shared" si="11"/>
        <v>526380.38</v>
      </c>
      <c r="Y18" s="2"/>
      <c r="Z18" s="19">
        <f t="shared" si="12"/>
        <v>36.526493797758924</v>
      </c>
    </row>
    <row r="19" spans="1:26" s="24" customFormat="1" hidden="1" outlineLevel="1" x14ac:dyDescent="0.3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16784</v>
      </c>
      <c r="E19" s="2"/>
      <c r="F19" s="19">
        <f t="shared" si="5"/>
        <v>5.4031404659423153E-2</v>
      </c>
      <c r="G19" s="2"/>
      <c r="H19" s="2"/>
      <c r="I19" s="2"/>
      <c r="J19" s="19">
        <f t="shared" si="6"/>
        <v>0</v>
      </c>
      <c r="K19" s="2"/>
      <c r="L19" s="2">
        <f t="shared" si="7"/>
        <v>16784</v>
      </c>
      <c r="M19" s="2"/>
      <c r="N19" s="19">
        <f t="shared" si="8"/>
        <v>0</v>
      </c>
      <c r="O19" s="11"/>
      <c r="P19" s="2">
        <v>-7054</v>
      </c>
      <c r="Q19" s="2"/>
      <c r="R19" s="19">
        <f t="shared" si="9"/>
        <v>-3.4673627135975798E-3</v>
      </c>
      <c r="S19" s="2"/>
      <c r="T19" s="2">
        <v>10912</v>
      </c>
      <c r="U19" s="2"/>
      <c r="V19" s="19">
        <f t="shared" si="10"/>
        <v>0.45844655854184418</v>
      </c>
      <c r="W19" s="2"/>
      <c r="X19" s="2">
        <f t="shared" si="11"/>
        <v>-17966</v>
      </c>
      <c r="Y19" s="2"/>
      <c r="Z19" s="19">
        <f t="shared" si="12"/>
        <v>-1.6464442815249267</v>
      </c>
    </row>
    <row r="20" spans="1:26" x14ac:dyDescent="0.3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">
      <c r="A21" s="10"/>
      <c r="B21" s="26" t="s">
        <v>107</v>
      </c>
      <c r="C21" s="26"/>
      <c r="D21" s="20">
        <f>D12-D17</f>
        <v>233243.03000000003</v>
      </c>
      <c r="E21" s="13"/>
      <c r="F21" s="21">
        <f>IF(D$12=0,0,D21/D$12)</f>
        <v>0.75086085187797758</v>
      </c>
      <c r="G21" s="13"/>
      <c r="H21" s="20">
        <f>H12-H17</f>
        <v>0</v>
      </c>
      <c r="I21" s="13"/>
      <c r="J21" s="21">
        <f>IF(H$12=0,0,H21/H$12)</f>
        <v>0</v>
      </c>
      <c r="K21" s="15"/>
      <c r="L21" s="20">
        <f>+D21-H21</f>
        <v>233243.03000000003</v>
      </c>
      <c r="M21" s="15"/>
      <c r="N21" s="21">
        <f>IF(H21=0,0,L21/H21)</f>
        <v>0</v>
      </c>
      <c r="O21" s="25"/>
      <c r="P21" s="20">
        <f>P12-P17</f>
        <v>1500661.92</v>
      </c>
      <c r="Q21" s="13"/>
      <c r="R21" s="21">
        <f>IF(P$12=0,0,P21/P$12)</f>
        <v>0.73764377475528131</v>
      </c>
      <c r="S21" s="13"/>
      <c r="T21" s="20">
        <f>T12-T17</f>
        <v>-1520.7999999999993</v>
      </c>
      <c r="U21" s="13"/>
      <c r="V21" s="21">
        <f>IF(T$12=0,0,T21/T$12)</f>
        <v>-6.3893468312906557E-2</v>
      </c>
      <c r="W21" s="15"/>
      <c r="X21" s="20">
        <f>+P21-T21</f>
        <v>1502182.72</v>
      </c>
      <c r="Y21" s="15"/>
      <c r="Z21" s="21">
        <f>IF(T21=0,0,X21/T21)</f>
        <v>-987.7582325092061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294</v>
      </c>
      <c r="C23" s="10"/>
      <c r="D23" s="22">
        <f>SUM(OSRRefD22x_0)</f>
        <v>138185.61000000002</v>
      </c>
      <c r="E23" s="22"/>
      <c r="F23" s="34">
        <f t="shared" ref="F23:F33" si="13">IF(D$12=0,0,D23/D$12)</f>
        <v>0.44485001263222307</v>
      </c>
      <c r="G23" s="22"/>
      <c r="H23" s="22">
        <f>SUM(OSRRefH22x_0)</f>
        <v>46482.100000000013</v>
      </c>
      <c r="I23" s="22"/>
      <c r="J23" s="34">
        <f t="shared" ref="J23:J33" si="14">IF(H$12=0,0,H23/H$12)</f>
        <v>0</v>
      </c>
      <c r="K23" s="4"/>
      <c r="L23" s="22">
        <f t="shared" ref="L23:L33" si="15">+D23-H23</f>
        <v>91703.510000000009</v>
      </c>
      <c r="M23" s="4"/>
      <c r="N23" s="34">
        <f t="shared" ref="N23:N33" si="16">IF(H23=0,0,L23/H23)</f>
        <v>1.972877946564376</v>
      </c>
      <c r="O23" s="10"/>
      <c r="P23" s="22">
        <f>SUM(OSRRefP22x_0)</f>
        <v>802041.89000000013</v>
      </c>
      <c r="Q23" s="22"/>
      <c r="R23" s="34">
        <f t="shared" ref="R23:R33" si="17">IF(P$12=0,0,P23/P$12)</f>
        <v>0.39424016786636407</v>
      </c>
      <c r="S23" s="22"/>
      <c r="T23" s="22">
        <f>SUM(OSRRefT22x_0)</f>
        <v>317084.25999999995</v>
      </c>
      <c r="U23" s="22"/>
      <c r="V23" s="34">
        <f t="shared" ref="V23:V33" si="18">IF(T$12=0,0,T23/T$12)</f>
        <v>13.32168143005749</v>
      </c>
      <c r="W23" s="4"/>
      <c r="X23" s="22">
        <f t="shared" ref="X23:X33" si="19">+P23-T23</f>
        <v>484957.63000000018</v>
      </c>
      <c r="Y23" s="4"/>
      <c r="Z23" s="34">
        <f t="shared" ref="Z23:Z33" si="20">IF(T23=0,0,X23/T23)</f>
        <v>1.5294282661649627</v>
      </c>
    </row>
    <row r="24" spans="1:26" s="29" customFormat="1" outlineLevel="1" collapsed="1" x14ac:dyDescent="0.3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28148.400000000001</v>
      </c>
      <c r="E24" s="1"/>
      <c r="F24" s="5">
        <f t="shared" si="13"/>
        <v>9.0615919382465854E-2</v>
      </c>
      <c r="G24" s="1"/>
      <c r="H24" s="1">
        <f>SUM(OSRRefH22_0x_0)</f>
        <v>20699.210000000003</v>
      </c>
      <c r="I24" s="1"/>
      <c r="J24" s="5">
        <f t="shared" si="14"/>
        <v>0</v>
      </c>
      <c r="K24" s="1"/>
      <c r="L24" s="1">
        <f t="shared" si="15"/>
        <v>7449.1899999999987</v>
      </c>
      <c r="M24" s="1"/>
      <c r="N24" s="5">
        <f t="shared" si="16"/>
        <v>0.35987798568157903</v>
      </c>
      <c r="O24" s="14"/>
      <c r="P24" s="1">
        <f>SUM(OSRRefP22_0x_0)</f>
        <v>154221.19999999998</v>
      </c>
      <c r="Q24" s="1"/>
      <c r="R24" s="5">
        <f t="shared" si="17"/>
        <v>7.5806753406049768E-2</v>
      </c>
      <c r="S24" s="1"/>
      <c r="T24" s="1">
        <f>SUM(OSRRefT22_0x_0)</f>
        <v>126268.62999999999</v>
      </c>
      <c r="U24" s="1"/>
      <c r="V24" s="5">
        <f t="shared" si="18"/>
        <v>5.3049320816801186</v>
      </c>
      <c r="W24" s="1"/>
      <c r="X24" s="1">
        <f t="shared" si="19"/>
        <v>27952.569999999992</v>
      </c>
      <c r="Y24" s="1"/>
      <c r="Z24" s="5">
        <f t="shared" si="20"/>
        <v>0.22137382816302034</v>
      </c>
    </row>
    <row r="25" spans="1:26" s="24" customFormat="1" hidden="1" outlineLevel="2" x14ac:dyDescent="0.3">
      <c r="A25" s="28"/>
      <c r="B25" s="11" t="str">
        <f>CONCATENATE("          ", "6111", " - ", "F.I.C.A.")</f>
        <v xml:space="preserve">          6111 - F.I.C.A.</v>
      </c>
      <c r="C25" s="11"/>
      <c r="D25" s="6">
        <v>3483.8</v>
      </c>
      <c r="E25" s="2"/>
      <c r="F25" s="7">
        <f t="shared" si="13"/>
        <v>1.1215121994309962E-2</v>
      </c>
      <c r="G25" s="2"/>
      <c r="H25" s="6">
        <v>1725.14</v>
      </c>
      <c r="I25" s="2"/>
      <c r="J25" s="7">
        <f t="shared" si="14"/>
        <v>0</v>
      </c>
      <c r="K25" s="2"/>
      <c r="L25" s="6">
        <f t="shared" si="15"/>
        <v>1758.66</v>
      </c>
      <c r="M25" s="2"/>
      <c r="N25" s="7">
        <f t="shared" si="16"/>
        <v>1.0194303071055102</v>
      </c>
      <c r="O25" s="11"/>
      <c r="P25" s="6">
        <v>20361.490000000002</v>
      </c>
      <c r="Q25" s="2"/>
      <c r="R25" s="7">
        <f t="shared" si="17"/>
        <v>1.0008600966726679E-2</v>
      </c>
      <c r="S25" s="2"/>
      <c r="T25" s="6">
        <v>12526.82</v>
      </c>
      <c r="U25" s="2"/>
      <c r="V25" s="7">
        <f t="shared" si="18"/>
        <v>0.52629009516799341</v>
      </c>
      <c r="W25" s="2"/>
      <c r="X25" s="6">
        <f t="shared" si="19"/>
        <v>7834.6700000000019</v>
      </c>
      <c r="Y25" s="2"/>
      <c r="Z25" s="7">
        <f t="shared" si="20"/>
        <v>0.62543167380069342</v>
      </c>
    </row>
    <row r="26" spans="1:26" s="24" customFormat="1" hidden="1" outlineLevel="2" x14ac:dyDescent="0.3">
      <c r="A26" s="28"/>
      <c r="B26" s="11" t="str">
        <f>CONCATENATE("          ", "6112", " - ", "COMPENSATION INSURANCE")</f>
        <v xml:space="preserve">          6112 - COMPENSATION INSURANCE</v>
      </c>
      <c r="C26" s="11"/>
      <c r="D26" s="6">
        <v>2427.11</v>
      </c>
      <c r="E26" s="2"/>
      <c r="F26" s="7">
        <f t="shared" si="13"/>
        <v>7.8134033938830165E-3</v>
      </c>
      <c r="G26" s="2"/>
      <c r="H26" s="6">
        <v>1717.48</v>
      </c>
      <c r="I26" s="2"/>
      <c r="J26" s="7">
        <f t="shared" si="14"/>
        <v>0</v>
      </c>
      <c r="K26" s="2"/>
      <c r="L26" s="6">
        <f t="shared" si="15"/>
        <v>709.63000000000011</v>
      </c>
      <c r="M26" s="2"/>
      <c r="N26" s="7">
        <f t="shared" si="16"/>
        <v>0.41318093951603518</v>
      </c>
      <c r="O26" s="11"/>
      <c r="P26" s="6">
        <v>12619.48</v>
      </c>
      <c r="Q26" s="2"/>
      <c r="R26" s="7">
        <f t="shared" si="17"/>
        <v>6.2030499598795556E-3</v>
      </c>
      <c r="S26" s="2"/>
      <c r="T26" s="6">
        <v>7809.15</v>
      </c>
      <c r="U26" s="2"/>
      <c r="V26" s="7">
        <f t="shared" si="18"/>
        <v>0.32808632172260288</v>
      </c>
      <c r="W26" s="2"/>
      <c r="X26" s="6">
        <f t="shared" si="19"/>
        <v>4810.33</v>
      </c>
      <c r="Y26" s="2"/>
      <c r="Z26" s="7">
        <f t="shared" si="20"/>
        <v>0.61598637495758179</v>
      </c>
    </row>
    <row r="27" spans="1:26" s="24" customFormat="1" hidden="1" outlineLevel="2" x14ac:dyDescent="0.3">
      <c r="A27" s="28"/>
      <c r="B27" s="11" t="str">
        <f>CONCATENATE("          ", "6113", " - ", "GROUP INSURANCE")</f>
        <v xml:space="preserve">          6113 - GROUP INSURANCE</v>
      </c>
      <c r="C27" s="11"/>
      <c r="D27" s="6">
        <v>15064.3</v>
      </c>
      <c r="E27" s="2"/>
      <c r="F27" s="7">
        <f t="shared" si="13"/>
        <v>4.8495310367668507E-2</v>
      </c>
      <c r="G27" s="2"/>
      <c r="H27" s="6">
        <v>12526.51</v>
      </c>
      <c r="I27" s="2"/>
      <c r="J27" s="7">
        <f t="shared" si="14"/>
        <v>0</v>
      </c>
      <c r="K27" s="2"/>
      <c r="L27" s="6">
        <f t="shared" si="15"/>
        <v>2537.7899999999991</v>
      </c>
      <c r="M27" s="2"/>
      <c r="N27" s="7">
        <f t="shared" si="16"/>
        <v>0.20259353962117135</v>
      </c>
      <c r="O27" s="11"/>
      <c r="P27" s="6">
        <v>79528.149999999994</v>
      </c>
      <c r="Q27" s="2"/>
      <c r="R27" s="7">
        <f t="shared" si="17"/>
        <v>3.9091712785851343E-2</v>
      </c>
      <c r="S27" s="2"/>
      <c r="T27" s="6">
        <v>72459.13</v>
      </c>
      <c r="U27" s="2"/>
      <c r="V27" s="7">
        <f t="shared" si="18"/>
        <v>3.0442300937899653</v>
      </c>
      <c r="W27" s="2"/>
      <c r="X27" s="6">
        <f t="shared" si="19"/>
        <v>7069.0199999999895</v>
      </c>
      <c r="Y27" s="2"/>
      <c r="Z27" s="7">
        <f t="shared" si="20"/>
        <v>9.7558720343454156E-2</v>
      </c>
    </row>
    <row r="28" spans="1:26" s="24" customFormat="1" hidden="1" outlineLevel="2" x14ac:dyDescent="0.3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6">
        <v>175.29</v>
      </c>
      <c r="E28" s="2"/>
      <c r="F28" s="7">
        <f t="shared" si="13"/>
        <v>5.6429724277587488E-4</v>
      </c>
      <c r="G28" s="2"/>
      <c r="H28" s="6"/>
      <c r="I28" s="2"/>
      <c r="J28" s="7">
        <f t="shared" si="14"/>
        <v>0</v>
      </c>
      <c r="K28" s="2"/>
      <c r="L28" s="6">
        <f t="shared" si="15"/>
        <v>175.29</v>
      </c>
      <c r="M28" s="2"/>
      <c r="N28" s="7">
        <f t="shared" si="16"/>
        <v>0</v>
      </c>
      <c r="O28" s="11"/>
      <c r="P28" s="6">
        <v>911.42</v>
      </c>
      <c r="Q28" s="2"/>
      <c r="R28" s="7">
        <f t="shared" si="17"/>
        <v>4.4800449736704084E-4</v>
      </c>
      <c r="S28" s="2"/>
      <c r="T28" s="6">
        <v>369.19</v>
      </c>
      <c r="U28" s="2"/>
      <c r="V28" s="7">
        <f t="shared" si="18"/>
        <v>1.5510803239375317E-2</v>
      </c>
      <c r="W28" s="2"/>
      <c r="X28" s="6">
        <f t="shared" si="19"/>
        <v>542.23</v>
      </c>
      <c r="Y28" s="2"/>
      <c r="Z28" s="7">
        <f t="shared" si="20"/>
        <v>1.4687017524851702</v>
      </c>
    </row>
    <row r="29" spans="1:26" s="24" customFormat="1" hidden="1" outlineLevel="2" x14ac:dyDescent="0.3">
      <c r="A29" s="28"/>
      <c r="B29" s="11" t="str">
        <f>CONCATENATE("          ", "6115", " - ", "P.E.R.S.")</f>
        <v xml:space="preserve">          6115 - P.E.R.S.</v>
      </c>
      <c r="C29" s="11"/>
      <c r="D29" s="6">
        <v>1479.97</v>
      </c>
      <c r="E29" s="2"/>
      <c r="F29" s="7">
        <f t="shared" si="13"/>
        <v>4.7643504500599673E-3</v>
      </c>
      <c r="G29" s="2"/>
      <c r="H29" s="6">
        <v>868.56</v>
      </c>
      <c r="I29" s="2"/>
      <c r="J29" s="7">
        <f t="shared" si="14"/>
        <v>0</v>
      </c>
      <c r="K29" s="2"/>
      <c r="L29" s="6">
        <f t="shared" si="15"/>
        <v>611.41000000000008</v>
      </c>
      <c r="M29" s="2"/>
      <c r="N29" s="7">
        <f t="shared" si="16"/>
        <v>0.7039352491480152</v>
      </c>
      <c r="O29" s="11"/>
      <c r="P29" s="6">
        <v>8144.86</v>
      </c>
      <c r="Q29" s="2"/>
      <c r="R29" s="7">
        <f t="shared" si="17"/>
        <v>4.0035701547309873E-3</v>
      </c>
      <c r="S29" s="2"/>
      <c r="T29" s="6">
        <v>6337.18</v>
      </c>
      <c r="U29" s="2"/>
      <c r="V29" s="7">
        <f t="shared" si="18"/>
        <v>0.26624435134349378</v>
      </c>
      <c r="W29" s="2"/>
      <c r="X29" s="6">
        <f t="shared" si="19"/>
        <v>1807.6799999999994</v>
      </c>
      <c r="Y29" s="2"/>
      <c r="Z29" s="7">
        <f t="shared" si="20"/>
        <v>0.2852499061096575</v>
      </c>
    </row>
    <row r="30" spans="1:26" s="24" customFormat="1" hidden="1" outlineLevel="2" x14ac:dyDescent="0.3">
      <c r="A30" s="28"/>
      <c r="B30" s="11" t="str">
        <f>CONCATENATE("          ", "6117", " - ", "RETIREMENT STAFF HOURLY")</f>
        <v xml:space="preserve">          6117 - RETIREMENT STAFF HOURLY</v>
      </c>
      <c r="C30" s="11"/>
      <c r="D30" s="6">
        <v>587.01</v>
      </c>
      <c r="E30" s="2"/>
      <c r="F30" s="7">
        <f t="shared" si="13"/>
        <v>1.8897148980652994E-3</v>
      </c>
      <c r="G30" s="2"/>
      <c r="H30" s="6">
        <v>374.72</v>
      </c>
      <c r="I30" s="2"/>
      <c r="J30" s="7">
        <f t="shared" si="14"/>
        <v>0</v>
      </c>
      <c r="K30" s="2"/>
      <c r="L30" s="6">
        <f t="shared" si="15"/>
        <v>212.28999999999996</v>
      </c>
      <c r="M30" s="2"/>
      <c r="N30" s="7">
        <f t="shared" si="16"/>
        <v>0.56652967549103317</v>
      </c>
      <c r="O30" s="11"/>
      <c r="P30" s="6">
        <v>2882.2</v>
      </c>
      <c r="Q30" s="2"/>
      <c r="R30" s="7">
        <f t="shared" si="17"/>
        <v>1.4167327492388636E-3</v>
      </c>
      <c r="S30" s="2"/>
      <c r="T30" s="6">
        <v>2389.09</v>
      </c>
      <c r="U30" s="2"/>
      <c r="V30" s="7">
        <f t="shared" si="18"/>
        <v>0.10037299198558784</v>
      </c>
      <c r="W30" s="2"/>
      <c r="X30" s="6">
        <f t="shared" si="19"/>
        <v>493.10999999999967</v>
      </c>
      <c r="Y30" s="2"/>
      <c r="Z30" s="7">
        <f t="shared" si="20"/>
        <v>0.20640076347061001</v>
      </c>
    </row>
    <row r="31" spans="1:26" s="24" customFormat="1" hidden="1" outlineLevel="2" x14ac:dyDescent="0.3">
      <c r="A31" s="28"/>
      <c r="B31" s="11" t="str">
        <f>CONCATENATE("          ", "6118", " - ", "VACATION")</f>
        <v xml:space="preserve">          6118 - VACATION</v>
      </c>
      <c r="C31" s="11"/>
      <c r="D31" s="6">
        <v>1986.56</v>
      </c>
      <c r="E31" s="2"/>
      <c r="F31" s="7">
        <f t="shared" si="13"/>
        <v>6.3951755982020768E-3</v>
      </c>
      <c r="G31" s="2"/>
      <c r="H31" s="6">
        <v>1768.02</v>
      </c>
      <c r="I31" s="2"/>
      <c r="J31" s="7">
        <f t="shared" si="14"/>
        <v>0</v>
      </c>
      <c r="K31" s="2"/>
      <c r="L31" s="6">
        <f t="shared" si="15"/>
        <v>218.53999999999996</v>
      </c>
      <c r="M31" s="2"/>
      <c r="N31" s="7">
        <f t="shared" si="16"/>
        <v>0.1236071990135858</v>
      </c>
      <c r="O31" s="11"/>
      <c r="P31" s="6">
        <v>12870.98</v>
      </c>
      <c r="Q31" s="2"/>
      <c r="R31" s="7">
        <f t="shared" si="17"/>
        <v>6.3266736801049304E-3</v>
      </c>
      <c r="S31" s="2"/>
      <c r="T31" s="6">
        <v>11852.65</v>
      </c>
      <c r="U31" s="2"/>
      <c r="V31" s="7">
        <f t="shared" si="18"/>
        <v>0.49796614755324314</v>
      </c>
      <c r="W31" s="2"/>
      <c r="X31" s="6">
        <f t="shared" si="19"/>
        <v>1018.3299999999999</v>
      </c>
      <c r="Y31" s="2"/>
      <c r="Z31" s="7">
        <f t="shared" si="20"/>
        <v>8.5915807857314605E-2</v>
      </c>
    </row>
    <row r="32" spans="1:26" s="24" customFormat="1" hidden="1" outlineLevel="2" x14ac:dyDescent="0.3">
      <c r="A32" s="28"/>
      <c r="B32" s="11" t="str">
        <f>CONCATENATE("          ", "6119", " - ", "SICK LEAVE")</f>
        <v xml:space="preserve">          6119 - SICK LEAVE</v>
      </c>
      <c r="C32" s="11"/>
      <c r="D32" s="6">
        <v>1649.06</v>
      </c>
      <c r="E32" s="2"/>
      <c r="F32" s="7">
        <f t="shared" si="13"/>
        <v>5.3086885228591724E-3</v>
      </c>
      <c r="G32" s="2"/>
      <c r="H32" s="6">
        <v>1214.78</v>
      </c>
      <c r="I32" s="2"/>
      <c r="J32" s="7">
        <f t="shared" si="14"/>
        <v>0</v>
      </c>
      <c r="K32" s="2"/>
      <c r="L32" s="6">
        <f t="shared" si="15"/>
        <v>434.28</v>
      </c>
      <c r="M32" s="2"/>
      <c r="N32" s="7">
        <f t="shared" si="16"/>
        <v>0.35749683070185545</v>
      </c>
      <c r="O32" s="11"/>
      <c r="P32" s="6">
        <v>9750.27</v>
      </c>
      <c r="Q32" s="2"/>
      <c r="R32" s="7">
        <f t="shared" si="17"/>
        <v>4.7927023880789737E-3</v>
      </c>
      <c r="S32" s="2"/>
      <c r="T32" s="6">
        <v>7759.91</v>
      </c>
      <c r="U32" s="2"/>
      <c r="V32" s="7">
        <f t="shared" si="18"/>
        <v>0.32601759843240857</v>
      </c>
      <c r="W32" s="2"/>
      <c r="X32" s="6">
        <f t="shared" si="19"/>
        <v>1990.3600000000006</v>
      </c>
      <c r="Y32" s="2"/>
      <c r="Z32" s="7">
        <f t="shared" si="20"/>
        <v>0.2564926655077186</v>
      </c>
    </row>
    <row r="33" spans="1:26" s="24" customFormat="1" hidden="1" outlineLevel="2" x14ac:dyDescent="0.3">
      <c r="A33" s="28"/>
      <c r="B33" s="11" t="str">
        <f>CONCATENATE("          ", "6156", " - ", "EMPLOYEE MEALS")</f>
        <v xml:space="preserve">          6156 - EMPLOYEE MEALS</v>
      </c>
      <c r="C33" s="11"/>
      <c r="D33" s="6">
        <v>1295.3</v>
      </c>
      <c r="E33" s="2"/>
      <c r="F33" s="7">
        <f t="shared" si="13"/>
        <v>4.1698569146419694E-3</v>
      </c>
      <c r="G33" s="2"/>
      <c r="H33" s="6">
        <v>504</v>
      </c>
      <c r="I33" s="2"/>
      <c r="J33" s="7">
        <f t="shared" si="14"/>
        <v>0</v>
      </c>
      <c r="K33" s="2"/>
      <c r="L33" s="6">
        <f t="shared" si="15"/>
        <v>791.3</v>
      </c>
      <c r="M33" s="2"/>
      <c r="N33" s="7">
        <f t="shared" si="16"/>
        <v>1.5700396825396825</v>
      </c>
      <c r="O33" s="11"/>
      <c r="P33" s="6">
        <v>7152.35</v>
      </c>
      <c r="Q33" s="2"/>
      <c r="R33" s="7">
        <f t="shared" si="17"/>
        <v>3.5157062240713994E-3</v>
      </c>
      <c r="S33" s="2"/>
      <c r="T33" s="6">
        <v>4765.51</v>
      </c>
      <c r="U33" s="2"/>
      <c r="V33" s="7">
        <f t="shared" si="18"/>
        <v>0.20021367844544941</v>
      </c>
      <c r="W33" s="2"/>
      <c r="X33" s="6">
        <f t="shared" si="19"/>
        <v>2386.84</v>
      </c>
      <c r="Y33" s="2"/>
      <c r="Z33" s="7">
        <f t="shared" si="20"/>
        <v>0.50085720101311293</v>
      </c>
    </row>
    <row r="34" spans="1:26" s="29" customFormat="1" outlineLevel="1" collapsed="1" x14ac:dyDescent="0.3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72762.149999999994</v>
      </c>
      <c r="E34" s="1"/>
      <c r="F34" s="5">
        <f t="shared" ref="F34:F39" si="21">IF(D$12=0,0,D34/D$12)</f>
        <v>0.23423743866418292</v>
      </c>
      <c r="G34" s="1"/>
      <c r="H34" s="1">
        <f>SUM(OSRRefH22_1x_0)</f>
        <v>17998.71</v>
      </c>
      <c r="I34" s="1"/>
      <c r="J34" s="5">
        <f t="shared" ref="J34:J39" si="22">IF(H$12=0,0,H34/H$12)</f>
        <v>0</v>
      </c>
      <c r="K34" s="1"/>
      <c r="L34" s="1">
        <f t="shared" ref="L34:L39" si="23">+D34-H34</f>
        <v>54763.439999999995</v>
      </c>
      <c r="M34" s="1"/>
      <c r="N34" s="5">
        <f t="shared" ref="N34:N39" si="24">IF(H34=0,0,L34/H34)</f>
        <v>3.0426313885828482</v>
      </c>
      <c r="O34" s="14"/>
      <c r="P34" s="1">
        <f>SUM(OSRRefP22_1x_0)</f>
        <v>375946.2</v>
      </c>
      <c r="Q34" s="1"/>
      <c r="R34" s="5">
        <f t="shared" ref="R34:R39" si="25">IF(P$12=0,0,P34/P$12)</f>
        <v>0.18479470317531876</v>
      </c>
      <c r="S34" s="1"/>
      <c r="T34" s="1">
        <f>SUM(OSRRefT22_1x_0)</f>
        <v>135120.26</v>
      </c>
      <c r="U34" s="1"/>
      <c r="V34" s="5">
        <f t="shared" ref="V34:V39" si="26">IF(T$12=0,0,T34/T$12)</f>
        <v>5.6768161827601915</v>
      </c>
      <c r="W34" s="1"/>
      <c r="X34" s="1">
        <f t="shared" ref="X34:X39" si="27">+P34-T34</f>
        <v>240825.94</v>
      </c>
      <c r="Y34" s="1"/>
      <c r="Z34" s="5">
        <f t="shared" ref="Z34:Z39" si="28">IF(T34=0,0,X34/T34)</f>
        <v>1.7823081453514076</v>
      </c>
    </row>
    <row r="35" spans="1:26" s="24" customFormat="1" hidden="1" outlineLevel="2" x14ac:dyDescent="0.3">
      <c r="A35" s="28"/>
      <c r="B35" s="11" t="str">
        <f>CONCATENATE("          ", "6002", " - ", "STAFF SALARIES")</f>
        <v xml:space="preserve">          6002 - STAFF SALARIES</v>
      </c>
      <c r="C35" s="11"/>
      <c r="D35" s="6">
        <v>14311.48</v>
      </c>
      <c r="E35" s="2"/>
      <c r="F35" s="7">
        <f t="shared" si="21"/>
        <v>4.6071816441565855E-2</v>
      </c>
      <c r="G35" s="2"/>
      <c r="H35" s="6">
        <v>6284.92</v>
      </c>
      <c r="I35" s="2"/>
      <c r="J35" s="7">
        <f t="shared" si="22"/>
        <v>0</v>
      </c>
      <c r="K35" s="2"/>
      <c r="L35" s="6">
        <f t="shared" si="23"/>
        <v>8026.5599999999995</v>
      </c>
      <c r="M35" s="2"/>
      <c r="N35" s="7">
        <f t="shared" si="24"/>
        <v>1.2771141080554724</v>
      </c>
      <c r="O35" s="11"/>
      <c r="P35" s="6">
        <v>85787.72</v>
      </c>
      <c r="Q35" s="2"/>
      <c r="R35" s="7">
        <f t="shared" si="25"/>
        <v>4.2168576922674991E-2</v>
      </c>
      <c r="S35" s="2"/>
      <c r="T35" s="6">
        <v>54750.73</v>
      </c>
      <c r="U35" s="2"/>
      <c r="V35" s="7">
        <f t="shared" si="26"/>
        <v>2.3002459444788954</v>
      </c>
      <c r="W35" s="2"/>
      <c r="X35" s="6">
        <f t="shared" si="27"/>
        <v>31036.989999999998</v>
      </c>
      <c r="Y35" s="2"/>
      <c r="Z35" s="7">
        <f t="shared" si="28"/>
        <v>0.56687810372574021</v>
      </c>
    </row>
    <row r="36" spans="1:26" s="24" customFormat="1" hidden="1" outlineLevel="2" x14ac:dyDescent="0.3">
      <c r="A36" s="28"/>
      <c r="B36" s="11" t="str">
        <f>CONCATENATE("          ", "6004", " - ", "STAFF HOURLY")</f>
        <v xml:space="preserve">          6004 - STAFF HOURLY</v>
      </c>
      <c r="C36" s="11"/>
      <c r="D36" s="6">
        <v>21410.66</v>
      </c>
      <c r="E36" s="2"/>
      <c r="F36" s="7">
        <f t="shared" si="21"/>
        <v>6.8925645524626128E-2</v>
      </c>
      <c r="G36" s="2"/>
      <c r="H36" s="6">
        <v>11713.79</v>
      </c>
      <c r="I36" s="2"/>
      <c r="J36" s="7">
        <f t="shared" si="22"/>
        <v>0</v>
      </c>
      <c r="K36" s="2"/>
      <c r="L36" s="6">
        <f t="shared" si="23"/>
        <v>9696.869999999999</v>
      </c>
      <c r="M36" s="2"/>
      <c r="N36" s="7">
        <f t="shared" si="24"/>
        <v>0.82781661614217072</v>
      </c>
      <c r="O36" s="11"/>
      <c r="P36" s="6">
        <v>130215.93</v>
      </c>
      <c r="Q36" s="2"/>
      <c r="R36" s="7">
        <f t="shared" si="25"/>
        <v>6.4007068386508714E-2</v>
      </c>
      <c r="S36" s="2"/>
      <c r="T36" s="6">
        <v>80369.53</v>
      </c>
      <c r="U36" s="2"/>
      <c r="V36" s="7">
        <f t="shared" si="26"/>
        <v>3.3765702382812961</v>
      </c>
      <c r="W36" s="2"/>
      <c r="X36" s="6">
        <f t="shared" si="27"/>
        <v>49846.399999999994</v>
      </c>
      <c r="Y36" s="2"/>
      <c r="Z36" s="7">
        <f t="shared" si="28"/>
        <v>0.62021514870125527</v>
      </c>
    </row>
    <row r="37" spans="1:26" s="24" customFormat="1" hidden="1" outlineLevel="2" x14ac:dyDescent="0.3">
      <c r="A37" s="28"/>
      <c r="B37" s="11" t="str">
        <f>CONCATENATE("          ", "6005", " - ", "TEMPORARY WAGES-HOURLY")</f>
        <v xml:space="preserve">          6005 - TEMPORARY WAGES-HOURLY</v>
      </c>
      <c r="C37" s="11"/>
      <c r="D37" s="6">
        <v>13574.24</v>
      </c>
      <c r="E37" s="2"/>
      <c r="F37" s="7">
        <f t="shared" si="21"/>
        <v>4.369847797808199E-2</v>
      </c>
      <c r="G37" s="2"/>
      <c r="H37" s="6"/>
      <c r="I37" s="2"/>
      <c r="J37" s="7">
        <f t="shared" si="22"/>
        <v>0</v>
      </c>
      <c r="K37" s="2"/>
      <c r="L37" s="6">
        <f t="shared" si="23"/>
        <v>13574.24</v>
      </c>
      <c r="M37" s="2"/>
      <c r="N37" s="7">
        <f t="shared" si="24"/>
        <v>0</v>
      </c>
      <c r="O37" s="11"/>
      <c r="P37" s="6">
        <v>67122.48</v>
      </c>
      <c r="Q37" s="2"/>
      <c r="R37" s="7">
        <f t="shared" si="25"/>
        <v>3.2993760192259608E-2</v>
      </c>
      <c r="S37" s="2"/>
      <c r="T37" s="6"/>
      <c r="U37" s="2"/>
      <c r="V37" s="7">
        <f t="shared" si="26"/>
        <v>0</v>
      </c>
      <c r="W37" s="2"/>
      <c r="X37" s="6">
        <f t="shared" si="27"/>
        <v>67122.48</v>
      </c>
      <c r="Y37" s="2"/>
      <c r="Z37" s="7">
        <f t="shared" si="28"/>
        <v>0</v>
      </c>
    </row>
    <row r="38" spans="1:26" s="24" customFormat="1" hidden="1" outlineLevel="2" x14ac:dyDescent="0.3">
      <c r="A38" s="28"/>
      <c r="B38" s="11" t="str">
        <f>CONCATENATE("          ", "6007", " - ", "STUDENT HOURLY")</f>
        <v xml:space="preserve">          6007 - STUDENT HOURLY</v>
      </c>
      <c r="C38" s="11"/>
      <c r="D38" s="6">
        <v>15272.48</v>
      </c>
      <c r="E38" s="2"/>
      <c r="F38" s="7">
        <f t="shared" si="21"/>
        <v>4.9165487787949651E-2</v>
      </c>
      <c r="G38" s="2"/>
      <c r="H38" s="6"/>
      <c r="I38" s="2"/>
      <c r="J38" s="7">
        <f t="shared" si="22"/>
        <v>0</v>
      </c>
      <c r="K38" s="2"/>
      <c r="L38" s="6">
        <f t="shared" si="23"/>
        <v>15272.48</v>
      </c>
      <c r="M38" s="2"/>
      <c r="N38" s="7">
        <f t="shared" si="24"/>
        <v>0</v>
      </c>
      <c r="O38" s="11"/>
      <c r="P38" s="6">
        <v>74872.56</v>
      </c>
      <c r="Q38" s="2"/>
      <c r="R38" s="7">
        <f t="shared" si="25"/>
        <v>3.6803277972157301E-2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74872.56</v>
      </c>
      <c r="Y38" s="2"/>
      <c r="Z38" s="7">
        <f t="shared" si="28"/>
        <v>0</v>
      </c>
    </row>
    <row r="39" spans="1:26" s="24" customFormat="1" hidden="1" outlineLevel="2" x14ac:dyDescent="0.3">
      <c r="A39" s="28"/>
      <c r="B39" s="11" t="str">
        <f>CONCATENATE("          ", "6008", " - ", "STUDENT HOURLY-FICA EXEMPT")</f>
        <v xml:space="preserve">          6008 - STUDENT HOURLY-FICA EXEMPT</v>
      </c>
      <c r="C39" s="11"/>
      <c r="D39" s="6">
        <v>8193.2900000000009</v>
      </c>
      <c r="E39" s="2"/>
      <c r="F39" s="7">
        <f t="shared" si="21"/>
        <v>2.6376010931959317E-2</v>
      </c>
      <c r="G39" s="2"/>
      <c r="H39" s="6"/>
      <c r="I39" s="2"/>
      <c r="J39" s="7">
        <f t="shared" si="22"/>
        <v>0</v>
      </c>
      <c r="K39" s="2"/>
      <c r="L39" s="6">
        <f t="shared" si="23"/>
        <v>8193.2900000000009</v>
      </c>
      <c r="M39" s="2"/>
      <c r="N39" s="7">
        <f t="shared" si="24"/>
        <v>0</v>
      </c>
      <c r="O39" s="11"/>
      <c r="P39" s="6">
        <v>17947.509999999998</v>
      </c>
      <c r="Q39" s="2"/>
      <c r="R39" s="7">
        <f t="shared" si="25"/>
        <v>8.8220197017181319E-3</v>
      </c>
      <c r="S39" s="2"/>
      <c r="T39" s="6"/>
      <c r="U39" s="2"/>
      <c r="V39" s="7">
        <f t="shared" si="26"/>
        <v>0</v>
      </c>
      <c r="W39" s="2"/>
      <c r="X39" s="6">
        <f t="shared" si="27"/>
        <v>17947.509999999998</v>
      </c>
      <c r="Y39" s="2"/>
      <c r="Z39" s="7">
        <f t="shared" si="28"/>
        <v>0</v>
      </c>
    </row>
    <row r="40" spans="1:26" s="29" customFormat="1" outlineLevel="1" collapsed="1" x14ac:dyDescent="0.3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68.040000000000006</v>
      </c>
      <c r="E40" s="1"/>
      <c r="F40" s="5">
        <f t="shared" ref="F40:F60" si="29">IF(D$12=0,0,D40/D$12)</f>
        <v>2.1903579438912964E-4</v>
      </c>
      <c r="G40" s="1"/>
      <c r="H40" s="1">
        <f>SUM(OSRRefH22_2x_0)</f>
        <v>0</v>
      </c>
      <c r="I40" s="1"/>
      <c r="J40" s="5">
        <f t="shared" ref="J40:J60" si="30">IF(H$12=0,0,H40/H$12)</f>
        <v>0</v>
      </c>
      <c r="K40" s="1"/>
      <c r="L40" s="1">
        <f t="shared" ref="L40:L60" si="31">+D40-H40</f>
        <v>68.040000000000006</v>
      </c>
      <c r="M40" s="1"/>
      <c r="N40" s="5">
        <f t="shared" ref="N40:N60" si="32">IF(H40=0,0,L40/H40)</f>
        <v>0</v>
      </c>
      <c r="O40" s="14"/>
      <c r="P40" s="1">
        <f>SUM(OSRRefP22_2x_0)</f>
        <v>1205.8900000000001</v>
      </c>
      <c r="Q40" s="1"/>
      <c r="R40" s="5">
        <f t="shared" ref="R40:R60" si="33">IF(P$12=0,0,P40/P$12)</f>
        <v>5.927499323362895E-4</v>
      </c>
      <c r="S40" s="1"/>
      <c r="T40" s="1">
        <f>SUM(OSRRefT22_2x_0)</f>
        <v>204.75</v>
      </c>
      <c r="U40" s="1"/>
      <c r="V40" s="5">
        <f t="shared" ref="V40:V60" si="34">IF(T$12=0,0,T40/T$12)</f>
        <v>8.6021749323169534E-3</v>
      </c>
      <c r="W40" s="1"/>
      <c r="X40" s="1">
        <f t="shared" ref="X40:X60" si="35">+P40-T40</f>
        <v>1001.1400000000001</v>
      </c>
      <c r="Y40" s="1"/>
      <c r="Z40" s="5">
        <f t="shared" ref="Z40:Z60" si="36">IF(T40=0,0,X40/T40)</f>
        <v>4.8895726495726501</v>
      </c>
    </row>
    <row r="41" spans="1:26" s="24" customFormat="1" hidden="1" outlineLevel="2" x14ac:dyDescent="0.3">
      <c r="A41" s="28"/>
      <c r="B41" s="11" t="str">
        <f>CONCATENATE("          ", "6362", " - ", "ADVERTISING EXPENSE")</f>
        <v xml:space="preserve">          6362 - ADVERTISING EXPENSE</v>
      </c>
      <c r="C41" s="11"/>
      <c r="D41" s="6">
        <v>68.040000000000006</v>
      </c>
      <c r="E41" s="2"/>
      <c r="F41" s="7">
        <f t="shared" si="29"/>
        <v>2.1903579438912964E-4</v>
      </c>
      <c r="G41" s="2"/>
      <c r="H41" s="6"/>
      <c r="I41" s="2"/>
      <c r="J41" s="7">
        <f t="shared" si="30"/>
        <v>0</v>
      </c>
      <c r="K41" s="2"/>
      <c r="L41" s="6">
        <f t="shared" si="31"/>
        <v>68.040000000000006</v>
      </c>
      <c r="M41" s="2"/>
      <c r="N41" s="7">
        <f t="shared" si="32"/>
        <v>0</v>
      </c>
      <c r="O41" s="11"/>
      <c r="P41" s="6">
        <v>1205.8900000000001</v>
      </c>
      <c r="Q41" s="2"/>
      <c r="R41" s="7">
        <f t="shared" si="33"/>
        <v>5.927499323362895E-4</v>
      </c>
      <c r="S41" s="2"/>
      <c r="T41" s="6">
        <v>204.75</v>
      </c>
      <c r="U41" s="2"/>
      <c r="V41" s="7">
        <f t="shared" si="34"/>
        <v>8.6021749323169534E-3</v>
      </c>
      <c r="W41" s="2"/>
      <c r="X41" s="6">
        <f t="shared" si="35"/>
        <v>1001.1400000000001</v>
      </c>
      <c r="Y41" s="2"/>
      <c r="Z41" s="7">
        <f t="shared" si="36"/>
        <v>4.8895726495726501</v>
      </c>
    </row>
    <row r="42" spans="1:26" s="29" customFormat="1" outlineLevel="1" collapsed="1" x14ac:dyDescent="0.3">
      <c r="A42" s="27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SUM(OSRRefD22_3x_0)</f>
        <v>0</v>
      </c>
      <c r="E42" s="1"/>
      <c r="F42" s="5">
        <f t="shared" si="29"/>
        <v>0</v>
      </c>
      <c r="G42" s="1"/>
      <c r="H42" s="1">
        <f>SUM(OSRRefH22_3x_0)</f>
        <v>0</v>
      </c>
      <c r="I42" s="1"/>
      <c r="J42" s="5">
        <f t="shared" si="30"/>
        <v>0</v>
      </c>
      <c r="K42" s="1"/>
      <c r="L42" s="1">
        <f t="shared" si="31"/>
        <v>0</v>
      </c>
      <c r="M42" s="1"/>
      <c r="N42" s="5">
        <f t="shared" si="32"/>
        <v>0</v>
      </c>
      <c r="O42" s="14"/>
      <c r="P42" s="1">
        <f>SUM(OSRRefP22_3x_0)</f>
        <v>-23.9</v>
      </c>
      <c r="Q42" s="1"/>
      <c r="R42" s="5">
        <f t="shared" si="33"/>
        <v>-1.1747940013465006E-5</v>
      </c>
      <c r="S42" s="1"/>
      <c r="T42" s="1">
        <f>SUM(OSRRefT22_3x_0)</f>
        <v>0</v>
      </c>
      <c r="U42" s="1"/>
      <c r="V42" s="5">
        <f t="shared" si="34"/>
        <v>0</v>
      </c>
      <c r="W42" s="1"/>
      <c r="X42" s="1">
        <f t="shared" si="35"/>
        <v>-23.9</v>
      </c>
      <c r="Y42" s="1"/>
      <c r="Z42" s="5">
        <f t="shared" si="36"/>
        <v>0</v>
      </c>
    </row>
    <row r="43" spans="1:26" s="24" customFormat="1" hidden="1" outlineLevel="2" x14ac:dyDescent="0.3">
      <c r="A43" s="28"/>
      <c r="B43" s="11" t="str">
        <f>CONCATENATE("          ", "6272", " - ", "CASH (OVER/SHORT)")</f>
        <v xml:space="preserve">          6272 - CASH (OVER/SHORT)</v>
      </c>
      <c r="C43" s="11"/>
      <c r="D43" s="6"/>
      <c r="E43" s="2"/>
      <c r="F43" s="7">
        <f t="shared" si="29"/>
        <v>0</v>
      </c>
      <c r="G43" s="2"/>
      <c r="H43" s="6"/>
      <c r="I43" s="2"/>
      <c r="J43" s="7">
        <f t="shared" si="30"/>
        <v>0</v>
      </c>
      <c r="K43" s="2"/>
      <c r="L43" s="6">
        <f t="shared" si="31"/>
        <v>0</v>
      </c>
      <c r="M43" s="2"/>
      <c r="N43" s="7">
        <f t="shared" si="32"/>
        <v>0</v>
      </c>
      <c r="O43" s="11"/>
      <c r="P43" s="6">
        <v>-23.9</v>
      </c>
      <c r="Q43" s="2"/>
      <c r="R43" s="7">
        <f t="shared" si="33"/>
        <v>-1.1747940013465006E-5</v>
      </c>
      <c r="S43" s="2"/>
      <c r="T43" s="6">
        <v>0</v>
      </c>
      <c r="U43" s="2"/>
      <c r="V43" s="7">
        <f t="shared" si="34"/>
        <v>0</v>
      </c>
      <c r="W43" s="2"/>
      <c r="X43" s="6">
        <f t="shared" si="35"/>
        <v>-23.9</v>
      </c>
      <c r="Y43" s="2"/>
      <c r="Z43" s="7">
        <f t="shared" si="36"/>
        <v>0</v>
      </c>
    </row>
    <row r="44" spans="1:26" s="29" customFormat="1" outlineLevel="1" collapsed="1" x14ac:dyDescent="0.3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SUM(OSRRefD22_4x_0)</f>
        <v>68.28</v>
      </c>
      <c r="E44" s="1"/>
      <c r="F44" s="5">
        <f t="shared" si="29"/>
        <v>2.1980840742048458E-4</v>
      </c>
      <c r="G44" s="1"/>
      <c r="H44" s="1">
        <f>SUM(OSRRefH22_4x_0)</f>
        <v>0</v>
      </c>
      <c r="I44" s="1"/>
      <c r="J44" s="5">
        <f t="shared" si="30"/>
        <v>0</v>
      </c>
      <c r="K44" s="1"/>
      <c r="L44" s="1">
        <f t="shared" si="31"/>
        <v>68.28</v>
      </c>
      <c r="M44" s="1"/>
      <c r="N44" s="5">
        <f t="shared" si="32"/>
        <v>0</v>
      </c>
      <c r="O44" s="14"/>
      <c r="P44" s="1">
        <f>SUM(OSRRefP22_4x_0)</f>
        <v>255.53</v>
      </c>
      <c r="Q44" s="1"/>
      <c r="R44" s="5">
        <f t="shared" si="33"/>
        <v>1.25604649022624E-4</v>
      </c>
      <c r="S44" s="1"/>
      <c r="T44" s="1">
        <f>SUM(OSRRefT22_4x_0)</f>
        <v>0</v>
      </c>
      <c r="U44" s="1"/>
      <c r="V44" s="5">
        <f t="shared" si="34"/>
        <v>0</v>
      </c>
      <c r="W44" s="1"/>
      <c r="X44" s="1">
        <f t="shared" si="35"/>
        <v>255.53</v>
      </c>
      <c r="Y44" s="1"/>
      <c r="Z44" s="5">
        <f t="shared" si="36"/>
        <v>0</v>
      </c>
    </row>
    <row r="45" spans="1:26" s="24" customFormat="1" hidden="1" outlineLevel="2" x14ac:dyDescent="0.3">
      <c r="A45" s="28"/>
      <c r="B45" s="11" t="str">
        <f>CONCATENATE("          ", "6381", " - ", "BANK/CREDIT CARD FEES")</f>
        <v xml:space="preserve">          6381 - BANK/CREDIT CARD FEES</v>
      </c>
      <c r="C45" s="11"/>
      <c r="D45" s="6">
        <v>68.28</v>
      </c>
      <c r="E45" s="2"/>
      <c r="F45" s="7">
        <f t="shared" si="29"/>
        <v>2.1980840742048458E-4</v>
      </c>
      <c r="G45" s="2"/>
      <c r="H45" s="6"/>
      <c r="I45" s="2"/>
      <c r="J45" s="7">
        <f t="shared" si="30"/>
        <v>0</v>
      </c>
      <c r="K45" s="2"/>
      <c r="L45" s="6">
        <f t="shared" si="31"/>
        <v>68.28</v>
      </c>
      <c r="M45" s="2"/>
      <c r="N45" s="7">
        <f t="shared" si="32"/>
        <v>0</v>
      </c>
      <c r="O45" s="11"/>
      <c r="P45" s="6">
        <v>255.53</v>
      </c>
      <c r="Q45" s="2"/>
      <c r="R45" s="7">
        <f t="shared" si="33"/>
        <v>1.25604649022624E-4</v>
      </c>
      <c r="S45" s="2"/>
      <c r="T45" s="6"/>
      <c r="U45" s="2"/>
      <c r="V45" s="7">
        <f t="shared" si="34"/>
        <v>0</v>
      </c>
      <c r="W45" s="2"/>
      <c r="X45" s="6">
        <f t="shared" si="35"/>
        <v>255.53</v>
      </c>
      <c r="Y45" s="2"/>
      <c r="Z45" s="7">
        <f t="shared" si="36"/>
        <v>0</v>
      </c>
    </row>
    <row r="46" spans="1:26" s="29" customFormat="1" outlineLevel="1" collapsed="1" x14ac:dyDescent="0.3">
      <c r="A46" s="27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SUM(OSRRefD22_5x_0)</f>
        <v>273.51</v>
      </c>
      <c r="E46" s="1"/>
      <c r="F46" s="5">
        <f t="shared" si="29"/>
        <v>8.8048912585789011E-4</v>
      </c>
      <c r="G46" s="1"/>
      <c r="H46" s="1">
        <f>SUM(OSRRefH22_5x_0)</f>
        <v>272.74</v>
      </c>
      <c r="I46" s="1"/>
      <c r="J46" s="5">
        <f t="shared" si="30"/>
        <v>0</v>
      </c>
      <c r="K46" s="1"/>
      <c r="L46" s="1">
        <f t="shared" si="31"/>
        <v>0.76999999999998181</v>
      </c>
      <c r="M46" s="1"/>
      <c r="N46" s="5">
        <f t="shared" si="32"/>
        <v>2.8232015839260165E-3</v>
      </c>
      <c r="O46" s="14"/>
      <c r="P46" s="1">
        <f>SUM(OSRRefP22_5x_0)</f>
        <v>1641.06</v>
      </c>
      <c r="Q46" s="1"/>
      <c r="R46" s="5">
        <f t="shared" si="33"/>
        <v>8.0665583424673157E-4</v>
      </c>
      <c r="S46" s="1"/>
      <c r="T46" s="1">
        <f>SUM(OSRRefT22_5x_0)</f>
        <v>1372.22</v>
      </c>
      <c r="U46" s="1"/>
      <c r="V46" s="5">
        <f t="shared" si="34"/>
        <v>5.7651167206954679E-2</v>
      </c>
      <c r="W46" s="1"/>
      <c r="X46" s="1">
        <f t="shared" si="35"/>
        <v>268.83999999999992</v>
      </c>
      <c r="Y46" s="1"/>
      <c r="Z46" s="5">
        <f t="shared" si="36"/>
        <v>0.19591610674673152</v>
      </c>
    </row>
    <row r="47" spans="1:26" s="24" customFormat="1" hidden="1" outlineLevel="2" x14ac:dyDescent="0.3">
      <c r="A47" s="28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273.51</v>
      </c>
      <c r="E47" s="2"/>
      <c r="F47" s="7">
        <f t="shared" si="29"/>
        <v>8.8048912585789011E-4</v>
      </c>
      <c r="G47" s="2"/>
      <c r="H47" s="6">
        <v>272.74</v>
      </c>
      <c r="I47" s="2"/>
      <c r="J47" s="7">
        <f t="shared" si="30"/>
        <v>0</v>
      </c>
      <c r="K47" s="2"/>
      <c r="L47" s="6">
        <f t="shared" si="31"/>
        <v>0.76999999999998181</v>
      </c>
      <c r="M47" s="2"/>
      <c r="N47" s="7">
        <f t="shared" si="32"/>
        <v>2.8232015839260165E-3</v>
      </c>
      <c r="O47" s="11"/>
      <c r="P47" s="6">
        <v>1641.06</v>
      </c>
      <c r="Q47" s="2"/>
      <c r="R47" s="7">
        <f t="shared" si="33"/>
        <v>8.0665583424673157E-4</v>
      </c>
      <c r="S47" s="2"/>
      <c r="T47" s="6">
        <v>1372.22</v>
      </c>
      <c r="U47" s="2"/>
      <c r="V47" s="7">
        <f t="shared" si="34"/>
        <v>5.7651167206954679E-2</v>
      </c>
      <c r="W47" s="2"/>
      <c r="X47" s="6">
        <f t="shared" si="35"/>
        <v>268.83999999999992</v>
      </c>
      <c r="Y47" s="2"/>
      <c r="Z47" s="7">
        <f t="shared" si="36"/>
        <v>0.19591610674673152</v>
      </c>
    </row>
    <row r="48" spans="1:26" s="29" customFormat="1" outlineLevel="1" collapsed="1" x14ac:dyDescent="0.3">
      <c r="A48" s="27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SUM(OSRRefD22_6x_0)</f>
        <v>1911.44</v>
      </c>
      <c r="E48" s="1"/>
      <c r="F48" s="5">
        <f t="shared" si="29"/>
        <v>6.1533477193879771E-3</v>
      </c>
      <c r="G48" s="1"/>
      <c r="H48" s="1">
        <f>SUM(OSRRefH22_6x_0)</f>
        <v>0</v>
      </c>
      <c r="I48" s="1"/>
      <c r="J48" s="5">
        <f t="shared" si="30"/>
        <v>0</v>
      </c>
      <c r="K48" s="1"/>
      <c r="L48" s="1">
        <f t="shared" si="31"/>
        <v>1911.44</v>
      </c>
      <c r="M48" s="1"/>
      <c r="N48" s="5">
        <f t="shared" si="32"/>
        <v>0</v>
      </c>
      <c r="O48" s="14"/>
      <c r="P48" s="1">
        <f>SUM(OSRRefP22_6x_0)</f>
        <v>18415</v>
      </c>
      <c r="Q48" s="1"/>
      <c r="R48" s="5">
        <f t="shared" si="33"/>
        <v>9.0518123576551514E-3</v>
      </c>
      <c r="S48" s="1"/>
      <c r="T48" s="1">
        <f>SUM(OSRRefT22_6x_0)</f>
        <v>0</v>
      </c>
      <c r="U48" s="1"/>
      <c r="V48" s="5">
        <f t="shared" si="34"/>
        <v>0</v>
      </c>
      <c r="W48" s="1"/>
      <c r="X48" s="1">
        <f t="shared" si="35"/>
        <v>18415</v>
      </c>
      <c r="Y48" s="1"/>
      <c r="Z48" s="5">
        <f t="shared" si="36"/>
        <v>0</v>
      </c>
    </row>
    <row r="49" spans="1:26" s="24" customFormat="1" hidden="1" outlineLevel="2" x14ac:dyDescent="0.3">
      <c r="A49" s="28"/>
      <c r="B49" s="11" t="str">
        <f>CONCATENATE("          ", "6399", " - ", "DONATION-ON CAMPUS")</f>
        <v xml:space="preserve">          6399 - DONATION-ON CAMPUS</v>
      </c>
      <c r="C49" s="11"/>
      <c r="D49" s="6">
        <v>1911.44</v>
      </c>
      <c r="E49" s="2"/>
      <c r="F49" s="7">
        <f t="shared" si="29"/>
        <v>6.1533477193879771E-3</v>
      </c>
      <c r="G49" s="2"/>
      <c r="H49" s="6"/>
      <c r="I49" s="2"/>
      <c r="J49" s="7">
        <f t="shared" si="30"/>
        <v>0</v>
      </c>
      <c r="K49" s="2"/>
      <c r="L49" s="6">
        <f t="shared" si="31"/>
        <v>1911.44</v>
      </c>
      <c r="M49" s="2"/>
      <c r="N49" s="7">
        <f t="shared" si="32"/>
        <v>0</v>
      </c>
      <c r="O49" s="11"/>
      <c r="P49" s="6">
        <v>18415</v>
      </c>
      <c r="Q49" s="2"/>
      <c r="R49" s="7">
        <f t="shared" si="33"/>
        <v>9.0518123576551514E-3</v>
      </c>
      <c r="S49" s="2"/>
      <c r="T49" s="6"/>
      <c r="U49" s="2"/>
      <c r="V49" s="7">
        <f t="shared" si="34"/>
        <v>0</v>
      </c>
      <c r="W49" s="2"/>
      <c r="X49" s="6">
        <f t="shared" si="35"/>
        <v>18415</v>
      </c>
      <c r="Y49" s="2"/>
      <c r="Z49" s="7">
        <f t="shared" si="36"/>
        <v>0</v>
      </c>
    </row>
    <row r="50" spans="1:26" s="29" customFormat="1" outlineLevel="1" collapsed="1" x14ac:dyDescent="0.3">
      <c r="A50" s="27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SUM(OSRRefD22_7x_0)</f>
        <v>0</v>
      </c>
      <c r="E50" s="1"/>
      <c r="F50" s="5">
        <f t="shared" si="29"/>
        <v>0</v>
      </c>
      <c r="G50" s="1"/>
      <c r="H50" s="1">
        <f>SUM(OSRRefH22_7x_0)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4"/>
      <c r="P50" s="1">
        <f>SUM(OSRRefP22_7x_0)</f>
        <v>34.47</v>
      </c>
      <c r="Q50" s="1"/>
      <c r="R50" s="5">
        <f t="shared" si="33"/>
        <v>1.6943577082181541E-5</v>
      </c>
      <c r="S50" s="1"/>
      <c r="T50" s="1">
        <f>SUM(OSRRefT22_7x_0)</f>
        <v>0</v>
      </c>
      <c r="U50" s="1"/>
      <c r="V50" s="5">
        <f t="shared" si="34"/>
        <v>0</v>
      </c>
      <c r="W50" s="1"/>
      <c r="X50" s="1">
        <f t="shared" si="35"/>
        <v>34.47</v>
      </c>
      <c r="Y50" s="1"/>
      <c r="Z50" s="5">
        <f t="shared" si="36"/>
        <v>0</v>
      </c>
    </row>
    <row r="51" spans="1:26" s="24" customFormat="1" hidden="1" outlineLevel="2" x14ac:dyDescent="0.3">
      <c r="A51" s="28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29"/>
        <v>0</v>
      </c>
      <c r="G51" s="2"/>
      <c r="H51" s="6"/>
      <c r="I51" s="2"/>
      <c r="J51" s="7">
        <f t="shared" si="30"/>
        <v>0</v>
      </c>
      <c r="K51" s="2"/>
      <c r="L51" s="6">
        <f t="shared" si="31"/>
        <v>0</v>
      </c>
      <c r="M51" s="2"/>
      <c r="N51" s="7">
        <f t="shared" si="32"/>
        <v>0</v>
      </c>
      <c r="O51" s="11"/>
      <c r="P51" s="6">
        <v>34.47</v>
      </c>
      <c r="Q51" s="2"/>
      <c r="R51" s="7">
        <f t="shared" si="33"/>
        <v>1.6943577082181541E-5</v>
      </c>
      <c r="S51" s="2"/>
      <c r="T51" s="6"/>
      <c r="U51" s="2"/>
      <c r="V51" s="7">
        <f t="shared" si="34"/>
        <v>0</v>
      </c>
      <c r="W51" s="2"/>
      <c r="X51" s="6">
        <f t="shared" si="35"/>
        <v>34.47</v>
      </c>
      <c r="Y51" s="2"/>
      <c r="Z51" s="7">
        <f t="shared" si="36"/>
        <v>0</v>
      </c>
    </row>
    <row r="52" spans="1:26" s="29" customFormat="1" outlineLevel="1" collapsed="1" x14ac:dyDescent="0.3">
      <c r="A52" s="27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SUM(OSRRefD22_8x_0)</f>
        <v>319.05</v>
      </c>
      <c r="E52" s="1"/>
      <c r="F52" s="5">
        <f t="shared" si="29"/>
        <v>1.0270924485574929E-3</v>
      </c>
      <c r="G52" s="1"/>
      <c r="H52" s="1">
        <f>SUM(OSRRefH22_8x_0)</f>
        <v>276.64999999999998</v>
      </c>
      <c r="I52" s="1"/>
      <c r="J52" s="5">
        <f t="shared" si="30"/>
        <v>0</v>
      </c>
      <c r="K52" s="1"/>
      <c r="L52" s="1">
        <f t="shared" si="31"/>
        <v>42.400000000000034</v>
      </c>
      <c r="M52" s="1"/>
      <c r="N52" s="5">
        <f t="shared" si="32"/>
        <v>0.15326224471353708</v>
      </c>
      <c r="O52" s="14"/>
      <c r="P52" s="1">
        <f>SUM(OSRRefP22_8x_0)</f>
        <v>6296.06</v>
      </c>
      <c r="Q52" s="1"/>
      <c r="R52" s="5">
        <f t="shared" si="33"/>
        <v>3.0948006360324897E-3</v>
      </c>
      <c r="S52" s="1"/>
      <c r="T52" s="1">
        <f>SUM(OSRRefT22_8x_0)</f>
        <v>1386.67</v>
      </c>
      <c r="U52" s="1"/>
      <c r="V52" s="5">
        <f t="shared" si="34"/>
        <v>5.8258255987281814E-2</v>
      </c>
      <c r="W52" s="1"/>
      <c r="X52" s="1">
        <f t="shared" si="35"/>
        <v>4909.3900000000003</v>
      </c>
      <c r="Y52" s="1"/>
      <c r="Z52" s="5">
        <f t="shared" si="36"/>
        <v>3.5404169701515142</v>
      </c>
    </row>
    <row r="53" spans="1:26" s="24" customFormat="1" hidden="1" outlineLevel="2" x14ac:dyDescent="0.3">
      <c r="A53" s="28"/>
      <c r="B53" s="11" t="str">
        <f>CONCATENATE("          ", "6351", " - ", "EQUIPMENT RENTAL")</f>
        <v xml:space="preserve">          6351 - EQUIPMENT RENTAL</v>
      </c>
      <c r="C53" s="11"/>
      <c r="D53" s="6">
        <v>319.05</v>
      </c>
      <c r="E53" s="2"/>
      <c r="F53" s="7">
        <f t="shared" si="29"/>
        <v>1.0270924485574929E-3</v>
      </c>
      <c r="G53" s="2"/>
      <c r="H53" s="6">
        <v>276.64999999999998</v>
      </c>
      <c r="I53" s="2"/>
      <c r="J53" s="7">
        <f t="shared" si="30"/>
        <v>0</v>
      </c>
      <c r="K53" s="2"/>
      <c r="L53" s="6">
        <f t="shared" si="31"/>
        <v>42.400000000000034</v>
      </c>
      <c r="M53" s="2"/>
      <c r="N53" s="7">
        <f t="shared" si="32"/>
        <v>0.15326224471353708</v>
      </c>
      <c r="O53" s="11"/>
      <c r="P53" s="6">
        <v>6296.06</v>
      </c>
      <c r="Q53" s="2"/>
      <c r="R53" s="7">
        <f t="shared" si="33"/>
        <v>3.0948006360324897E-3</v>
      </c>
      <c r="S53" s="2"/>
      <c r="T53" s="6">
        <v>1386.67</v>
      </c>
      <c r="U53" s="2"/>
      <c r="V53" s="7">
        <f t="shared" si="34"/>
        <v>5.8258255987281814E-2</v>
      </c>
      <c r="W53" s="2"/>
      <c r="X53" s="6">
        <f t="shared" si="35"/>
        <v>4909.3900000000003</v>
      </c>
      <c r="Y53" s="2"/>
      <c r="Z53" s="7">
        <f t="shared" si="36"/>
        <v>3.5404169701515142</v>
      </c>
    </row>
    <row r="54" spans="1:26" s="29" customFormat="1" outlineLevel="1" collapsed="1" x14ac:dyDescent="0.3">
      <c r="A54" s="27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SUM(OSRRefD22_9x_0)</f>
        <v>0</v>
      </c>
      <c r="E54" s="1"/>
      <c r="F54" s="5">
        <f t="shared" si="29"/>
        <v>0</v>
      </c>
      <c r="G54" s="1"/>
      <c r="H54" s="1">
        <f>SUM(OSRRefH22_9x_0)</f>
        <v>290.25</v>
      </c>
      <c r="I54" s="1"/>
      <c r="J54" s="5">
        <f t="shared" si="30"/>
        <v>0</v>
      </c>
      <c r="K54" s="1"/>
      <c r="L54" s="1">
        <f t="shared" si="31"/>
        <v>-290.25</v>
      </c>
      <c r="M54" s="1"/>
      <c r="N54" s="5">
        <f t="shared" si="32"/>
        <v>-1</v>
      </c>
      <c r="O54" s="14"/>
      <c r="P54" s="1">
        <f>SUM(OSRRefP22_9x_0)</f>
        <v>7677.62</v>
      </c>
      <c r="Q54" s="1"/>
      <c r="R54" s="5">
        <f t="shared" si="33"/>
        <v>3.7739003851957826E-3</v>
      </c>
      <c r="S54" s="1"/>
      <c r="T54" s="1">
        <f>SUM(OSRRefT22_9x_0)</f>
        <v>3828.45</v>
      </c>
      <c r="U54" s="1"/>
      <c r="V54" s="5">
        <f t="shared" si="34"/>
        <v>0.16084491633518358</v>
      </c>
      <c r="W54" s="1"/>
      <c r="X54" s="1">
        <f t="shared" si="35"/>
        <v>3849.17</v>
      </c>
      <c r="Y54" s="1"/>
      <c r="Z54" s="5">
        <f t="shared" si="36"/>
        <v>1.005412111951312</v>
      </c>
    </row>
    <row r="55" spans="1:26" s="24" customFormat="1" hidden="1" outlineLevel="2" x14ac:dyDescent="0.3">
      <c r="A55" s="28"/>
      <c r="B55" s="11" t="str">
        <f>CONCATENATE("          ", "6279", " - ", "GENERAL EXPENSE")</f>
        <v xml:space="preserve">          6279 - GENERAL EXPENSE</v>
      </c>
      <c r="C55" s="11"/>
      <c r="D55" s="6"/>
      <c r="E55" s="2"/>
      <c r="F55" s="7">
        <f t="shared" si="29"/>
        <v>0</v>
      </c>
      <c r="G55" s="2"/>
      <c r="H55" s="6">
        <v>290.25</v>
      </c>
      <c r="I55" s="2"/>
      <c r="J55" s="7">
        <f t="shared" si="30"/>
        <v>0</v>
      </c>
      <c r="K55" s="2"/>
      <c r="L55" s="6">
        <f t="shared" si="31"/>
        <v>-290.25</v>
      </c>
      <c r="M55" s="2"/>
      <c r="N55" s="7">
        <f t="shared" si="32"/>
        <v>-1</v>
      </c>
      <c r="O55" s="11"/>
      <c r="P55" s="6">
        <v>7677.62</v>
      </c>
      <c r="Q55" s="2"/>
      <c r="R55" s="7">
        <f t="shared" si="33"/>
        <v>3.7739003851957826E-3</v>
      </c>
      <c r="S55" s="2"/>
      <c r="T55" s="6">
        <v>3828.45</v>
      </c>
      <c r="U55" s="2"/>
      <c r="V55" s="7">
        <f t="shared" si="34"/>
        <v>0.16084491633518358</v>
      </c>
      <c r="W55" s="2"/>
      <c r="X55" s="6">
        <f t="shared" si="35"/>
        <v>3849.17</v>
      </c>
      <c r="Y55" s="2"/>
      <c r="Z55" s="7">
        <f t="shared" si="36"/>
        <v>1.005412111951312</v>
      </c>
    </row>
    <row r="56" spans="1:26" s="29" customFormat="1" outlineLevel="1" collapsed="1" x14ac:dyDescent="0.3">
      <c r="A56" s="27"/>
      <c r="B56" s="14" t="str">
        <f>CONCATENATE("     ","R/H Commissions                                   ")</f>
        <v xml:space="preserve">     R/H Commissions                                   </v>
      </c>
      <c r="C56" s="14"/>
      <c r="D56" s="1">
        <f>SUM(OSRRefD22_10x_0)</f>
        <v>24667.119999999999</v>
      </c>
      <c r="E56" s="1"/>
      <c r="F56" s="5">
        <f t="shared" si="29"/>
        <v>7.9408909824985108E-2</v>
      </c>
      <c r="G56" s="1"/>
      <c r="H56" s="1">
        <f>SUM(OSRRefH22_10x_0)</f>
        <v>0</v>
      </c>
      <c r="I56" s="1"/>
      <c r="J56" s="5">
        <f t="shared" si="30"/>
        <v>0</v>
      </c>
      <c r="K56" s="1"/>
      <c r="L56" s="1">
        <f t="shared" si="31"/>
        <v>24667.119999999999</v>
      </c>
      <c r="M56" s="1"/>
      <c r="N56" s="5">
        <f t="shared" si="32"/>
        <v>0</v>
      </c>
      <c r="O56" s="14"/>
      <c r="P56" s="1">
        <f>SUM(OSRRefP22_10x_0)</f>
        <v>157678.63</v>
      </c>
      <c r="Q56" s="1"/>
      <c r="R56" s="5">
        <f t="shared" si="33"/>
        <v>7.7506237934951636E-2</v>
      </c>
      <c r="S56" s="1"/>
      <c r="T56" s="1">
        <f>SUM(OSRRefT22_10x_0)</f>
        <v>1912.17</v>
      </c>
      <c r="U56" s="1"/>
      <c r="V56" s="5">
        <f t="shared" si="34"/>
        <v>8.0336121320285767E-2</v>
      </c>
      <c r="W56" s="1"/>
      <c r="X56" s="1">
        <f t="shared" si="35"/>
        <v>155766.46</v>
      </c>
      <c r="Y56" s="1"/>
      <c r="Z56" s="5">
        <f t="shared" si="36"/>
        <v>81.460570974338054</v>
      </c>
    </row>
    <row r="57" spans="1:26" s="24" customFormat="1" hidden="1" outlineLevel="2" x14ac:dyDescent="0.3">
      <c r="A57" s="28"/>
      <c r="B57" s="11" t="str">
        <f>CONCATENATE("          ", "6387", " - ", "COMMISSION DUE HOUSING")</f>
        <v xml:space="preserve">          6387 - COMMISSION DUE HOUSING</v>
      </c>
      <c r="C57" s="11"/>
      <c r="D57" s="6">
        <v>24667.119999999999</v>
      </c>
      <c r="E57" s="2"/>
      <c r="F57" s="7">
        <f t="shared" si="29"/>
        <v>7.9408909824985108E-2</v>
      </c>
      <c r="G57" s="2"/>
      <c r="H57" s="6"/>
      <c r="I57" s="2"/>
      <c r="J57" s="7">
        <f t="shared" si="30"/>
        <v>0</v>
      </c>
      <c r="K57" s="2"/>
      <c r="L57" s="6">
        <f t="shared" si="31"/>
        <v>24667.119999999999</v>
      </c>
      <c r="M57" s="2"/>
      <c r="N57" s="7">
        <f t="shared" si="32"/>
        <v>0</v>
      </c>
      <c r="O57" s="11"/>
      <c r="P57" s="6">
        <v>157678.63</v>
      </c>
      <c r="Q57" s="2"/>
      <c r="R57" s="7">
        <f t="shared" si="33"/>
        <v>7.7506237934951636E-2</v>
      </c>
      <c r="S57" s="2"/>
      <c r="T57" s="6">
        <v>1912.17</v>
      </c>
      <c r="U57" s="2"/>
      <c r="V57" s="7">
        <f t="shared" si="34"/>
        <v>8.0336121320285767E-2</v>
      </c>
      <c r="W57" s="2"/>
      <c r="X57" s="6">
        <f t="shared" si="35"/>
        <v>155766.46</v>
      </c>
      <c r="Y57" s="2"/>
      <c r="Z57" s="7">
        <f t="shared" si="36"/>
        <v>81.460570974338054</v>
      </c>
    </row>
    <row r="58" spans="1:26" s="29" customFormat="1" outlineLevel="1" collapsed="1" x14ac:dyDescent="0.3">
      <c r="A58" s="27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SUM(OSRRefD22_11x_0)</f>
        <v>521.25</v>
      </c>
      <c r="E58" s="1"/>
      <c r="F58" s="5">
        <f t="shared" si="29"/>
        <v>1.6780189274740419E-3</v>
      </c>
      <c r="G58" s="1"/>
      <c r="H58" s="1">
        <f>SUM(OSRRefH22_11x_0)</f>
        <v>84.4</v>
      </c>
      <c r="I58" s="1"/>
      <c r="J58" s="5">
        <f t="shared" si="30"/>
        <v>0</v>
      </c>
      <c r="K58" s="1"/>
      <c r="L58" s="1">
        <f t="shared" si="31"/>
        <v>436.85</v>
      </c>
      <c r="M58" s="1"/>
      <c r="N58" s="5">
        <f t="shared" si="32"/>
        <v>5.1759478672985777</v>
      </c>
      <c r="O58" s="14"/>
      <c r="P58" s="1">
        <f>SUM(OSRRefP22_11x_0)</f>
        <v>2545.0499999999997</v>
      </c>
      <c r="Q58" s="1"/>
      <c r="R58" s="5">
        <f t="shared" si="33"/>
        <v>1.2510081477518458E-3</v>
      </c>
      <c r="S58" s="1"/>
      <c r="T58" s="1">
        <f>SUM(OSRRefT22_11x_0)</f>
        <v>1241.8499999999999</v>
      </c>
      <c r="U58" s="1"/>
      <c r="V58" s="5">
        <f t="shared" si="34"/>
        <v>5.2173924003408097E-2</v>
      </c>
      <c r="W58" s="1"/>
      <c r="X58" s="1">
        <f t="shared" si="35"/>
        <v>1303.1999999999998</v>
      </c>
      <c r="Y58" s="1"/>
      <c r="Z58" s="5">
        <f t="shared" si="36"/>
        <v>1.0494021017031041</v>
      </c>
    </row>
    <row r="59" spans="1:26" s="24" customFormat="1" hidden="1" outlineLevel="2" x14ac:dyDescent="0.3">
      <c r="A59" s="28"/>
      <c r="B59" s="11" t="str">
        <f>CONCATENATE("          ", "6373", " - ", "MAINTENANCE CONTRACTS")</f>
        <v xml:space="preserve">          6373 - MAINTENANCE CONTRACTS</v>
      </c>
      <c r="C59" s="11"/>
      <c r="D59" s="6">
        <v>87.37</v>
      </c>
      <c r="E59" s="2"/>
      <c r="F59" s="7">
        <f t="shared" si="29"/>
        <v>2.8126333562284329E-4</v>
      </c>
      <c r="G59" s="2"/>
      <c r="H59" s="6">
        <v>84.4</v>
      </c>
      <c r="I59" s="2"/>
      <c r="J59" s="7">
        <f t="shared" si="30"/>
        <v>0</v>
      </c>
      <c r="K59" s="2"/>
      <c r="L59" s="6">
        <f t="shared" si="31"/>
        <v>2.9699999999999989</v>
      </c>
      <c r="M59" s="2"/>
      <c r="N59" s="7">
        <f t="shared" si="32"/>
        <v>3.5189573459715622E-2</v>
      </c>
      <c r="O59" s="11"/>
      <c r="P59" s="6">
        <v>190.2</v>
      </c>
      <c r="Q59" s="2"/>
      <c r="R59" s="7">
        <f t="shared" si="33"/>
        <v>9.3491974500462099E-5</v>
      </c>
      <c r="S59" s="2"/>
      <c r="T59" s="6">
        <v>1241.8499999999999</v>
      </c>
      <c r="U59" s="2"/>
      <c r="V59" s="7">
        <f t="shared" si="34"/>
        <v>5.2173924003408097E-2</v>
      </c>
      <c r="W59" s="2"/>
      <c r="X59" s="6">
        <f t="shared" si="35"/>
        <v>-1051.6499999999999</v>
      </c>
      <c r="Y59" s="2"/>
      <c r="Z59" s="7">
        <f t="shared" si="36"/>
        <v>-0.84684140596690416</v>
      </c>
    </row>
    <row r="60" spans="1:26" s="24" customFormat="1" hidden="1" outlineLevel="2" x14ac:dyDescent="0.3">
      <c r="A60" s="28"/>
      <c r="B60" s="11" t="str">
        <f>CONCATENATE("          ", "6375", " - ", "OUTSIDE REPAIRS &amp; MAINTENANCE")</f>
        <v xml:space="preserve">          6375 - OUTSIDE REPAIRS &amp; MAINTENANCE</v>
      </c>
      <c r="C60" s="11"/>
      <c r="D60" s="6">
        <v>433.88</v>
      </c>
      <c r="E60" s="2"/>
      <c r="F60" s="7">
        <f t="shared" si="29"/>
        <v>1.3967555918511987E-3</v>
      </c>
      <c r="G60" s="2"/>
      <c r="H60" s="6"/>
      <c r="I60" s="2"/>
      <c r="J60" s="7">
        <f t="shared" si="30"/>
        <v>0</v>
      </c>
      <c r="K60" s="2"/>
      <c r="L60" s="6">
        <f t="shared" si="31"/>
        <v>433.88</v>
      </c>
      <c r="M60" s="2"/>
      <c r="N60" s="7">
        <f t="shared" si="32"/>
        <v>0</v>
      </c>
      <c r="O60" s="11"/>
      <c r="P60" s="6">
        <v>2354.85</v>
      </c>
      <c r="Q60" s="2"/>
      <c r="R60" s="7">
        <f t="shared" si="33"/>
        <v>1.1575161732513837E-3</v>
      </c>
      <c r="S60" s="2"/>
      <c r="T60" s="6"/>
      <c r="U60" s="2"/>
      <c r="V60" s="7">
        <f t="shared" si="34"/>
        <v>0</v>
      </c>
      <c r="W60" s="2"/>
      <c r="X60" s="6">
        <f t="shared" si="35"/>
        <v>2354.85</v>
      </c>
      <c r="Y60" s="2"/>
      <c r="Z60" s="7">
        <f t="shared" si="36"/>
        <v>0</v>
      </c>
    </row>
    <row r="61" spans="1:26" s="29" customFormat="1" outlineLevel="1" collapsed="1" x14ac:dyDescent="0.3">
      <c r="A61" s="27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SUM(OSRRefD22_12x_0)</f>
        <v>4428.8599999999997</v>
      </c>
      <c r="E61" s="1"/>
      <c r="F61" s="5">
        <f t="shared" ref="F61:F64" si="37">IF(D$12=0,0,D61/D$12)</f>
        <v>1.4257478958527933E-2</v>
      </c>
      <c r="G61" s="1"/>
      <c r="H61" s="1">
        <f>SUM(OSRRefH22_12x_0)</f>
        <v>5385.85</v>
      </c>
      <c r="I61" s="1"/>
      <c r="J61" s="5">
        <f t="shared" ref="J61:J64" si="38">IF(H$12=0,0,H61/H$12)</f>
        <v>0</v>
      </c>
      <c r="K61" s="1"/>
      <c r="L61" s="1">
        <f t="shared" ref="L61:L64" si="39">+D61-H61</f>
        <v>-956.99000000000069</v>
      </c>
      <c r="M61" s="1"/>
      <c r="N61" s="5">
        <f t="shared" ref="N61:N64" si="40">IF(H61=0,0,L61/H61)</f>
        <v>-0.17768597343037787</v>
      </c>
      <c r="O61" s="14"/>
      <c r="P61" s="1">
        <f>SUM(OSRRefP22_12x_0)</f>
        <v>31042.199999999997</v>
      </c>
      <c r="Q61" s="1"/>
      <c r="R61" s="5">
        <f t="shared" ref="R61:R64" si="41">IF(P$12=0,0,P61/P$12)</f>
        <v>1.5258657049622737E-2</v>
      </c>
      <c r="S61" s="1"/>
      <c r="T61" s="1">
        <f>SUM(OSRRefT22_12x_0)</f>
        <v>35507.58</v>
      </c>
      <c r="U61" s="1"/>
      <c r="V61" s="5">
        <f t="shared" ref="V61:V64" si="42">IF(T$12=0,0,T61/T$12)</f>
        <v>1.491782244606783</v>
      </c>
      <c r="W61" s="1"/>
      <c r="X61" s="1">
        <f t="shared" ref="X61:X64" si="43">+P61-T61</f>
        <v>-4465.3800000000047</v>
      </c>
      <c r="Y61" s="1"/>
      <c r="Z61" s="5">
        <f t="shared" ref="Z61:Z64" si="44">IF(T61=0,0,X61/T61)</f>
        <v>-0.12575850001605304</v>
      </c>
    </row>
    <row r="62" spans="1:26" s="24" customFormat="1" hidden="1" outlineLevel="2" x14ac:dyDescent="0.3">
      <c r="A62" s="28"/>
      <c r="B62" s="11" t="str">
        <f>CONCATENATE("          ", "6282", " - ", "JANITORIAL/EXTERMINATOR EXPENS")</f>
        <v xml:space="preserve">          6282 - JANITORIAL/EXTERMINATOR EXPENS</v>
      </c>
      <c r="C62" s="11"/>
      <c r="D62" s="6"/>
      <c r="E62" s="2"/>
      <c r="F62" s="7">
        <f t="shared" si="37"/>
        <v>0</v>
      </c>
      <c r="G62" s="2"/>
      <c r="H62" s="6">
        <v>792.32</v>
      </c>
      <c r="I62" s="2"/>
      <c r="J62" s="7">
        <f t="shared" si="38"/>
        <v>0</v>
      </c>
      <c r="K62" s="2"/>
      <c r="L62" s="6">
        <f t="shared" si="39"/>
        <v>-792.32</v>
      </c>
      <c r="M62" s="2"/>
      <c r="N62" s="7">
        <f t="shared" si="40"/>
        <v>-1</v>
      </c>
      <c r="O62" s="11"/>
      <c r="P62" s="6">
        <v>2504.12</v>
      </c>
      <c r="Q62" s="2"/>
      <c r="R62" s="7">
        <f t="shared" si="41"/>
        <v>1.230889186046778E-3</v>
      </c>
      <c r="S62" s="2"/>
      <c r="T62" s="6">
        <v>1757.66</v>
      </c>
      <c r="U62" s="2"/>
      <c r="V62" s="7">
        <f t="shared" si="42"/>
        <v>7.3844682742545631E-2</v>
      </c>
      <c r="W62" s="2"/>
      <c r="X62" s="6">
        <f t="shared" si="43"/>
        <v>746.45999999999981</v>
      </c>
      <c r="Y62" s="2"/>
      <c r="Z62" s="7">
        <f t="shared" si="44"/>
        <v>0.4246896441860199</v>
      </c>
    </row>
    <row r="63" spans="1:26" s="24" customFormat="1" hidden="1" outlineLevel="2" x14ac:dyDescent="0.3">
      <c r="A63" s="28"/>
      <c r="B63" s="11" t="str">
        <f>CONCATENATE("          ", "6285", " - ", "JANITORIAL SERVICES")</f>
        <v xml:space="preserve">          6285 - JANITORIAL SERVICES</v>
      </c>
      <c r="C63" s="11"/>
      <c r="D63" s="6">
        <v>4428.8599999999997</v>
      </c>
      <c r="E63" s="2"/>
      <c r="F63" s="7">
        <f t="shared" si="37"/>
        <v>1.4257478958527933E-2</v>
      </c>
      <c r="G63" s="2"/>
      <c r="H63" s="6">
        <v>4157.05</v>
      </c>
      <c r="I63" s="2"/>
      <c r="J63" s="7">
        <f t="shared" si="38"/>
        <v>0</v>
      </c>
      <c r="K63" s="2"/>
      <c r="L63" s="6">
        <f t="shared" si="39"/>
        <v>271.80999999999949</v>
      </c>
      <c r="M63" s="2"/>
      <c r="N63" s="7">
        <f t="shared" si="40"/>
        <v>6.5385309293850086E-2</v>
      </c>
      <c r="O63" s="11"/>
      <c r="P63" s="6">
        <v>27056.16</v>
      </c>
      <c r="Q63" s="2"/>
      <c r="R63" s="7">
        <f t="shared" si="41"/>
        <v>1.3299336597268259E-2</v>
      </c>
      <c r="S63" s="2"/>
      <c r="T63" s="6">
        <v>29099.35</v>
      </c>
      <c r="U63" s="2"/>
      <c r="V63" s="7">
        <f t="shared" si="42"/>
        <v>1.2225528650389126</v>
      </c>
      <c r="W63" s="2"/>
      <c r="X63" s="6">
        <f t="shared" si="43"/>
        <v>-2043.1899999999987</v>
      </c>
      <c r="Y63" s="2"/>
      <c r="Z63" s="7">
        <f t="shared" si="44"/>
        <v>-7.0214283136908515E-2</v>
      </c>
    </row>
    <row r="64" spans="1:26" s="24" customFormat="1" hidden="1" outlineLevel="2" x14ac:dyDescent="0.3">
      <c r="A64" s="28"/>
      <c r="B64" s="11" t="str">
        <f>CONCATENATE("          ", "6286", " - ", "LAUNDRY EXPENSE")</f>
        <v xml:space="preserve">          6286 - LAUNDRY EXPENSE</v>
      </c>
      <c r="C64" s="11"/>
      <c r="D64" s="6"/>
      <c r="E64" s="2"/>
      <c r="F64" s="7">
        <f t="shared" si="37"/>
        <v>0</v>
      </c>
      <c r="G64" s="2"/>
      <c r="H64" s="6">
        <v>436.48</v>
      </c>
      <c r="I64" s="2"/>
      <c r="J64" s="7">
        <f t="shared" si="38"/>
        <v>0</v>
      </c>
      <c r="K64" s="2"/>
      <c r="L64" s="6">
        <f t="shared" si="39"/>
        <v>-436.48</v>
      </c>
      <c r="M64" s="2"/>
      <c r="N64" s="7">
        <f t="shared" si="40"/>
        <v>-1</v>
      </c>
      <c r="O64" s="11"/>
      <c r="P64" s="6">
        <v>1481.92</v>
      </c>
      <c r="Q64" s="2"/>
      <c r="R64" s="7">
        <f t="shared" si="41"/>
        <v>7.2843126630770146E-4</v>
      </c>
      <c r="S64" s="2"/>
      <c r="T64" s="6">
        <v>4650.57</v>
      </c>
      <c r="U64" s="2"/>
      <c r="V64" s="7">
        <f t="shared" si="42"/>
        <v>0.19538469682532481</v>
      </c>
      <c r="W64" s="2"/>
      <c r="X64" s="6">
        <f t="shared" si="43"/>
        <v>-3168.6499999999996</v>
      </c>
      <c r="Y64" s="2"/>
      <c r="Z64" s="7">
        <f t="shared" si="44"/>
        <v>-0.68134658762259248</v>
      </c>
    </row>
    <row r="65" spans="1:26" s="29" customFormat="1" outlineLevel="1" collapsed="1" x14ac:dyDescent="0.3">
      <c r="A65" s="27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SUM(OSRRefD22_13x_0)</f>
        <v>4928.51</v>
      </c>
      <c r="E65" s="1"/>
      <c r="F65" s="5">
        <f t="shared" ref="F65:F73" si="45">IF(D$12=0,0,D65/D$12)</f>
        <v>1.586596271318003E-2</v>
      </c>
      <c r="G65" s="1"/>
      <c r="H65" s="1">
        <f>SUM(OSRRefH22_13x_0)</f>
        <v>1335.29</v>
      </c>
      <c r="I65" s="1"/>
      <c r="J65" s="5">
        <f t="shared" ref="J65:J73" si="46">IF(H$12=0,0,H65/H$12)</f>
        <v>0</v>
      </c>
      <c r="K65" s="1"/>
      <c r="L65" s="1">
        <f t="shared" ref="L65:L73" si="47">+D65-H65</f>
        <v>3593.2200000000003</v>
      </c>
      <c r="M65" s="1"/>
      <c r="N65" s="5">
        <f t="shared" ref="N65:N73" si="48">IF(H65=0,0,L65/H65)</f>
        <v>2.6909660073841639</v>
      </c>
      <c r="O65" s="14"/>
      <c r="P65" s="1">
        <f>SUM(OSRRefP22_13x_0)</f>
        <v>43822.880000000005</v>
      </c>
      <c r="Q65" s="1"/>
      <c r="R65" s="5">
        <f t="shared" ref="R65:R73" si="49">IF(P$12=0,0,P65/P$12)</f>
        <v>2.1540944161392277E-2</v>
      </c>
      <c r="S65" s="1"/>
      <c r="T65" s="1">
        <f>SUM(OSRRefT22_13x_0)</f>
        <v>9321.68</v>
      </c>
      <c r="U65" s="1"/>
      <c r="V65" s="5">
        <f t="shared" ref="V65:V73" si="50">IF(T$12=0,0,T65/T$12)</f>
        <v>0.39163234199306618</v>
      </c>
      <c r="W65" s="1"/>
      <c r="X65" s="1">
        <f t="shared" ref="X65:X73" si="51">+P65-T65</f>
        <v>34501.200000000004</v>
      </c>
      <c r="Y65" s="1"/>
      <c r="Z65" s="5">
        <f t="shared" ref="Z65:Z73" si="52">IF(T65=0,0,X65/T65)</f>
        <v>3.7011783283699939</v>
      </c>
    </row>
    <row r="66" spans="1:26" s="24" customFormat="1" hidden="1" outlineLevel="2" x14ac:dyDescent="0.3">
      <c r="A66" s="28"/>
      <c r="B66" s="11" t="str">
        <f>CONCATENATE("          ", "6234", " - ", "EXPENDABLE SUPPLIES &amp; EQUIPMEN")</f>
        <v xml:space="preserve">          6234 - EXPENDABLE SUPPLIES &amp; EQUIPMEN</v>
      </c>
      <c r="C66" s="11"/>
      <c r="D66" s="6"/>
      <c r="E66" s="2"/>
      <c r="F66" s="7">
        <f t="shared" si="45"/>
        <v>0</v>
      </c>
      <c r="G66" s="2"/>
      <c r="H66" s="6"/>
      <c r="I66" s="2"/>
      <c r="J66" s="7">
        <f t="shared" si="46"/>
        <v>0</v>
      </c>
      <c r="K66" s="2"/>
      <c r="L66" s="6">
        <f t="shared" si="47"/>
        <v>0</v>
      </c>
      <c r="M66" s="2"/>
      <c r="N66" s="7">
        <f t="shared" si="48"/>
        <v>0</v>
      </c>
      <c r="O66" s="11"/>
      <c r="P66" s="6">
        <v>21.98</v>
      </c>
      <c r="Q66" s="2"/>
      <c r="R66" s="7">
        <f t="shared" si="49"/>
        <v>1.0804172447529743E-5</v>
      </c>
      <c r="S66" s="2"/>
      <c r="T66" s="6"/>
      <c r="U66" s="2"/>
      <c r="V66" s="7">
        <f t="shared" si="50"/>
        <v>0</v>
      </c>
      <c r="W66" s="2"/>
      <c r="X66" s="6">
        <f t="shared" si="51"/>
        <v>21.98</v>
      </c>
      <c r="Y66" s="2"/>
      <c r="Z66" s="7">
        <f t="shared" si="52"/>
        <v>0</v>
      </c>
    </row>
    <row r="67" spans="1:26" s="24" customFormat="1" hidden="1" outlineLevel="2" x14ac:dyDescent="0.3">
      <c r="A67" s="28"/>
      <c r="B67" s="11" t="str">
        <f>CONCATENATE("          ", "6235", " - ", "COVID-19 EXPENSES")</f>
        <v xml:space="preserve">          6235 - COVID-19 EXPENSES</v>
      </c>
      <c r="C67" s="11"/>
      <c r="D67" s="6"/>
      <c r="E67" s="2"/>
      <c r="F67" s="7">
        <f t="shared" si="45"/>
        <v>0</v>
      </c>
      <c r="G67" s="2"/>
      <c r="H67" s="6"/>
      <c r="I67" s="2"/>
      <c r="J67" s="7">
        <f t="shared" si="46"/>
        <v>0</v>
      </c>
      <c r="K67" s="2"/>
      <c r="L67" s="6">
        <f t="shared" si="47"/>
        <v>0</v>
      </c>
      <c r="M67" s="2"/>
      <c r="N67" s="7">
        <f t="shared" si="48"/>
        <v>0</v>
      </c>
      <c r="O67" s="11"/>
      <c r="P67" s="6"/>
      <c r="Q67" s="2"/>
      <c r="R67" s="7">
        <f t="shared" si="49"/>
        <v>0</v>
      </c>
      <c r="S67" s="2"/>
      <c r="T67" s="6">
        <v>1375.08</v>
      </c>
      <c r="U67" s="2"/>
      <c r="V67" s="7">
        <f t="shared" si="50"/>
        <v>5.7771324571088627E-2</v>
      </c>
      <c r="W67" s="2"/>
      <c r="X67" s="6">
        <f t="shared" si="51"/>
        <v>-1375.08</v>
      </c>
      <c r="Y67" s="2"/>
      <c r="Z67" s="7">
        <f t="shared" si="52"/>
        <v>-1</v>
      </c>
    </row>
    <row r="68" spans="1:26" s="24" customFormat="1" hidden="1" outlineLevel="2" x14ac:dyDescent="0.3">
      <c r="A68" s="28"/>
      <c r="B68" s="11" t="str">
        <f>CONCATENATE("          ", "6237", " - ", "JANITORIAL SUPPLIES")</f>
        <v xml:space="preserve">          6237 - JANITORIAL SUPPLIES</v>
      </c>
      <c r="C68" s="11"/>
      <c r="D68" s="6">
        <v>1102.43</v>
      </c>
      <c r="E68" s="2"/>
      <c r="F68" s="7">
        <f t="shared" si="45"/>
        <v>3.5489657673193442E-3</v>
      </c>
      <c r="G68" s="2"/>
      <c r="H68" s="6">
        <v>1335.29</v>
      </c>
      <c r="I68" s="2"/>
      <c r="J68" s="7">
        <f t="shared" si="46"/>
        <v>0</v>
      </c>
      <c r="K68" s="2"/>
      <c r="L68" s="6">
        <f t="shared" si="47"/>
        <v>-232.8599999999999</v>
      </c>
      <c r="M68" s="2"/>
      <c r="N68" s="7">
        <f t="shared" si="48"/>
        <v>-0.17438908401920175</v>
      </c>
      <c r="O68" s="11"/>
      <c r="P68" s="6">
        <v>7525.63</v>
      </c>
      <c r="Q68" s="2"/>
      <c r="R68" s="7">
        <f t="shared" si="49"/>
        <v>3.6991903683486469E-3</v>
      </c>
      <c r="S68" s="2"/>
      <c r="T68" s="6">
        <v>3886.28</v>
      </c>
      <c r="U68" s="2"/>
      <c r="V68" s="7">
        <f t="shared" si="50"/>
        <v>0.16327453184842361</v>
      </c>
      <c r="W68" s="2"/>
      <c r="X68" s="6">
        <f t="shared" si="51"/>
        <v>3639.35</v>
      </c>
      <c r="Y68" s="2"/>
      <c r="Z68" s="7">
        <f t="shared" si="52"/>
        <v>0.93646108875325496</v>
      </c>
    </row>
    <row r="69" spans="1:26" s="24" customFormat="1" hidden="1" outlineLevel="2" x14ac:dyDescent="0.3">
      <c r="A69" s="28"/>
      <c r="B69" s="11" t="str">
        <f>CONCATENATE("          ", "6239", " - ", "KITCHEN SUPPLIES")</f>
        <v xml:space="preserve">          6239 - KITCHEN SUPPLIES</v>
      </c>
      <c r="C69" s="11"/>
      <c r="D69" s="6"/>
      <c r="E69" s="2"/>
      <c r="F69" s="7">
        <f t="shared" si="45"/>
        <v>0</v>
      </c>
      <c r="G69" s="2"/>
      <c r="H69" s="6"/>
      <c r="I69" s="2"/>
      <c r="J69" s="7">
        <f t="shared" si="46"/>
        <v>0</v>
      </c>
      <c r="K69" s="2"/>
      <c r="L69" s="6">
        <f t="shared" si="47"/>
        <v>0</v>
      </c>
      <c r="M69" s="2"/>
      <c r="N69" s="7">
        <f t="shared" si="48"/>
        <v>0</v>
      </c>
      <c r="O69" s="11"/>
      <c r="P69" s="6">
        <v>5556.93</v>
      </c>
      <c r="Q69" s="2"/>
      <c r="R69" s="7">
        <f t="shared" si="49"/>
        <v>2.7314845313399206E-3</v>
      </c>
      <c r="S69" s="2"/>
      <c r="T69" s="6">
        <v>1031.07</v>
      </c>
      <c r="U69" s="2"/>
      <c r="V69" s="7">
        <f t="shared" si="50"/>
        <v>4.3318410292864672E-2</v>
      </c>
      <c r="W69" s="2"/>
      <c r="X69" s="6">
        <f t="shared" si="51"/>
        <v>4525.8600000000006</v>
      </c>
      <c r="Y69" s="2"/>
      <c r="Z69" s="7">
        <f t="shared" si="52"/>
        <v>4.3894788908609508</v>
      </c>
    </row>
    <row r="70" spans="1:26" s="24" customFormat="1" hidden="1" outlineLevel="2" x14ac:dyDescent="0.3">
      <c r="A70" s="28"/>
      <c r="B70" s="11" t="str">
        <f>CONCATENATE("          ", "6241", " - ", "OFFICE EXPENSE")</f>
        <v xml:space="preserve">          6241 - OFFICE EXPENSE</v>
      </c>
      <c r="C70" s="11"/>
      <c r="D70" s="6">
        <v>165.39</v>
      </c>
      <c r="E70" s="2"/>
      <c r="F70" s="7">
        <f t="shared" si="45"/>
        <v>5.3242695523248297E-4</v>
      </c>
      <c r="G70" s="2"/>
      <c r="H70" s="6"/>
      <c r="I70" s="2"/>
      <c r="J70" s="7">
        <f t="shared" si="46"/>
        <v>0</v>
      </c>
      <c r="K70" s="2"/>
      <c r="L70" s="6">
        <f t="shared" si="47"/>
        <v>165.39</v>
      </c>
      <c r="M70" s="2"/>
      <c r="N70" s="7">
        <f t="shared" si="48"/>
        <v>0</v>
      </c>
      <c r="O70" s="11"/>
      <c r="P70" s="6">
        <v>2962.84</v>
      </c>
      <c r="Q70" s="2"/>
      <c r="R70" s="7">
        <f t="shared" si="49"/>
        <v>1.4563709870081449E-3</v>
      </c>
      <c r="S70" s="2"/>
      <c r="T70" s="6">
        <v>19.7</v>
      </c>
      <c r="U70" s="2"/>
      <c r="V70" s="7">
        <f t="shared" si="50"/>
        <v>8.2765736833525757E-4</v>
      </c>
      <c r="W70" s="2"/>
      <c r="X70" s="6">
        <f t="shared" si="51"/>
        <v>2943.1400000000003</v>
      </c>
      <c r="Y70" s="2"/>
      <c r="Z70" s="7">
        <f t="shared" si="52"/>
        <v>149.39796954314724</v>
      </c>
    </row>
    <row r="71" spans="1:26" s="24" customFormat="1" hidden="1" outlineLevel="2" x14ac:dyDescent="0.3">
      <c r="A71" s="28"/>
      <c r="B71" s="11" t="str">
        <f>CONCATENATE("          ", "6243", " - ", "PAPER SUPPLIES")</f>
        <v xml:space="preserve">          6243 - PAPER SUPPLIES</v>
      </c>
      <c r="C71" s="11"/>
      <c r="D71" s="6">
        <v>3660.69</v>
      </c>
      <c r="E71" s="2"/>
      <c r="F71" s="7">
        <f t="shared" si="45"/>
        <v>1.1784569990628203E-2</v>
      </c>
      <c r="G71" s="2"/>
      <c r="H71" s="6"/>
      <c r="I71" s="2"/>
      <c r="J71" s="7">
        <f t="shared" si="46"/>
        <v>0</v>
      </c>
      <c r="K71" s="2"/>
      <c r="L71" s="6">
        <f t="shared" si="47"/>
        <v>3660.69</v>
      </c>
      <c r="M71" s="2"/>
      <c r="N71" s="7">
        <f t="shared" si="48"/>
        <v>0</v>
      </c>
      <c r="O71" s="11"/>
      <c r="P71" s="6">
        <v>25677.17</v>
      </c>
      <c r="Q71" s="2"/>
      <c r="R71" s="7">
        <f t="shared" si="49"/>
        <v>1.2621500120315618E-2</v>
      </c>
      <c r="S71" s="2"/>
      <c r="T71" s="6">
        <v>3009.55</v>
      </c>
      <c r="U71" s="2"/>
      <c r="V71" s="7">
        <f t="shared" si="50"/>
        <v>0.12644041791235403</v>
      </c>
      <c r="W71" s="2"/>
      <c r="X71" s="6">
        <f t="shared" si="51"/>
        <v>22667.62</v>
      </c>
      <c r="Y71" s="2"/>
      <c r="Z71" s="7">
        <f t="shared" si="52"/>
        <v>7.5318967952019396</v>
      </c>
    </row>
    <row r="72" spans="1:26" s="24" customFormat="1" hidden="1" outlineLevel="2" x14ac:dyDescent="0.3">
      <c r="A72" s="28"/>
      <c r="B72" s="11" t="str">
        <f>CONCATENATE("          ", "6247", " - ", "STORE SUPPLIES")</f>
        <v xml:space="preserve">          6247 - STORE SUPPLIES</v>
      </c>
      <c r="C72" s="11"/>
      <c r="D72" s="6"/>
      <c r="E72" s="2"/>
      <c r="F72" s="7">
        <f t="shared" si="45"/>
        <v>0</v>
      </c>
      <c r="G72" s="2"/>
      <c r="H72" s="6"/>
      <c r="I72" s="2"/>
      <c r="J72" s="7">
        <f t="shared" si="46"/>
        <v>0</v>
      </c>
      <c r="K72" s="2"/>
      <c r="L72" s="6">
        <f t="shared" si="47"/>
        <v>0</v>
      </c>
      <c r="M72" s="2"/>
      <c r="N72" s="7">
        <f t="shared" si="48"/>
        <v>0</v>
      </c>
      <c r="O72" s="11"/>
      <c r="P72" s="6">
        <v>207.93</v>
      </c>
      <c r="Q72" s="2"/>
      <c r="R72" s="7">
        <f t="shared" si="49"/>
        <v>1.0220707811714557E-4</v>
      </c>
      <c r="S72" s="2"/>
      <c r="T72" s="6"/>
      <c r="U72" s="2"/>
      <c r="V72" s="7">
        <f t="shared" si="50"/>
        <v>0</v>
      </c>
      <c r="W72" s="2"/>
      <c r="X72" s="6">
        <f t="shared" si="51"/>
        <v>207.93</v>
      </c>
      <c r="Y72" s="2"/>
      <c r="Z72" s="7">
        <f t="shared" si="52"/>
        <v>0</v>
      </c>
    </row>
    <row r="73" spans="1:26" s="24" customFormat="1" hidden="1" outlineLevel="2" x14ac:dyDescent="0.3">
      <c r="A73" s="28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45"/>
        <v>0</v>
      </c>
      <c r="G73" s="2"/>
      <c r="H73" s="6"/>
      <c r="I73" s="2"/>
      <c r="J73" s="7">
        <f t="shared" si="46"/>
        <v>0</v>
      </c>
      <c r="K73" s="2"/>
      <c r="L73" s="6">
        <f t="shared" si="47"/>
        <v>0</v>
      </c>
      <c r="M73" s="2"/>
      <c r="N73" s="7">
        <f t="shared" si="48"/>
        <v>0</v>
      </c>
      <c r="O73" s="11"/>
      <c r="P73" s="6">
        <v>1870.4</v>
      </c>
      <c r="Q73" s="2"/>
      <c r="R73" s="7">
        <f t="shared" si="49"/>
        <v>9.1938690381526992E-4</v>
      </c>
      <c r="S73" s="2"/>
      <c r="T73" s="6"/>
      <c r="U73" s="2"/>
      <c r="V73" s="7">
        <f t="shared" si="50"/>
        <v>0</v>
      </c>
      <c r="W73" s="2"/>
      <c r="X73" s="6">
        <f t="shared" si="51"/>
        <v>1870.4</v>
      </c>
      <c r="Y73" s="2"/>
      <c r="Z73" s="7">
        <f t="shared" si="52"/>
        <v>0</v>
      </c>
    </row>
    <row r="74" spans="1:26" s="29" customFormat="1" outlineLevel="1" collapsed="1" x14ac:dyDescent="0.3">
      <c r="A74" s="27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SUM(OSRRefD22_14x_0)</f>
        <v>89</v>
      </c>
      <c r="E74" s="1"/>
      <c r="F74" s="5">
        <f t="shared" ref="F74:F75" si="53">IF(D$12=0,0,D74/D$12)</f>
        <v>2.86510665794129E-4</v>
      </c>
      <c r="G74" s="1"/>
      <c r="H74" s="1">
        <f>SUM(OSRRefH22_14x_0)</f>
        <v>139</v>
      </c>
      <c r="I74" s="1"/>
      <c r="J74" s="5">
        <f t="shared" ref="J74:J75" si="54">IF(H$12=0,0,H74/H$12)</f>
        <v>0</v>
      </c>
      <c r="K74" s="1"/>
      <c r="L74" s="1">
        <f t="shared" ref="L74:L75" si="55">+D74-H74</f>
        <v>-50</v>
      </c>
      <c r="M74" s="1"/>
      <c r="N74" s="5">
        <f t="shared" ref="N74:N75" si="56">IF(H74=0,0,L74/H74)</f>
        <v>-0.35971223021582732</v>
      </c>
      <c r="O74" s="14"/>
      <c r="P74" s="1">
        <f>SUM(OSRRefP22_14x_0)</f>
        <v>1284</v>
      </c>
      <c r="Q74" s="1"/>
      <c r="R74" s="5">
        <f t="shared" ref="R74:R75" si="57">IF(P$12=0,0,P74/P$12)</f>
        <v>6.3114455971920787E-4</v>
      </c>
      <c r="S74" s="1"/>
      <c r="T74" s="1">
        <f>SUM(OSRRefT22_14x_0)</f>
        <v>920</v>
      </c>
      <c r="U74" s="1"/>
      <c r="V74" s="5">
        <f t="shared" ref="V74:V75" si="58">IF(T$12=0,0,T74/T$12)</f>
        <v>3.8652019231900356E-2</v>
      </c>
      <c r="W74" s="1"/>
      <c r="X74" s="1">
        <f t="shared" ref="X74:X75" si="59">+P74-T74</f>
        <v>364</v>
      </c>
      <c r="Y74" s="1"/>
      <c r="Z74" s="5">
        <f t="shared" ref="Z74:Z75" si="60">IF(T74=0,0,X74/T74)</f>
        <v>0.39565217391304347</v>
      </c>
    </row>
    <row r="75" spans="1:26" s="24" customFormat="1" hidden="1" outlineLevel="2" x14ac:dyDescent="0.3">
      <c r="A75" s="28"/>
      <c r="B75" s="11" t="str">
        <f>CONCATENATE("          ", "6309", " - ", "TELEPHONE")</f>
        <v xml:space="preserve">          6309 - TELEPHONE</v>
      </c>
      <c r="C75" s="11"/>
      <c r="D75" s="6">
        <v>89</v>
      </c>
      <c r="E75" s="2"/>
      <c r="F75" s="7">
        <f t="shared" si="53"/>
        <v>2.86510665794129E-4</v>
      </c>
      <c r="G75" s="2"/>
      <c r="H75" s="6">
        <v>139</v>
      </c>
      <c r="I75" s="2"/>
      <c r="J75" s="7">
        <f t="shared" si="54"/>
        <v>0</v>
      </c>
      <c r="K75" s="2"/>
      <c r="L75" s="6">
        <f t="shared" si="55"/>
        <v>-50</v>
      </c>
      <c r="M75" s="2"/>
      <c r="N75" s="7">
        <f t="shared" si="56"/>
        <v>-0.35971223021582732</v>
      </c>
      <c r="O75" s="11"/>
      <c r="P75" s="6">
        <v>1284</v>
      </c>
      <c r="Q75" s="2"/>
      <c r="R75" s="7">
        <f t="shared" si="57"/>
        <v>6.3114455971920787E-4</v>
      </c>
      <c r="S75" s="2"/>
      <c r="T75" s="6">
        <v>920</v>
      </c>
      <c r="U75" s="2"/>
      <c r="V75" s="7">
        <f t="shared" si="58"/>
        <v>3.8652019231900356E-2</v>
      </c>
      <c r="W75" s="2"/>
      <c r="X75" s="6">
        <f t="shared" si="59"/>
        <v>364</v>
      </c>
      <c r="Y75" s="2"/>
      <c r="Z75" s="7">
        <f t="shared" si="60"/>
        <v>0.39565217391304347</v>
      </c>
    </row>
    <row r="76" spans="1:26" s="53" customFormat="1" x14ac:dyDescent="0.3">
      <c r="A76" s="37"/>
      <c r="B76" s="37"/>
      <c r="C76" s="37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3">
      <c r="A77" s="10"/>
      <c r="B77" s="25" t="s">
        <v>292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3">
      <c r="A79" s="10"/>
      <c r="B79" s="26" t="s">
        <v>276</v>
      </c>
      <c r="C79" s="26"/>
      <c r="D79" s="20">
        <f>+D21-D23+D77</f>
        <v>95057.420000000013</v>
      </c>
      <c r="E79" s="13"/>
      <c r="F79" s="21">
        <f>IF(D$12=0,0,D79/D$12)</f>
        <v>0.30601083924575456</v>
      </c>
      <c r="G79" s="13"/>
      <c r="H79" s="20">
        <f>+H21-H23+H77</f>
        <v>-46482.100000000013</v>
      </c>
      <c r="I79" s="13"/>
      <c r="J79" s="21">
        <f>IF(H$12=0,0,H79/H$12)</f>
        <v>0</v>
      </c>
      <c r="K79" s="15"/>
      <c r="L79" s="20">
        <f>+D79-H79</f>
        <v>141539.52000000002</v>
      </c>
      <c r="M79" s="15"/>
      <c r="N79" s="21">
        <f>IF(H79=0,0,L79/H79)</f>
        <v>-3.0450328190851956</v>
      </c>
      <c r="O79" s="25"/>
      <c r="P79" s="20">
        <f>+P21-P23+P77</f>
        <v>698620.0299999998</v>
      </c>
      <c r="Q79" s="13"/>
      <c r="R79" s="21">
        <f>IF(P$12=0,0,P79/P$12)</f>
        <v>0.34340360688891719</v>
      </c>
      <c r="S79" s="13"/>
      <c r="T79" s="20">
        <f>+T21-T23+T77</f>
        <v>-318605.05999999994</v>
      </c>
      <c r="U79" s="13"/>
      <c r="V79" s="21">
        <f>IF(T$12=0,0,T79/T$12)</f>
        <v>-13.385574898370395</v>
      </c>
      <c r="W79" s="15"/>
      <c r="X79" s="20">
        <f>+P79-T79</f>
        <v>1017225.0899999997</v>
      </c>
      <c r="Y79" s="15"/>
      <c r="Z79" s="21">
        <f>IF(T79=0,0,X79/T79)</f>
        <v>-3.1927461855125587</v>
      </c>
    </row>
    <row r="80" spans="1:26" x14ac:dyDescent="0.3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3">
      <c r="A81" s="51"/>
      <c r="B81" s="10" t="s">
        <v>127</v>
      </c>
      <c r="C81" s="10"/>
      <c r="D81" s="4">
        <v>39561.599999999999</v>
      </c>
      <c r="E81" s="4"/>
      <c r="F81" s="12">
        <f>IF(D$12=0,0,D81/D$12)</f>
        <v>0.12735753208855072</v>
      </c>
      <c r="G81" s="4"/>
      <c r="H81" s="4">
        <v>621.74</v>
      </c>
      <c r="I81" s="4"/>
      <c r="J81" s="12">
        <f>IF(H$12=0,0,H81/H$12)</f>
        <v>0</v>
      </c>
      <c r="K81" s="4"/>
      <c r="L81" s="4">
        <f>+D81-H81</f>
        <v>38939.86</v>
      </c>
      <c r="M81" s="4"/>
      <c r="N81" s="12">
        <f>IF(H81=0,0,L81/H81)</f>
        <v>62.630456460900056</v>
      </c>
      <c r="O81" s="10"/>
      <c r="P81" s="4">
        <v>244882.26</v>
      </c>
      <c r="Q81" s="4"/>
      <c r="R81" s="12">
        <f>IF(P$12=0,0,P81/P$12)</f>
        <v>0.12037079919839923</v>
      </c>
      <c r="S81" s="4"/>
      <c r="T81" s="4">
        <v>4403.8999999999996</v>
      </c>
      <c r="U81" s="4"/>
      <c r="V81" s="12">
        <f>IF(T$12=0,0,T81/T$12)</f>
        <v>0.18502133423409342</v>
      </c>
      <c r="W81" s="4"/>
      <c r="X81" s="4">
        <f>+P81-T81</f>
        <v>240478.36000000002</v>
      </c>
      <c r="Y81" s="4"/>
      <c r="Z81" s="12">
        <f>IF(T81=0,0,X81/T81)</f>
        <v>54.605772156497657</v>
      </c>
    </row>
    <row r="82" spans="1:26" x14ac:dyDescent="0.3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" thickBot="1" x14ac:dyDescent="0.35">
      <c r="A83" s="10"/>
      <c r="B83" s="26" t="s">
        <v>125</v>
      </c>
      <c r="C83" s="26"/>
      <c r="D83" s="32">
        <f>+D79-D81</f>
        <v>55495.820000000014</v>
      </c>
      <c r="E83" s="13"/>
      <c r="F83" s="35">
        <f>IF(D$12=0,0,D83/D$12)</f>
        <v>0.17865330715720384</v>
      </c>
      <c r="G83" s="13"/>
      <c r="H83" s="32">
        <f>+H79-H81</f>
        <v>-47103.840000000011</v>
      </c>
      <c r="I83" s="13"/>
      <c r="J83" s="35">
        <f>IF(H$12=0,0,H83/H$12)</f>
        <v>0</v>
      </c>
      <c r="K83" s="15"/>
      <c r="L83" s="32">
        <f>D83-H83</f>
        <v>102599.66000000003</v>
      </c>
      <c r="M83" s="15"/>
      <c r="N83" s="35">
        <f>IF(H83=0,0,L83/H83)</f>
        <v>-2.1781591479590627</v>
      </c>
      <c r="O83" s="25"/>
      <c r="P83" s="32">
        <f>+P79-P81</f>
        <v>453737.76999999979</v>
      </c>
      <c r="Q83" s="13"/>
      <c r="R83" s="35">
        <f>IF(P$12=0,0,P83/P$12)</f>
        <v>0.22303280769051798</v>
      </c>
      <c r="S83" s="13"/>
      <c r="T83" s="32">
        <f>+T79-T81</f>
        <v>-323008.95999999996</v>
      </c>
      <c r="U83" s="13"/>
      <c r="V83" s="35">
        <f>IF(T$12=0,0,T83/T$12)</f>
        <v>-13.57059623260449</v>
      </c>
      <c r="W83" s="15"/>
      <c r="X83" s="32">
        <f>P83-T83</f>
        <v>776746.72999999975</v>
      </c>
      <c r="Y83" s="15"/>
      <c r="Z83" s="35">
        <f>IF(T83=0,0,X83/T83)</f>
        <v>-2.4047219309334324</v>
      </c>
    </row>
    <row r="84" spans="1:26" ht="15" thickTop="1" x14ac:dyDescent="0.3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3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" thickBot="1" x14ac:dyDescent="0.35">
      <c r="A86" s="10"/>
      <c r="B86" s="26" t="s">
        <v>293</v>
      </c>
      <c r="C86" s="26"/>
      <c r="D86" s="31">
        <f>SUM(D83:D85)</f>
        <v>55495.820000000014</v>
      </c>
      <c r="E86" s="13"/>
      <c r="F86" s="33">
        <f>IF(D$12=0,0,D86/D$12)</f>
        <v>0.17865330715720384</v>
      </c>
      <c r="G86" s="13"/>
      <c r="H86" s="31">
        <f>SUM(H83:H85)</f>
        <v>-47103.840000000011</v>
      </c>
      <c r="I86" s="13"/>
      <c r="J86" s="33">
        <f>IF(H$12=0,0,H86/H$12)</f>
        <v>0</v>
      </c>
      <c r="K86" s="15"/>
      <c r="L86" s="31">
        <f>+D86-H86</f>
        <v>102599.66000000003</v>
      </c>
      <c r="M86" s="15"/>
      <c r="N86" s="33">
        <f>IF(H86=0,0,L86/H86)</f>
        <v>-2.1781591479590627</v>
      </c>
      <c r="O86" s="25"/>
      <c r="P86" s="31">
        <f>SUM(P83:P85)</f>
        <v>453737.76999999979</v>
      </c>
      <c r="Q86" s="13"/>
      <c r="R86" s="33">
        <f>IF(P$12=0,0,P86/P$12)</f>
        <v>0.22303280769051798</v>
      </c>
      <c r="S86" s="13"/>
      <c r="T86" s="31">
        <f>SUM(T83:T85)</f>
        <v>-323008.95999999996</v>
      </c>
      <c r="U86" s="13"/>
      <c r="V86" s="33">
        <f>IF(T$12=0,0,T86/T$12)</f>
        <v>-13.57059623260449</v>
      </c>
      <c r="W86" s="15"/>
      <c r="X86" s="31">
        <f>+P86-T86</f>
        <v>776746.72999999975</v>
      </c>
      <c r="Y86" s="15"/>
      <c r="Z86" s="33">
        <f>IF(T86=0,0,X86/T86)</f>
        <v>-2.4047219309334324</v>
      </c>
    </row>
    <row r="87" spans="1:26" ht="15" thickTop="1" x14ac:dyDescent="0.3">
      <c r="A87" s="9"/>
      <c r="C87" s="9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3">
      <c r="A88" s="9"/>
      <c r="B88" s="60">
        <v>44575.854680405093</v>
      </c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3">
      <c r="A89" s="9"/>
      <c r="B89" s="57" t="s">
        <v>56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3">
      <c r="A90" s="9"/>
      <c r="B90" s="59"/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3"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","435", " - ", "Ground Floor Coffee House")</f>
        <v>Department 435 - Ground Floor Coffee House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22">
        <f>SUM(OSRRefD22x_0)</f>
        <v>0</v>
      </c>
      <c r="E18" s="22"/>
      <c r="F18" s="34">
        <f t="shared" ref="F18:F20" si="0">IF(D$12=0,0,D18/D$12)</f>
        <v>0</v>
      </c>
      <c r="G18" s="22"/>
      <c r="H18" s="22">
        <f>SUM(OSRRefH22x_0)</f>
        <v>0</v>
      </c>
      <c r="I18" s="22"/>
      <c r="J18" s="34">
        <f t="shared" ref="J18:J20" si="1">IF(H$12=0,0,H18/H$12)</f>
        <v>0</v>
      </c>
      <c r="K18" s="4"/>
      <c r="L18" s="22">
        <f t="shared" ref="L18:L20" si="2">+D18-H18</f>
        <v>0</v>
      </c>
      <c r="M18" s="4"/>
      <c r="N18" s="34">
        <f t="shared" ref="N18:N20" si="3">IF(H18=0,0,L18/H18)</f>
        <v>0</v>
      </c>
      <c r="O18" s="10"/>
      <c r="P18" s="22">
        <f>SUM(OSRRefP22x_0)</f>
        <v>0</v>
      </c>
      <c r="Q18" s="22"/>
      <c r="R18" s="34">
        <f t="shared" ref="R18:R20" si="4">IF(P$12=0,0,P18/P$12)</f>
        <v>0</v>
      </c>
      <c r="S18" s="22"/>
      <c r="T18" s="22">
        <f>SUM(OSRRefT22x_0)</f>
        <v>178.69</v>
      </c>
      <c r="U18" s="22"/>
      <c r="V18" s="34">
        <f t="shared" ref="V18:V20" si="5">IF(T$12=0,0,T18/T$12)</f>
        <v>0</v>
      </c>
      <c r="W18" s="4"/>
      <c r="X18" s="22">
        <f t="shared" ref="X18:X20" si="6">+P18-T18</f>
        <v>-178.69</v>
      </c>
      <c r="Y18" s="4"/>
      <c r="Z18" s="34">
        <f t="shared" ref="Z18:Z20" si="7">IF(T18=0,0,X18/T18)</f>
        <v>-1</v>
      </c>
    </row>
    <row r="19" spans="1:26" s="29" customFormat="1" outlineLevel="1" collapsed="1" x14ac:dyDescent="0.3">
      <c r="A19" s="27"/>
      <c r="B19" s="14" t="str">
        <f>CONCATENATE("     ","Telephone/Data Lines                              ")</f>
        <v xml:space="preserve">     Telephone/Data Lines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178.69</v>
      </c>
      <c r="U19" s="1"/>
      <c r="V19" s="5">
        <f t="shared" si="5"/>
        <v>0</v>
      </c>
      <c r="W19" s="1"/>
      <c r="X19" s="1">
        <f t="shared" si="6"/>
        <v>-178.69</v>
      </c>
      <c r="Y19" s="1"/>
      <c r="Z19" s="5">
        <f t="shared" si="7"/>
        <v>-1</v>
      </c>
    </row>
    <row r="20" spans="1:26" s="24" customFormat="1" hidden="1" outlineLevel="2" x14ac:dyDescent="0.3">
      <c r="A20" s="28"/>
      <c r="B20" s="11" t="str">
        <f>CONCATENATE("          ", "6309", " - ", "TELEPHONE")</f>
        <v xml:space="preserve">          6309 - TELEPHONE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/>
      <c r="Q20" s="2"/>
      <c r="R20" s="7">
        <f t="shared" si="4"/>
        <v>0</v>
      </c>
      <c r="S20" s="2"/>
      <c r="T20" s="6">
        <v>178.69</v>
      </c>
      <c r="U20" s="2"/>
      <c r="V20" s="7">
        <f t="shared" si="5"/>
        <v>0</v>
      </c>
      <c r="W20" s="2"/>
      <c r="X20" s="6">
        <f t="shared" si="6"/>
        <v>-178.69</v>
      </c>
      <c r="Y20" s="2"/>
      <c r="Z20" s="7">
        <f t="shared" si="7"/>
        <v>-1</v>
      </c>
    </row>
    <row r="21" spans="1:26" s="53" customFormat="1" x14ac:dyDescent="0.3">
      <c r="A21" s="37"/>
      <c r="B21" s="37"/>
      <c r="C21" s="37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5" t="s">
        <v>292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3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10"/>
      <c r="B24" s="26" t="s">
        <v>276</v>
      </c>
      <c r="C24" s="26"/>
      <c r="D24" s="20">
        <f>+D16-D18+D22</f>
        <v>0</v>
      </c>
      <c r="E24" s="13"/>
      <c r="F24" s="21">
        <f>IF(D$12=0,0,D24/D$12)</f>
        <v>0</v>
      </c>
      <c r="G24" s="13"/>
      <c r="H24" s="20">
        <f>+H16-H18+H22</f>
        <v>0</v>
      </c>
      <c r="I24" s="13"/>
      <c r="J24" s="21">
        <f>IF(H$12=0,0,H24/H$12)</f>
        <v>0</v>
      </c>
      <c r="K24" s="15"/>
      <c r="L24" s="20">
        <f>+D24-H24</f>
        <v>0</v>
      </c>
      <c r="M24" s="15"/>
      <c r="N24" s="21">
        <f>IF(H24=0,0,L24/H24)</f>
        <v>0</v>
      </c>
      <c r="O24" s="25"/>
      <c r="P24" s="20">
        <f>+P16-P18+P22</f>
        <v>0</v>
      </c>
      <c r="Q24" s="13"/>
      <c r="R24" s="21">
        <f>IF(P$12=0,0,P24/P$12)</f>
        <v>0</v>
      </c>
      <c r="S24" s="13"/>
      <c r="T24" s="20">
        <f>+T16-T18+T22</f>
        <v>-178.69</v>
      </c>
      <c r="U24" s="13"/>
      <c r="V24" s="21">
        <f>IF(T$12=0,0,T24/T$12)</f>
        <v>0</v>
      </c>
      <c r="W24" s="15"/>
      <c r="X24" s="20">
        <f>+P24-T24</f>
        <v>178.69</v>
      </c>
      <c r="Y24" s="15"/>
      <c r="Z24" s="21">
        <f>IF(T24=0,0,X24/T24)</f>
        <v>-1</v>
      </c>
    </row>
    <row r="25" spans="1:26" x14ac:dyDescent="0.3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3">
      <c r="A26" s="51"/>
      <c r="B26" s="10" t="s">
        <v>127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" thickBot="1" x14ac:dyDescent="0.35">
      <c r="A28" s="10"/>
      <c r="B28" s="26" t="s">
        <v>125</v>
      </c>
      <c r="C28" s="26"/>
      <c r="D28" s="32">
        <f>+D24-D26</f>
        <v>0</v>
      </c>
      <c r="E28" s="13"/>
      <c r="F28" s="35">
        <f>IF(D$12=0,0,D28/D$12)</f>
        <v>0</v>
      </c>
      <c r="G28" s="13"/>
      <c r="H28" s="32">
        <f>+H24-H26</f>
        <v>0</v>
      </c>
      <c r="I28" s="13"/>
      <c r="J28" s="35">
        <f>IF(H$12=0,0,H28/H$12)</f>
        <v>0</v>
      </c>
      <c r="K28" s="15"/>
      <c r="L28" s="32">
        <f>D28-H28</f>
        <v>0</v>
      </c>
      <c r="M28" s="15"/>
      <c r="N28" s="35">
        <f>IF(H28=0,0,L28/H28)</f>
        <v>0</v>
      </c>
      <c r="O28" s="25"/>
      <c r="P28" s="32">
        <f>+P24-P26</f>
        <v>0</v>
      </c>
      <c r="Q28" s="13"/>
      <c r="R28" s="35">
        <f>IF(P$12=0,0,P28/P$12)</f>
        <v>0</v>
      </c>
      <c r="S28" s="13"/>
      <c r="T28" s="32">
        <f>+T24-T26</f>
        <v>-178.69</v>
      </c>
      <c r="U28" s="13"/>
      <c r="V28" s="35">
        <f>IF(T$12=0,0,T28/T$12)</f>
        <v>0</v>
      </c>
      <c r="W28" s="15"/>
      <c r="X28" s="32">
        <f>P28-T28</f>
        <v>178.69</v>
      </c>
      <c r="Y28" s="15"/>
      <c r="Z28" s="35">
        <f>IF(T28=0,0,X28/T28)</f>
        <v>-1</v>
      </c>
    </row>
    <row r="29" spans="1:26" ht="15" thickTop="1" x14ac:dyDescent="0.3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293</v>
      </c>
      <c r="C31" s="26"/>
      <c r="D31" s="31">
        <f>SUM(D28:D30)</f>
        <v>0</v>
      </c>
      <c r="E31" s="13"/>
      <c r="F31" s="33">
        <f>IF(D$12=0,0,D31/D$12)</f>
        <v>0</v>
      </c>
      <c r="G31" s="13"/>
      <c r="H31" s="31">
        <f>SUM(H28:H30)</f>
        <v>0</v>
      </c>
      <c r="I31" s="13"/>
      <c r="J31" s="33">
        <f>IF(H$12=0,0,H31/H$12)</f>
        <v>0</v>
      </c>
      <c r="K31" s="15"/>
      <c r="L31" s="31">
        <f>+D31-H31</f>
        <v>0</v>
      </c>
      <c r="M31" s="15"/>
      <c r="N31" s="33">
        <f>IF(H31=0,0,L31/H31)</f>
        <v>0</v>
      </c>
      <c r="O31" s="25"/>
      <c r="P31" s="31">
        <f>SUM(P28:P30)</f>
        <v>0</v>
      </c>
      <c r="Q31" s="13"/>
      <c r="R31" s="33">
        <f>IF(P$12=0,0,P31/P$12)</f>
        <v>0</v>
      </c>
      <c r="S31" s="13"/>
      <c r="T31" s="31">
        <f>SUM(T28:T30)</f>
        <v>-178.69</v>
      </c>
      <c r="U31" s="13"/>
      <c r="V31" s="33">
        <f>IF(T$12=0,0,T31/T$12)</f>
        <v>0</v>
      </c>
      <c r="W31" s="15"/>
      <c r="X31" s="31">
        <f>+P31-T31</f>
        <v>178.69</v>
      </c>
      <c r="Y31" s="15"/>
      <c r="Z31" s="33">
        <f>IF(T31=0,0,X31/T31)</f>
        <v>-1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3">
      <c r="A33" s="9"/>
      <c r="B33" s="60">
        <v>44575.854680405093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3">
      <c r="A34" s="9"/>
      <c r="B34" s="57" t="s">
        <v>56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3">
      <c r="A35" s="9"/>
      <c r="B35" s="59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3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92D050"/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","444", " - ", "Parkside Dining Hall")</f>
        <v>Department 444 - Parkside Dining Hall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480584.42000000004</v>
      </c>
      <c r="E12" s="4"/>
      <c r="F12" s="12"/>
      <c r="G12" s="4"/>
      <c r="H12" s="4">
        <f>SUM(OSRRefH13x_0)</f>
        <v>85078.92</v>
      </c>
      <c r="I12" s="4"/>
      <c r="J12" s="12"/>
      <c r="K12" s="4"/>
      <c r="L12" s="4">
        <f t="shared" ref="L12:L15" si="0">+D12-H12</f>
        <v>395505.50000000006</v>
      </c>
      <c r="M12" s="4"/>
      <c r="N12" s="12">
        <f t="shared" ref="N12:N15" si="1">IF(H12=0,0,L12/H12)</f>
        <v>4.6486897106827412</v>
      </c>
      <c r="O12" s="10"/>
      <c r="P12" s="4">
        <f>SUM(OSRRefP13x_0)</f>
        <v>2860637.4</v>
      </c>
      <c r="Q12" s="4"/>
      <c r="R12" s="12"/>
      <c r="S12" s="4"/>
      <c r="T12" s="4">
        <f>SUM(OSRRefT13x_0)</f>
        <v>612697.74000000011</v>
      </c>
      <c r="U12" s="4"/>
      <c r="V12" s="12"/>
      <c r="W12" s="4"/>
      <c r="X12" s="4">
        <f t="shared" ref="X12:X15" si="2">+P12-T12</f>
        <v>2247939.6599999997</v>
      </c>
      <c r="Y12" s="4"/>
      <c r="Z12" s="12">
        <f t="shared" ref="Z12:Z15" si="3">IF(T12=0,0,X12/T12)</f>
        <v>3.6689210898672471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--88.78</f>
        <v>88.78</v>
      </c>
      <c r="E13" s="2"/>
      <c r="F13" s="19"/>
      <c r="G13" s="2"/>
      <c r="H13" s="2">
        <f>--38.05</f>
        <v>38.049999999999997</v>
      </c>
      <c r="I13" s="2"/>
      <c r="J13" s="19"/>
      <c r="K13" s="2"/>
      <c r="L13" s="2">
        <f t="shared" si="0"/>
        <v>50.730000000000004</v>
      </c>
      <c r="M13" s="2"/>
      <c r="N13" s="19">
        <f t="shared" si="1"/>
        <v>1.3332457293035482</v>
      </c>
      <c r="O13" s="11"/>
      <c r="P13" s="2">
        <f>--576.76</f>
        <v>576.76</v>
      </c>
      <c r="Q13" s="2"/>
      <c r="R13" s="19"/>
      <c r="S13" s="2"/>
      <c r="T13" s="2">
        <f>--315.43</f>
        <v>315.43</v>
      </c>
      <c r="U13" s="2"/>
      <c r="V13" s="19"/>
      <c r="W13" s="2"/>
      <c r="X13" s="2">
        <f t="shared" si="2"/>
        <v>261.33</v>
      </c>
      <c r="Y13" s="2"/>
      <c r="Z13" s="19">
        <f t="shared" si="3"/>
        <v>0.82848809561550896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--479494.12</f>
        <v>479494.12</v>
      </c>
      <c r="E14" s="2"/>
      <c r="F14" s="19"/>
      <c r="G14" s="2"/>
      <c r="H14" s="2">
        <f>--81403.33</f>
        <v>81403.33</v>
      </c>
      <c r="I14" s="2"/>
      <c r="J14" s="19"/>
      <c r="K14" s="2"/>
      <c r="L14" s="2">
        <f t="shared" si="0"/>
        <v>398090.79</v>
      </c>
      <c r="M14" s="2"/>
      <c r="N14" s="19">
        <f t="shared" si="1"/>
        <v>4.8903501859199121</v>
      </c>
      <c r="O14" s="11"/>
      <c r="P14" s="2">
        <f>--2846369.85</f>
        <v>2846369.85</v>
      </c>
      <c r="Q14" s="2"/>
      <c r="R14" s="19"/>
      <c r="S14" s="2"/>
      <c r="T14" s="2">
        <f>--590109.38</f>
        <v>590109.38</v>
      </c>
      <c r="U14" s="2"/>
      <c r="V14" s="19"/>
      <c r="W14" s="2"/>
      <c r="X14" s="2">
        <f t="shared" si="2"/>
        <v>2256260.4700000002</v>
      </c>
      <c r="Y14" s="2"/>
      <c r="Z14" s="19">
        <f t="shared" si="3"/>
        <v>3.8234614572640755</v>
      </c>
    </row>
    <row r="15" spans="1:26" s="24" customFormat="1" hidden="1" outlineLevel="1" x14ac:dyDescent="0.3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--1001.52</f>
        <v>1001.52</v>
      </c>
      <c r="E15" s="2"/>
      <c r="F15" s="19"/>
      <c r="G15" s="2"/>
      <c r="H15" s="2">
        <f>--3637.54</f>
        <v>3637.54</v>
      </c>
      <c r="I15" s="2"/>
      <c r="J15" s="19"/>
      <c r="K15" s="2"/>
      <c r="L15" s="2">
        <f t="shared" si="0"/>
        <v>-2636.02</v>
      </c>
      <c r="M15" s="2"/>
      <c r="N15" s="19">
        <f t="shared" si="1"/>
        <v>-0.72467106890920785</v>
      </c>
      <c r="O15" s="11"/>
      <c r="P15" s="2">
        <f>--13690.79</f>
        <v>13690.79</v>
      </c>
      <c r="Q15" s="2"/>
      <c r="R15" s="19"/>
      <c r="S15" s="2"/>
      <c r="T15" s="2">
        <f>--22272.93</f>
        <v>22272.93</v>
      </c>
      <c r="U15" s="2"/>
      <c r="V15" s="19"/>
      <c r="W15" s="2"/>
      <c r="X15" s="2">
        <f t="shared" si="2"/>
        <v>-8582.14</v>
      </c>
      <c r="Y15" s="2"/>
      <c r="Z15" s="19">
        <f t="shared" si="3"/>
        <v>-0.3853170642569253</v>
      </c>
    </row>
    <row r="16" spans="1:26" x14ac:dyDescent="0.3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">
      <c r="A17" s="10"/>
      <c r="B17" s="25" t="s">
        <v>256</v>
      </c>
      <c r="C17" s="10"/>
      <c r="D17" s="4">
        <f>SUM(OSRRefD16x_0)</f>
        <v>115307.46</v>
      </c>
      <c r="E17" s="4"/>
      <c r="F17" s="12">
        <f t="shared" ref="F17:F19" si="4">IF(D$12=0,0,D17/D$12)</f>
        <v>0.23993174809953263</v>
      </c>
      <c r="G17" s="4"/>
      <c r="H17" s="4">
        <f>SUM(OSRRefH16x_0)</f>
        <v>34611.79</v>
      </c>
      <c r="I17" s="4"/>
      <c r="J17" s="12">
        <f t="shared" ref="J17:J19" si="5">IF(H$12=0,0,H17/H$12)</f>
        <v>0.40681980918422567</v>
      </c>
      <c r="K17" s="4"/>
      <c r="L17" s="4">
        <f t="shared" ref="L17:L19" si="6">+D17-H17</f>
        <v>80695.670000000013</v>
      </c>
      <c r="M17" s="4"/>
      <c r="N17" s="12">
        <f t="shared" ref="N17:N19" si="7">IF(H17=0,0,L17/H17)</f>
        <v>2.3314503526110615</v>
      </c>
      <c r="O17" s="10"/>
      <c r="P17" s="4">
        <f>SUM(OSRRefP16x_0)</f>
        <v>733034.68</v>
      </c>
      <c r="Q17" s="4"/>
      <c r="R17" s="12">
        <f t="shared" ref="R17:R19" si="8">IF(P$12=0,0,P17/P$12)</f>
        <v>0.25624872274969213</v>
      </c>
      <c r="S17" s="4"/>
      <c r="T17" s="4">
        <f>SUM(OSRRefT16x_0)</f>
        <v>225541.89</v>
      </c>
      <c r="U17" s="4"/>
      <c r="V17" s="12">
        <f t="shared" ref="V17:V19" si="9">IF(T$12=0,0,T17/T$12)</f>
        <v>0.36811281530106504</v>
      </c>
      <c r="W17" s="4"/>
      <c r="X17" s="4">
        <f t="shared" ref="X17:X19" si="10">+P17-T17</f>
        <v>507492.79000000004</v>
      </c>
      <c r="Y17" s="4"/>
      <c r="Z17" s="12">
        <f t="shared" ref="Z17:Z19" si="11">IF(T17=0,0,X17/T17)</f>
        <v>2.2501043597710386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97137.46</v>
      </c>
      <c r="E18" s="2"/>
      <c r="F18" s="19">
        <f t="shared" si="4"/>
        <v>0.20212361441097071</v>
      </c>
      <c r="G18" s="2"/>
      <c r="H18" s="2">
        <v>32717.79</v>
      </c>
      <c r="I18" s="2"/>
      <c r="J18" s="19">
        <f t="shared" si="5"/>
        <v>0.38455812556153746</v>
      </c>
      <c r="K18" s="2"/>
      <c r="L18" s="2">
        <f t="shared" si="6"/>
        <v>64419.670000000006</v>
      </c>
      <c r="M18" s="2"/>
      <c r="N18" s="19">
        <f t="shared" si="7"/>
        <v>1.9689493086177277</v>
      </c>
      <c r="O18" s="11"/>
      <c r="P18" s="2">
        <v>724412.68</v>
      </c>
      <c r="Q18" s="2"/>
      <c r="R18" s="19">
        <f t="shared" si="8"/>
        <v>0.25323470915957402</v>
      </c>
      <c r="S18" s="2"/>
      <c r="T18" s="2">
        <v>241917.57</v>
      </c>
      <c r="U18" s="2"/>
      <c r="V18" s="19">
        <f t="shared" si="9"/>
        <v>0.39483999075955456</v>
      </c>
      <c r="W18" s="2"/>
      <c r="X18" s="2">
        <f t="shared" si="10"/>
        <v>482495.11000000004</v>
      </c>
      <c r="Y18" s="2"/>
      <c r="Z18" s="19">
        <f t="shared" si="11"/>
        <v>1.9944607991887486</v>
      </c>
    </row>
    <row r="19" spans="1:26" s="24" customFormat="1" hidden="1" outlineLevel="1" x14ac:dyDescent="0.3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18170</v>
      </c>
      <c r="E19" s="2"/>
      <c r="F19" s="19">
        <f t="shared" si="4"/>
        <v>3.7808133688561937E-2</v>
      </c>
      <c r="G19" s="2"/>
      <c r="H19" s="2">
        <v>1894</v>
      </c>
      <c r="I19" s="2"/>
      <c r="J19" s="19">
        <f t="shared" si="5"/>
        <v>2.2261683622688207E-2</v>
      </c>
      <c r="K19" s="2"/>
      <c r="L19" s="2">
        <f t="shared" si="6"/>
        <v>16276</v>
      </c>
      <c r="M19" s="2"/>
      <c r="N19" s="19">
        <f t="shared" si="7"/>
        <v>8.5934530095036958</v>
      </c>
      <c r="O19" s="11"/>
      <c r="P19" s="2">
        <v>8622</v>
      </c>
      <c r="Q19" s="2"/>
      <c r="R19" s="19">
        <f t="shared" si="8"/>
        <v>3.0140135901180628E-3</v>
      </c>
      <c r="S19" s="2"/>
      <c r="T19" s="2">
        <v>-16375.68</v>
      </c>
      <c r="U19" s="2"/>
      <c r="V19" s="19">
        <f t="shared" si="9"/>
        <v>-2.6727175458489526E-2</v>
      </c>
      <c r="W19" s="2"/>
      <c r="X19" s="2">
        <f t="shared" si="10"/>
        <v>24997.68</v>
      </c>
      <c r="Y19" s="2"/>
      <c r="Z19" s="19">
        <f t="shared" si="11"/>
        <v>-1.526512486809708</v>
      </c>
    </row>
    <row r="20" spans="1:26" x14ac:dyDescent="0.3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">
      <c r="A21" s="10"/>
      <c r="B21" s="26" t="s">
        <v>107</v>
      </c>
      <c r="C21" s="26"/>
      <c r="D21" s="20">
        <f>D12-D17</f>
        <v>365276.96</v>
      </c>
      <c r="E21" s="13"/>
      <c r="F21" s="21">
        <f>IF(D$12=0,0,D21/D$12)</f>
        <v>0.76006825190046734</v>
      </c>
      <c r="G21" s="13"/>
      <c r="H21" s="20">
        <f>H12-H17</f>
        <v>50467.13</v>
      </c>
      <c r="I21" s="13"/>
      <c r="J21" s="21">
        <f>IF(H$12=0,0,H21/H$12)</f>
        <v>0.59318019081577433</v>
      </c>
      <c r="K21" s="15"/>
      <c r="L21" s="20">
        <f>+D21-H21</f>
        <v>314809.83</v>
      </c>
      <c r="M21" s="15"/>
      <c r="N21" s="21">
        <f>IF(H21=0,0,L21/H21)</f>
        <v>6.2379182251893468</v>
      </c>
      <c r="O21" s="25"/>
      <c r="P21" s="20">
        <f>P12-P17</f>
        <v>2127602.7199999997</v>
      </c>
      <c r="Q21" s="13"/>
      <c r="R21" s="21">
        <f>IF(P$12=0,0,P21/P$12)</f>
        <v>0.74375127725030787</v>
      </c>
      <c r="S21" s="13"/>
      <c r="T21" s="20">
        <f>T12-T17</f>
        <v>387155.85000000009</v>
      </c>
      <c r="U21" s="13"/>
      <c r="V21" s="21">
        <f>IF(T$12=0,0,T21/T$12)</f>
        <v>0.6318871846989349</v>
      </c>
      <c r="W21" s="15"/>
      <c r="X21" s="20">
        <f>+P21-T21</f>
        <v>1740446.8699999996</v>
      </c>
      <c r="Y21" s="15"/>
      <c r="Z21" s="21">
        <f>IF(T21=0,0,X21/T21)</f>
        <v>4.4954683495031764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294</v>
      </c>
      <c r="C23" s="10"/>
      <c r="D23" s="22">
        <f>SUM(OSRRefD22x_0)</f>
        <v>186289.76999999996</v>
      </c>
      <c r="E23" s="22"/>
      <c r="F23" s="34">
        <f t="shared" ref="F23:F33" si="12">IF(D$12=0,0,D23/D$12)</f>
        <v>0.38763172971774645</v>
      </c>
      <c r="G23" s="22"/>
      <c r="H23" s="22">
        <f>SUM(OSRRefH22x_0)</f>
        <v>146486.12999999998</v>
      </c>
      <c r="I23" s="22"/>
      <c r="J23" s="34">
        <f t="shared" ref="J23:J33" si="13">IF(H$12=0,0,H23/H$12)</f>
        <v>1.7217676246948126</v>
      </c>
      <c r="K23" s="4"/>
      <c r="L23" s="22">
        <f t="shared" ref="L23:L33" si="14">+D23-H23</f>
        <v>39803.639999999985</v>
      </c>
      <c r="M23" s="4"/>
      <c r="N23" s="34">
        <f t="shared" ref="N23:N33" si="15">IF(H23=0,0,L23/H23)</f>
        <v>0.27172292694195682</v>
      </c>
      <c r="O23" s="10"/>
      <c r="P23" s="22">
        <f>SUM(OSRRefP22x_0)</f>
        <v>1113911.3000000003</v>
      </c>
      <c r="Q23" s="22"/>
      <c r="R23" s="34">
        <f t="shared" ref="R23:R33" si="16">IF(P$12=0,0,P23/P$12)</f>
        <v>0.38939269269149607</v>
      </c>
      <c r="S23" s="22"/>
      <c r="T23" s="22">
        <f>SUM(OSRRefT22x_0)</f>
        <v>739505.34999999986</v>
      </c>
      <c r="U23" s="22"/>
      <c r="V23" s="34">
        <f t="shared" ref="V23:V33" si="17">IF(T$12=0,0,T23/T$12)</f>
        <v>1.2069660155756405</v>
      </c>
      <c r="W23" s="4"/>
      <c r="X23" s="22">
        <f t="shared" ref="X23:X33" si="18">+P23-T23</f>
        <v>374405.95000000042</v>
      </c>
      <c r="Y23" s="4"/>
      <c r="Z23" s="34">
        <f t="shared" ref="Z23:Z33" si="19">IF(T23=0,0,X23/T23)</f>
        <v>0.50629241559915761</v>
      </c>
    </row>
    <row r="24" spans="1:26" s="29" customFormat="1" outlineLevel="1" collapsed="1" x14ac:dyDescent="0.3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28841.649999999998</v>
      </c>
      <c r="E24" s="1"/>
      <c r="F24" s="5">
        <f t="shared" si="12"/>
        <v>6.0013701651002324E-2</v>
      </c>
      <c r="G24" s="1"/>
      <c r="H24" s="1">
        <f>SUM(OSRRefH22_0x_0)</f>
        <v>32282.43</v>
      </c>
      <c r="I24" s="1"/>
      <c r="J24" s="5">
        <f t="shared" si="13"/>
        <v>0.37944099431445533</v>
      </c>
      <c r="K24" s="1"/>
      <c r="L24" s="1">
        <f t="shared" si="14"/>
        <v>-3440.7800000000025</v>
      </c>
      <c r="M24" s="1"/>
      <c r="N24" s="5">
        <f t="shared" si="15"/>
        <v>-0.10658367415340178</v>
      </c>
      <c r="O24" s="14"/>
      <c r="P24" s="1">
        <f>SUM(OSRRefP22_0x_0)</f>
        <v>185733.59999999998</v>
      </c>
      <c r="Q24" s="1"/>
      <c r="R24" s="5">
        <f t="shared" si="16"/>
        <v>6.4927348009922545E-2</v>
      </c>
      <c r="S24" s="1"/>
      <c r="T24" s="1">
        <f>SUM(OSRRefT22_0x_0)</f>
        <v>186364.59000000003</v>
      </c>
      <c r="U24" s="1"/>
      <c r="V24" s="5">
        <f t="shared" si="17"/>
        <v>0.30417051970846176</v>
      </c>
      <c r="W24" s="1"/>
      <c r="X24" s="1">
        <f t="shared" si="18"/>
        <v>-630.99000000004889</v>
      </c>
      <c r="Y24" s="1"/>
      <c r="Z24" s="5">
        <f t="shared" si="19"/>
        <v>-3.3857826747025754E-3</v>
      </c>
    </row>
    <row r="25" spans="1:26" s="24" customFormat="1" hidden="1" outlineLevel="2" x14ac:dyDescent="0.3">
      <c r="A25" s="28"/>
      <c r="B25" s="11" t="str">
        <f>CONCATENATE("          ", "6111", " - ", "F.I.C.A.")</f>
        <v xml:space="preserve">          6111 - F.I.C.A.</v>
      </c>
      <c r="C25" s="11"/>
      <c r="D25" s="6">
        <v>3919.17</v>
      </c>
      <c r="E25" s="2"/>
      <c r="F25" s="7">
        <f t="shared" si="12"/>
        <v>8.1550084374354039E-3</v>
      </c>
      <c r="G25" s="2"/>
      <c r="H25" s="6">
        <v>3279.27</v>
      </c>
      <c r="I25" s="2"/>
      <c r="J25" s="7">
        <f t="shared" si="13"/>
        <v>3.8543860218253831E-2</v>
      </c>
      <c r="K25" s="2"/>
      <c r="L25" s="6">
        <f t="shared" si="14"/>
        <v>639.90000000000009</v>
      </c>
      <c r="M25" s="2"/>
      <c r="N25" s="7">
        <f t="shared" si="15"/>
        <v>0.19513489282675719</v>
      </c>
      <c r="O25" s="11"/>
      <c r="P25" s="6">
        <v>29308.79</v>
      </c>
      <c r="Q25" s="2"/>
      <c r="R25" s="7">
        <f t="shared" si="16"/>
        <v>1.0245545276028343E-2</v>
      </c>
      <c r="S25" s="2"/>
      <c r="T25" s="6">
        <v>21652.09</v>
      </c>
      <c r="U25" s="2"/>
      <c r="V25" s="7">
        <f t="shared" si="17"/>
        <v>3.5338942167470695E-2</v>
      </c>
      <c r="W25" s="2"/>
      <c r="X25" s="6">
        <f t="shared" si="18"/>
        <v>7656.7000000000007</v>
      </c>
      <c r="Y25" s="2"/>
      <c r="Z25" s="7">
        <f t="shared" si="19"/>
        <v>0.35362406123381163</v>
      </c>
    </row>
    <row r="26" spans="1:26" s="24" customFormat="1" hidden="1" outlineLevel="2" x14ac:dyDescent="0.3">
      <c r="A26" s="28"/>
      <c r="B26" s="11" t="str">
        <f>CONCATENATE("          ", "6112", " - ", "COMPENSATION INSURANCE")</f>
        <v xml:space="preserve">          6112 - COMPENSATION INSURANCE</v>
      </c>
      <c r="C26" s="11"/>
      <c r="D26" s="6">
        <v>3186.31</v>
      </c>
      <c r="E26" s="2"/>
      <c r="F26" s="7">
        <f t="shared" si="12"/>
        <v>6.6300734426638294E-3</v>
      </c>
      <c r="G26" s="2"/>
      <c r="H26" s="6">
        <v>4448.62</v>
      </c>
      <c r="I26" s="2"/>
      <c r="J26" s="7">
        <f t="shared" si="13"/>
        <v>5.2288157865661669E-2</v>
      </c>
      <c r="K26" s="2"/>
      <c r="L26" s="6">
        <f t="shared" si="14"/>
        <v>-1262.31</v>
      </c>
      <c r="M26" s="2"/>
      <c r="N26" s="7">
        <f t="shared" si="15"/>
        <v>-0.28375316390251359</v>
      </c>
      <c r="O26" s="11"/>
      <c r="P26" s="6">
        <v>18057.240000000002</v>
      </c>
      <c r="Q26" s="2"/>
      <c r="R26" s="7">
        <f t="shared" si="16"/>
        <v>6.3123134725149022E-3</v>
      </c>
      <c r="S26" s="2"/>
      <c r="T26" s="6">
        <v>17190.75</v>
      </c>
      <c r="U26" s="2"/>
      <c r="V26" s="7">
        <f t="shared" si="17"/>
        <v>2.8057472514914118E-2</v>
      </c>
      <c r="W26" s="2"/>
      <c r="X26" s="6">
        <f t="shared" si="18"/>
        <v>866.4900000000016</v>
      </c>
      <c r="Y26" s="2"/>
      <c r="Z26" s="7">
        <f t="shared" si="19"/>
        <v>5.0404432616378086E-2</v>
      </c>
    </row>
    <row r="27" spans="1:26" s="24" customFormat="1" hidden="1" outlineLevel="2" x14ac:dyDescent="0.3">
      <c r="A27" s="28"/>
      <c r="B27" s="11" t="str">
        <f>CONCATENATE("          ", "6113", " - ", "GROUP INSURANCE")</f>
        <v xml:space="preserve">          6113 - GROUP INSURANCE</v>
      </c>
      <c r="C27" s="11"/>
      <c r="D27" s="6">
        <v>14541.32</v>
      </c>
      <c r="E27" s="2"/>
      <c r="F27" s="7">
        <f t="shared" si="12"/>
        <v>3.0257576806172783E-2</v>
      </c>
      <c r="G27" s="2"/>
      <c r="H27" s="6">
        <v>17824.95</v>
      </c>
      <c r="I27" s="2"/>
      <c r="J27" s="7">
        <f t="shared" si="13"/>
        <v>0.20951076953021971</v>
      </c>
      <c r="K27" s="2"/>
      <c r="L27" s="6">
        <f t="shared" si="14"/>
        <v>-3283.630000000001</v>
      </c>
      <c r="M27" s="2"/>
      <c r="N27" s="7">
        <f t="shared" si="15"/>
        <v>-0.18421538349336189</v>
      </c>
      <c r="O27" s="11"/>
      <c r="P27" s="6">
        <v>91846.55</v>
      </c>
      <c r="Q27" s="2"/>
      <c r="R27" s="7">
        <f t="shared" si="16"/>
        <v>3.2107022721579469E-2</v>
      </c>
      <c r="S27" s="2"/>
      <c r="T27" s="6">
        <v>103003.8</v>
      </c>
      <c r="U27" s="2"/>
      <c r="V27" s="7">
        <f t="shared" si="17"/>
        <v>0.16811519494098343</v>
      </c>
      <c r="W27" s="2"/>
      <c r="X27" s="6">
        <f t="shared" si="18"/>
        <v>-11157.25</v>
      </c>
      <c r="Y27" s="2"/>
      <c r="Z27" s="7">
        <f t="shared" si="19"/>
        <v>-0.10831881930569552</v>
      </c>
    </row>
    <row r="28" spans="1:26" s="24" customFormat="1" hidden="1" outlineLevel="2" x14ac:dyDescent="0.3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6">
        <v>230.12</v>
      </c>
      <c r="E28" s="2"/>
      <c r="F28" s="7">
        <f t="shared" si="12"/>
        <v>4.7883366672602494E-4</v>
      </c>
      <c r="G28" s="2"/>
      <c r="H28" s="6"/>
      <c r="I28" s="2"/>
      <c r="J28" s="7">
        <f t="shared" si="13"/>
        <v>0</v>
      </c>
      <c r="K28" s="2"/>
      <c r="L28" s="6">
        <f t="shared" si="14"/>
        <v>230.12</v>
      </c>
      <c r="M28" s="2"/>
      <c r="N28" s="7">
        <f t="shared" si="15"/>
        <v>0</v>
      </c>
      <c r="O28" s="11"/>
      <c r="P28" s="6">
        <v>1304.1199999999999</v>
      </c>
      <c r="Q28" s="2"/>
      <c r="R28" s="7">
        <f t="shared" si="16"/>
        <v>4.5588441233411823E-4</v>
      </c>
      <c r="S28" s="2"/>
      <c r="T28" s="6">
        <v>844.37</v>
      </c>
      <c r="U28" s="2"/>
      <c r="V28" s="7">
        <f t="shared" si="17"/>
        <v>1.3781183524522219E-3</v>
      </c>
      <c r="W28" s="2"/>
      <c r="X28" s="6">
        <f t="shared" si="18"/>
        <v>459.74999999999989</v>
      </c>
      <c r="Y28" s="2"/>
      <c r="Z28" s="7">
        <f t="shared" si="19"/>
        <v>0.54448879045915877</v>
      </c>
    </row>
    <row r="29" spans="1:26" s="24" customFormat="1" hidden="1" outlineLevel="2" x14ac:dyDescent="0.3">
      <c r="A29" s="28"/>
      <c r="B29" s="11" t="str">
        <f>CONCATENATE("          ", "6115", " - ", "P.E.R.S.")</f>
        <v xml:space="preserve">          6115 - P.E.R.S.</v>
      </c>
      <c r="C29" s="11"/>
      <c r="D29" s="6">
        <v>1491.88</v>
      </c>
      <c r="E29" s="2"/>
      <c r="F29" s="7">
        <f t="shared" si="12"/>
        <v>3.1043037142152881E-3</v>
      </c>
      <c r="G29" s="2"/>
      <c r="H29" s="6">
        <v>1457.5</v>
      </c>
      <c r="I29" s="2"/>
      <c r="J29" s="7">
        <f t="shared" si="13"/>
        <v>1.7131153051778279E-2</v>
      </c>
      <c r="K29" s="2"/>
      <c r="L29" s="6">
        <f t="shared" si="14"/>
        <v>34.380000000000109</v>
      </c>
      <c r="M29" s="2"/>
      <c r="N29" s="7">
        <f t="shared" si="15"/>
        <v>2.358833619210985E-2</v>
      </c>
      <c r="O29" s="11"/>
      <c r="P29" s="6">
        <v>9379.56</v>
      </c>
      <c r="Q29" s="2"/>
      <c r="R29" s="7">
        <f t="shared" si="16"/>
        <v>3.2788356888573153E-3</v>
      </c>
      <c r="S29" s="2"/>
      <c r="T29" s="6">
        <v>9540.31</v>
      </c>
      <c r="U29" s="2"/>
      <c r="V29" s="7">
        <f t="shared" si="17"/>
        <v>1.5570989375609575E-2</v>
      </c>
      <c r="W29" s="2"/>
      <c r="X29" s="6">
        <f t="shared" si="18"/>
        <v>-160.75</v>
      </c>
      <c r="Y29" s="2"/>
      <c r="Z29" s="7">
        <f t="shared" si="19"/>
        <v>-1.6849557299500752E-2</v>
      </c>
    </row>
    <row r="30" spans="1:26" s="24" customFormat="1" hidden="1" outlineLevel="2" x14ac:dyDescent="0.3">
      <c r="A30" s="28"/>
      <c r="B30" s="11" t="str">
        <f>CONCATENATE("          ", "6117", " - ", "RETIREMENT STAFF HOURLY")</f>
        <v xml:space="preserve">          6117 - RETIREMENT STAFF HOURLY</v>
      </c>
      <c r="C30" s="11"/>
      <c r="D30" s="6">
        <v>341.07</v>
      </c>
      <c r="E30" s="2"/>
      <c r="F30" s="7">
        <f t="shared" si="12"/>
        <v>7.0969841261187775E-4</v>
      </c>
      <c r="G30" s="2"/>
      <c r="H30" s="6">
        <v>427.63</v>
      </c>
      <c r="I30" s="2"/>
      <c r="J30" s="7">
        <f t="shared" si="13"/>
        <v>5.0262744284953311E-3</v>
      </c>
      <c r="K30" s="2"/>
      <c r="L30" s="6">
        <f t="shared" si="14"/>
        <v>-86.56</v>
      </c>
      <c r="M30" s="2"/>
      <c r="N30" s="7">
        <f t="shared" si="15"/>
        <v>-0.20241797815868859</v>
      </c>
      <c r="O30" s="11"/>
      <c r="P30" s="6">
        <v>2578.0300000000002</v>
      </c>
      <c r="Q30" s="2"/>
      <c r="R30" s="7">
        <f t="shared" si="16"/>
        <v>9.0120824121225581E-4</v>
      </c>
      <c r="S30" s="2"/>
      <c r="T30" s="6">
        <v>3195.22</v>
      </c>
      <c r="U30" s="2"/>
      <c r="V30" s="7">
        <f t="shared" si="17"/>
        <v>5.2150020987510081E-3</v>
      </c>
      <c r="W30" s="2"/>
      <c r="X30" s="6">
        <f t="shared" si="18"/>
        <v>-617.1899999999996</v>
      </c>
      <c r="Y30" s="2"/>
      <c r="Z30" s="7">
        <f t="shared" si="19"/>
        <v>-0.19316040835998763</v>
      </c>
    </row>
    <row r="31" spans="1:26" s="24" customFormat="1" hidden="1" outlineLevel="2" x14ac:dyDescent="0.3">
      <c r="A31" s="28"/>
      <c r="B31" s="11" t="str">
        <f>CONCATENATE("          ", "6118", " - ", "VACATION")</f>
        <v xml:space="preserve">          6118 - VACATION</v>
      </c>
      <c r="C31" s="11"/>
      <c r="D31" s="6">
        <v>2549.44</v>
      </c>
      <c r="E31" s="2"/>
      <c r="F31" s="7">
        <f t="shared" si="12"/>
        <v>5.3048744276811962E-3</v>
      </c>
      <c r="G31" s="2"/>
      <c r="H31" s="6">
        <v>2606.96</v>
      </c>
      <c r="I31" s="2"/>
      <c r="J31" s="7">
        <f t="shared" si="13"/>
        <v>3.0641667759769401E-2</v>
      </c>
      <c r="K31" s="2"/>
      <c r="L31" s="6">
        <f t="shared" si="14"/>
        <v>-57.519999999999982</v>
      </c>
      <c r="M31" s="2"/>
      <c r="N31" s="7">
        <f t="shared" si="15"/>
        <v>-2.2064013256820197E-2</v>
      </c>
      <c r="O31" s="11"/>
      <c r="P31" s="6">
        <v>15948.74</v>
      </c>
      <c r="Q31" s="2"/>
      <c r="R31" s="7">
        <f t="shared" si="16"/>
        <v>5.5752399797331879E-3</v>
      </c>
      <c r="S31" s="2"/>
      <c r="T31" s="6">
        <v>16032.94</v>
      </c>
      <c r="U31" s="2"/>
      <c r="V31" s="7">
        <f t="shared" si="17"/>
        <v>2.6167780543796353E-2</v>
      </c>
      <c r="W31" s="2"/>
      <c r="X31" s="6">
        <f t="shared" si="18"/>
        <v>-84.200000000000728</v>
      </c>
      <c r="Y31" s="2"/>
      <c r="Z31" s="7">
        <f t="shared" si="19"/>
        <v>-5.2516880871506235E-3</v>
      </c>
    </row>
    <row r="32" spans="1:26" s="24" customFormat="1" hidden="1" outlineLevel="2" x14ac:dyDescent="0.3">
      <c r="A32" s="28"/>
      <c r="B32" s="11" t="str">
        <f>CONCATENATE("          ", "6119", " - ", "SICK LEAVE")</f>
        <v xml:space="preserve">          6119 - SICK LEAVE</v>
      </c>
      <c r="C32" s="11"/>
      <c r="D32" s="6">
        <v>1820.3</v>
      </c>
      <c r="E32" s="2"/>
      <c r="F32" s="7">
        <f t="shared" si="12"/>
        <v>3.7876800084363947E-3</v>
      </c>
      <c r="G32" s="2"/>
      <c r="H32" s="6">
        <v>1633.22</v>
      </c>
      <c r="I32" s="2"/>
      <c r="J32" s="7">
        <f t="shared" si="13"/>
        <v>1.9196529528113428E-2</v>
      </c>
      <c r="K32" s="2"/>
      <c r="L32" s="6">
        <f t="shared" si="14"/>
        <v>187.07999999999993</v>
      </c>
      <c r="M32" s="2"/>
      <c r="N32" s="7">
        <f t="shared" si="15"/>
        <v>0.11454672365021241</v>
      </c>
      <c r="O32" s="11"/>
      <c r="P32" s="6">
        <v>11070.3</v>
      </c>
      <c r="Q32" s="2"/>
      <c r="R32" s="7">
        <f t="shared" si="16"/>
        <v>3.8698717985019703E-3</v>
      </c>
      <c r="S32" s="2"/>
      <c r="T32" s="6">
        <v>10065.76</v>
      </c>
      <c r="U32" s="2"/>
      <c r="V32" s="7">
        <f t="shared" si="17"/>
        <v>1.642859005812556E-2</v>
      </c>
      <c r="W32" s="2"/>
      <c r="X32" s="6">
        <f t="shared" si="18"/>
        <v>1004.5399999999991</v>
      </c>
      <c r="Y32" s="2"/>
      <c r="Z32" s="7">
        <f t="shared" si="19"/>
        <v>9.9797730126686815E-2</v>
      </c>
    </row>
    <row r="33" spans="1:26" s="24" customFormat="1" hidden="1" outlineLevel="2" x14ac:dyDescent="0.3">
      <c r="A33" s="28"/>
      <c r="B33" s="11" t="str">
        <f>CONCATENATE("          ", "6156", " - ", "EMPLOYEE MEALS")</f>
        <v xml:space="preserve">          6156 - EMPLOYEE MEALS</v>
      </c>
      <c r="C33" s="11"/>
      <c r="D33" s="6">
        <v>762.04</v>
      </c>
      <c r="E33" s="2"/>
      <c r="F33" s="7">
        <f t="shared" si="12"/>
        <v>1.5856527350595342E-3</v>
      </c>
      <c r="G33" s="2"/>
      <c r="H33" s="6">
        <v>604.28</v>
      </c>
      <c r="I33" s="2"/>
      <c r="J33" s="7">
        <f t="shared" si="13"/>
        <v>7.1025819321636902E-3</v>
      </c>
      <c r="K33" s="2"/>
      <c r="L33" s="6">
        <f t="shared" si="14"/>
        <v>157.76</v>
      </c>
      <c r="M33" s="2"/>
      <c r="N33" s="7">
        <f t="shared" si="15"/>
        <v>0.26107102667637516</v>
      </c>
      <c r="O33" s="11"/>
      <c r="P33" s="6">
        <v>6240.27</v>
      </c>
      <c r="Q33" s="2"/>
      <c r="R33" s="7">
        <f t="shared" si="16"/>
        <v>2.1814264191609887E-3</v>
      </c>
      <c r="S33" s="2"/>
      <c r="T33" s="6">
        <v>4839.3500000000004</v>
      </c>
      <c r="U33" s="2"/>
      <c r="V33" s="7">
        <f t="shared" si="17"/>
        <v>7.8984296563587766E-3</v>
      </c>
      <c r="W33" s="2"/>
      <c r="X33" s="6">
        <f t="shared" si="18"/>
        <v>1400.92</v>
      </c>
      <c r="Y33" s="2"/>
      <c r="Z33" s="7">
        <f t="shared" si="19"/>
        <v>0.28948515813074072</v>
      </c>
    </row>
    <row r="34" spans="1:26" s="29" customFormat="1" outlineLevel="1" collapsed="1" x14ac:dyDescent="0.3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92077.35</v>
      </c>
      <c r="E34" s="1"/>
      <c r="F34" s="5">
        <f t="shared" ref="F34:F39" si="20">IF(D$12=0,0,D34/D$12)</f>
        <v>0.19159453816667632</v>
      </c>
      <c r="G34" s="1"/>
      <c r="H34" s="1">
        <f>SUM(OSRRefH22_1x_0)</f>
        <v>49072.63</v>
      </c>
      <c r="I34" s="1"/>
      <c r="J34" s="5">
        <f t="shared" ref="J34:J39" si="21">IF(H$12=0,0,H34/H$12)</f>
        <v>0.57678952671237482</v>
      </c>
      <c r="K34" s="1"/>
      <c r="L34" s="1">
        <f t="shared" ref="L34:L39" si="22">+D34-H34</f>
        <v>43004.720000000008</v>
      </c>
      <c r="M34" s="1"/>
      <c r="N34" s="5">
        <f t="shared" ref="N34:N39" si="23">IF(H34=0,0,L34/H34)</f>
        <v>0.87634838401773063</v>
      </c>
      <c r="O34" s="14"/>
      <c r="P34" s="1">
        <f>SUM(OSRRefP22_1x_0)</f>
        <v>539104.57999999996</v>
      </c>
      <c r="Q34" s="1"/>
      <c r="R34" s="5">
        <f t="shared" ref="R34:R39" si="24">IF(P$12=0,0,P34/P$12)</f>
        <v>0.1884561042234853</v>
      </c>
      <c r="S34" s="1"/>
      <c r="T34" s="1">
        <f>SUM(OSRRefT22_1x_0)</f>
        <v>327947.03000000003</v>
      </c>
      <c r="U34" s="1"/>
      <c r="V34" s="5">
        <f t="shared" ref="V34:V39" si="25">IF(T$12=0,0,T34/T$12)</f>
        <v>0.53525092160450927</v>
      </c>
      <c r="W34" s="1"/>
      <c r="X34" s="1">
        <f t="shared" ref="X34:X39" si="26">+P34-T34</f>
        <v>211157.54999999993</v>
      </c>
      <c r="Y34" s="1"/>
      <c r="Z34" s="5">
        <f t="shared" ref="Z34:Z39" si="27">IF(T34=0,0,X34/T34)</f>
        <v>0.64387700050218444</v>
      </c>
    </row>
    <row r="35" spans="1:26" s="24" customFormat="1" hidden="1" outlineLevel="2" x14ac:dyDescent="0.3">
      <c r="A35" s="28"/>
      <c r="B35" s="11" t="str">
        <f>CONCATENATE("          ", "6002", " - ", "STAFF SALARIES")</f>
        <v xml:space="preserve">          6002 - STAFF SALARIES</v>
      </c>
      <c r="C35" s="11"/>
      <c r="D35" s="6">
        <v>15104.22</v>
      </c>
      <c r="E35" s="2"/>
      <c r="F35" s="7">
        <f t="shared" si="20"/>
        <v>3.1428859054565265E-2</v>
      </c>
      <c r="G35" s="2"/>
      <c r="H35" s="6">
        <v>14751.16</v>
      </c>
      <c r="I35" s="2"/>
      <c r="J35" s="7">
        <f t="shared" si="21"/>
        <v>0.17338207866296376</v>
      </c>
      <c r="K35" s="2"/>
      <c r="L35" s="6">
        <f t="shared" si="22"/>
        <v>353.05999999999949</v>
      </c>
      <c r="M35" s="2"/>
      <c r="N35" s="7">
        <f t="shared" si="23"/>
        <v>2.3934388888738209E-2</v>
      </c>
      <c r="O35" s="11"/>
      <c r="P35" s="6">
        <v>104092.9</v>
      </c>
      <c r="Q35" s="2"/>
      <c r="R35" s="7">
        <f t="shared" si="24"/>
        <v>3.6388009189839997E-2</v>
      </c>
      <c r="S35" s="2"/>
      <c r="T35" s="6">
        <v>88495.23</v>
      </c>
      <c r="U35" s="2"/>
      <c r="V35" s="7">
        <f t="shared" si="25"/>
        <v>0.14443537852775495</v>
      </c>
      <c r="W35" s="2"/>
      <c r="X35" s="6">
        <f t="shared" si="26"/>
        <v>15597.669999999998</v>
      </c>
      <c r="Y35" s="2"/>
      <c r="Z35" s="7">
        <f t="shared" si="27"/>
        <v>0.17625435856825275</v>
      </c>
    </row>
    <row r="36" spans="1:26" s="24" customFormat="1" hidden="1" outlineLevel="2" x14ac:dyDescent="0.3">
      <c r="A36" s="28"/>
      <c r="B36" s="11" t="str">
        <f>CONCATENATE("          ", "6004", " - ", "STAFF HOURLY")</f>
        <v xml:space="preserve">          6004 - STAFF HOURLY</v>
      </c>
      <c r="C36" s="11"/>
      <c r="D36" s="6">
        <v>21916.48</v>
      </c>
      <c r="E36" s="2"/>
      <c r="F36" s="7">
        <f t="shared" si="20"/>
        <v>4.5603808795965539E-2</v>
      </c>
      <c r="G36" s="2"/>
      <c r="H36" s="6">
        <v>10936.34</v>
      </c>
      <c r="I36" s="2"/>
      <c r="J36" s="7">
        <f t="shared" si="21"/>
        <v>0.12854347469384897</v>
      </c>
      <c r="K36" s="2"/>
      <c r="L36" s="6">
        <f t="shared" si="22"/>
        <v>10980.14</v>
      </c>
      <c r="M36" s="2"/>
      <c r="N36" s="7">
        <f t="shared" si="23"/>
        <v>1.0040049961870241</v>
      </c>
      <c r="O36" s="11"/>
      <c r="P36" s="6">
        <v>173780.19</v>
      </c>
      <c r="Q36" s="2"/>
      <c r="R36" s="7">
        <f t="shared" si="24"/>
        <v>6.0748765292658206E-2</v>
      </c>
      <c r="S36" s="2"/>
      <c r="T36" s="6">
        <v>97519.76</v>
      </c>
      <c r="U36" s="2"/>
      <c r="V36" s="7">
        <f t="shared" si="25"/>
        <v>0.15916454988066381</v>
      </c>
      <c r="W36" s="2"/>
      <c r="X36" s="6">
        <f t="shared" si="26"/>
        <v>76260.430000000008</v>
      </c>
      <c r="Y36" s="2"/>
      <c r="Z36" s="7">
        <f t="shared" si="27"/>
        <v>0.78199977112330887</v>
      </c>
    </row>
    <row r="37" spans="1:26" s="24" customFormat="1" hidden="1" outlineLevel="2" x14ac:dyDescent="0.3">
      <c r="A37" s="28"/>
      <c r="B37" s="11" t="str">
        <f>CONCATENATE("          ", "6005", " - ", "TEMPORARY WAGES-HOURLY")</f>
        <v xml:space="preserve">          6005 - TEMPORARY WAGES-HOURLY</v>
      </c>
      <c r="C37" s="11"/>
      <c r="D37" s="6">
        <v>17344.400000000001</v>
      </c>
      <c r="E37" s="2"/>
      <c r="F37" s="7">
        <f t="shared" si="20"/>
        <v>3.6090225313587986E-2</v>
      </c>
      <c r="G37" s="2"/>
      <c r="H37" s="6">
        <v>11620.64</v>
      </c>
      <c r="I37" s="2"/>
      <c r="J37" s="7">
        <f t="shared" si="21"/>
        <v>0.13658659512838198</v>
      </c>
      <c r="K37" s="2"/>
      <c r="L37" s="6">
        <f t="shared" si="22"/>
        <v>5723.760000000002</v>
      </c>
      <c r="M37" s="2"/>
      <c r="N37" s="7">
        <f t="shared" si="23"/>
        <v>0.49255118478844556</v>
      </c>
      <c r="O37" s="11"/>
      <c r="P37" s="6">
        <v>111007.37</v>
      </c>
      <c r="Q37" s="2"/>
      <c r="R37" s="7">
        <f t="shared" si="24"/>
        <v>3.8805117349021583E-2</v>
      </c>
      <c r="S37" s="2"/>
      <c r="T37" s="6">
        <v>62163.73</v>
      </c>
      <c r="U37" s="2"/>
      <c r="V37" s="7">
        <f t="shared" si="25"/>
        <v>0.10145904895944285</v>
      </c>
      <c r="W37" s="2"/>
      <c r="X37" s="6">
        <f t="shared" si="26"/>
        <v>48843.639999999992</v>
      </c>
      <c r="Y37" s="2"/>
      <c r="Z37" s="7">
        <f t="shared" si="27"/>
        <v>0.78572569567495365</v>
      </c>
    </row>
    <row r="38" spans="1:26" s="24" customFormat="1" hidden="1" outlineLevel="2" x14ac:dyDescent="0.3">
      <c r="A38" s="28"/>
      <c r="B38" s="11" t="str">
        <f>CONCATENATE("          ", "6007", " - ", "STUDENT HOURLY")</f>
        <v xml:space="preserve">          6007 - STUDENT HOURLY</v>
      </c>
      <c r="C38" s="11"/>
      <c r="D38" s="6">
        <v>22918.31</v>
      </c>
      <c r="E38" s="2"/>
      <c r="F38" s="7">
        <f t="shared" si="20"/>
        <v>4.7688416532520962E-2</v>
      </c>
      <c r="G38" s="2"/>
      <c r="H38" s="6">
        <v>10668.46</v>
      </c>
      <c r="I38" s="2"/>
      <c r="J38" s="7">
        <f t="shared" si="21"/>
        <v>0.12539486867017116</v>
      </c>
      <c r="K38" s="2"/>
      <c r="L38" s="6">
        <f t="shared" si="22"/>
        <v>12249.850000000002</v>
      </c>
      <c r="M38" s="2"/>
      <c r="N38" s="7">
        <f t="shared" si="23"/>
        <v>1.1482303912654688</v>
      </c>
      <c r="O38" s="11"/>
      <c r="P38" s="6">
        <v>114821.62</v>
      </c>
      <c r="Q38" s="2"/>
      <c r="R38" s="7">
        <f t="shared" si="24"/>
        <v>4.013847403379401E-2</v>
      </c>
      <c r="S38" s="2"/>
      <c r="T38" s="6">
        <v>69137.429999999993</v>
      </c>
      <c r="U38" s="2"/>
      <c r="V38" s="7">
        <f t="shared" si="25"/>
        <v>0.11284100705186212</v>
      </c>
      <c r="W38" s="2"/>
      <c r="X38" s="6">
        <f t="shared" si="26"/>
        <v>45684.19</v>
      </c>
      <c r="Y38" s="2"/>
      <c r="Z38" s="7">
        <f t="shared" si="27"/>
        <v>0.66077362146669327</v>
      </c>
    </row>
    <row r="39" spans="1:26" s="24" customFormat="1" hidden="1" outlineLevel="2" x14ac:dyDescent="0.3">
      <c r="A39" s="28"/>
      <c r="B39" s="11" t="str">
        <f>CONCATENATE("          ", "6008", " - ", "STUDENT HOURLY-FICA EXEMPT")</f>
        <v xml:space="preserve">          6008 - STUDENT HOURLY-FICA EXEMPT</v>
      </c>
      <c r="C39" s="11"/>
      <c r="D39" s="6">
        <v>14793.94</v>
      </c>
      <c r="E39" s="2"/>
      <c r="F39" s="7">
        <f t="shared" si="20"/>
        <v>3.0783228470036544E-2</v>
      </c>
      <c r="G39" s="2"/>
      <c r="H39" s="6">
        <v>1096.03</v>
      </c>
      <c r="I39" s="2"/>
      <c r="J39" s="7">
        <f t="shared" si="21"/>
        <v>1.2882509557008951E-2</v>
      </c>
      <c r="K39" s="2"/>
      <c r="L39" s="6">
        <f t="shared" si="22"/>
        <v>13697.91</v>
      </c>
      <c r="M39" s="2"/>
      <c r="N39" s="7">
        <f t="shared" si="23"/>
        <v>12.497750973969691</v>
      </c>
      <c r="O39" s="11"/>
      <c r="P39" s="6">
        <v>35402.5</v>
      </c>
      <c r="Q39" s="2"/>
      <c r="R39" s="7">
        <f t="shared" si="24"/>
        <v>1.2375738358171504E-2</v>
      </c>
      <c r="S39" s="2"/>
      <c r="T39" s="6">
        <v>10630.88</v>
      </c>
      <c r="U39" s="2"/>
      <c r="V39" s="7">
        <f t="shared" si="25"/>
        <v>1.7350937184785434E-2</v>
      </c>
      <c r="W39" s="2"/>
      <c r="X39" s="6">
        <f t="shared" si="26"/>
        <v>24771.620000000003</v>
      </c>
      <c r="Y39" s="2"/>
      <c r="Z39" s="7">
        <f t="shared" si="27"/>
        <v>2.3301570519091555</v>
      </c>
    </row>
    <row r="40" spans="1:26" s="29" customFormat="1" outlineLevel="1" collapsed="1" x14ac:dyDescent="0.3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68.040000000000006</v>
      </c>
      <c r="E40" s="1"/>
      <c r="F40" s="5">
        <f t="shared" ref="F40:F60" si="28">IF(D$12=0,0,D40/D$12)</f>
        <v>1.4157762334451041E-4</v>
      </c>
      <c r="G40" s="1"/>
      <c r="H40" s="1">
        <f>SUM(OSRRefH22_2x_0)</f>
        <v>0</v>
      </c>
      <c r="I40" s="1"/>
      <c r="J40" s="5">
        <f t="shared" ref="J40:J60" si="29">IF(H$12=0,0,H40/H$12)</f>
        <v>0</v>
      </c>
      <c r="K40" s="1"/>
      <c r="L40" s="1">
        <f t="shared" ref="L40:L60" si="30">+D40-H40</f>
        <v>68.040000000000006</v>
      </c>
      <c r="M40" s="1"/>
      <c r="N40" s="5">
        <f t="shared" ref="N40:N60" si="31">IF(H40=0,0,L40/H40)</f>
        <v>0</v>
      </c>
      <c r="O40" s="14"/>
      <c r="P40" s="1">
        <f>SUM(OSRRefP22_2x_0)</f>
        <v>1023.3</v>
      </c>
      <c r="Q40" s="1"/>
      <c r="R40" s="5">
        <f t="shared" ref="R40:R60" si="32">IF(P$12=0,0,P40/P$12)</f>
        <v>3.5771747932820844E-4</v>
      </c>
      <c r="S40" s="1"/>
      <c r="T40" s="1">
        <f>SUM(OSRRefT22_2x_0)</f>
        <v>1224.25</v>
      </c>
      <c r="U40" s="1"/>
      <c r="V40" s="5">
        <f t="shared" ref="V40:V60" si="33">IF(T$12=0,0,T40/T$12)</f>
        <v>1.9981304321442408E-3</v>
      </c>
      <c r="W40" s="1"/>
      <c r="X40" s="1">
        <f t="shared" ref="X40:X60" si="34">+P40-T40</f>
        <v>-200.95000000000005</v>
      </c>
      <c r="Y40" s="1"/>
      <c r="Z40" s="5">
        <f t="shared" ref="Z40:Z60" si="35">IF(T40=0,0,X40/T40)</f>
        <v>-0.16414131100673884</v>
      </c>
    </row>
    <row r="41" spans="1:26" s="24" customFormat="1" hidden="1" outlineLevel="2" x14ac:dyDescent="0.3">
      <c r="A41" s="28"/>
      <c r="B41" s="11" t="str">
        <f>CONCATENATE("          ", "6362", " - ", "ADVERTISING EXPENSE")</f>
        <v xml:space="preserve">          6362 - ADVERTISING EXPENSE</v>
      </c>
      <c r="C41" s="11"/>
      <c r="D41" s="6">
        <v>68.040000000000006</v>
      </c>
      <c r="E41" s="2"/>
      <c r="F41" s="7">
        <f t="shared" si="28"/>
        <v>1.4157762334451041E-4</v>
      </c>
      <c r="G41" s="2"/>
      <c r="H41" s="6"/>
      <c r="I41" s="2"/>
      <c r="J41" s="7">
        <f t="shared" si="29"/>
        <v>0</v>
      </c>
      <c r="K41" s="2"/>
      <c r="L41" s="6">
        <f t="shared" si="30"/>
        <v>68.040000000000006</v>
      </c>
      <c r="M41" s="2"/>
      <c r="N41" s="7">
        <f t="shared" si="31"/>
        <v>0</v>
      </c>
      <c r="O41" s="11"/>
      <c r="P41" s="6">
        <v>1023.3</v>
      </c>
      <c r="Q41" s="2"/>
      <c r="R41" s="7">
        <f t="shared" si="32"/>
        <v>3.5771747932820844E-4</v>
      </c>
      <c r="S41" s="2"/>
      <c r="T41" s="6">
        <v>1224.25</v>
      </c>
      <c r="U41" s="2"/>
      <c r="V41" s="7">
        <f t="shared" si="33"/>
        <v>1.9981304321442408E-3</v>
      </c>
      <c r="W41" s="2"/>
      <c r="X41" s="6">
        <f t="shared" si="34"/>
        <v>-200.95000000000005</v>
      </c>
      <c r="Y41" s="2"/>
      <c r="Z41" s="7">
        <f t="shared" si="35"/>
        <v>-0.16414131100673884</v>
      </c>
    </row>
    <row r="42" spans="1:26" s="29" customFormat="1" outlineLevel="1" collapsed="1" x14ac:dyDescent="0.3">
      <c r="A42" s="27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SUM(OSRRefD22_3x_0)</f>
        <v>0</v>
      </c>
      <c r="E42" s="1"/>
      <c r="F42" s="5">
        <f t="shared" si="28"/>
        <v>0</v>
      </c>
      <c r="G42" s="1"/>
      <c r="H42" s="1">
        <f>SUM(OSRRefH22_3x_0)</f>
        <v>0</v>
      </c>
      <c r="I42" s="1"/>
      <c r="J42" s="5">
        <f t="shared" si="29"/>
        <v>0</v>
      </c>
      <c r="K42" s="1"/>
      <c r="L42" s="1">
        <f t="shared" si="30"/>
        <v>0</v>
      </c>
      <c r="M42" s="1"/>
      <c r="N42" s="5">
        <f t="shared" si="31"/>
        <v>0</v>
      </c>
      <c r="O42" s="14"/>
      <c r="P42" s="1">
        <f>SUM(OSRRefP22_3x_0)</f>
        <v>0</v>
      </c>
      <c r="Q42" s="1"/>
      <c r="R42" s="5">
        <f t="shared" si="32"/>
        <v>0</v>
      </c>
      <c r="S42" s="1"/>
      <c r="T42" s="1">
        <f>SUM(OSRRefT22_3x_0)</f>
        <v>40</v>
      </c>
      <c r="U42" s="1"/>
      <c r="V42" s="5">
        <f t="shared" si="33"/>
        <v>6.5285045771508785E-5</v>
      </c>
      <c r="W42" s="1"/>
      <c r="X42" s="1">
        <f t="shared" si="34"/>
        <v>-40</v>
      </c>
      <c r="Y42" s="1"/>
      <c r="Z42" s="5">
        <f t="shared" si="35"/>
        <v>-1</v>
      </c>
    </row>
    <row r="43" spans="1:26" s="24" customFormat="1" hidden="1" outlineLevel="2" x14ac:dyDescent="0.3">
      <c r="A43" s="28"/>
      <c r="B43" s="11" t="str">
        <f>CONCATENATE("          ", "6272", " - ", "CASH (OVER/SHORT)")</f>
        <v xml:space="preserve">          6272 - CASH (OVER/SHORT)</v>
      </c>
      <c r="C43" s="11"/>
      <c r="D43" s="6"/>
      <c r="E43" s="2"/>
      <c r="F43" s="7">
        <f t="shared" si="28"/>
        <v>0</v>
      </c>
      <c r="G43" s="2"/>
      <c r="H43" s="6"/>
      <c r="I43" s="2"/>
      <c r="J43" s="7">
        <f t="shared" si="29"/>
        <v>0</v>
      </c>
      <c r="K43" s="2"/>
      <c r="L43" s="6">
        <f t="shared" si="30"/>
        <v>0</v>
      </c>
      <c r="M43" s="2"/>
      <c r="N43" s="7">
        <f t="shared" si="31"/>
        <v>0</v>
      </c>
      <c r="O43" s="11"/>
      <c r="P43" s="6"/>
      <c r="Q43" s="2"/>
      <c r="R43" s="7">
        <f t="shared" si="32"/>
        <v>0</v>
      </c>
      <c r="S43" s="2"/>
      <c r="T43" s="6">
        <v>40</v>
      </c>
      <c r="U43" s="2"/>
      <c r="V43" s="7">
        <f t="shared" si="33"/>
        <v>6.5285045771508785E-5</v>
      </c>
      <c r="W43" s="2"/>
      <c r="X43" s="6">
        <f t="shared" si="34"/>
        <v>-40</v>
      </c>
      <c r="Y43" s="2"/>
      <c r="Z43" s="7">
        <f t="shared" si="35"/>
        <v>-1</v>
      </c>
    </row>
    <row r="44" spans="1:26" s="29" customFormat="1" outlineLevel="1" collapsed="1" x14ac:dyDescent="0.3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SUM(OSRRefD22_4x_0)</f>
        <v>68.28</v>
      </c>
      <c r="E44" s="1"/>
      <c r="F44" s="5">
        <f t="shared" si="28"/>
        <v>1.4207701531397958E-4</v>
      </c>
      <c r="G44" s="1"/>
      <c r="H44" s="1">
        <f>SUM(OSRRefH22_4x_0)</f>
        <v>25.03</v>
      </c>
      <c r="I44" s="1"/>
      <c r="J44" s="5">
        <f t="shared" si="29"/>
        <v>2.9419743457016149E-4</v>
      </c>
      <c r="K44" s="1"/>
      <c r="L44" s="1">
        <f t="shared" si="30"/>
        <v>43.25</v>
      </c>
      <c r="M44" s="1"/>
      <c r="N44" s="5">
        <f t="shared" si="31"/>
        <v>1.727926488214143</v>
      </c>
      <c r="O44" s="14"/>
      <c r="P44" s="1">
        <f>SUM(OSRRefP22_4x_0)</f>
        <v>332.59</v>
      </c>
      <c r="Q44" s="1"/>
      <c r="R44" s="5">
        <f t="shared" si="32"/>
        <v>1.16264298299393E-4</v>
      </c>
      <c r="S44" s="1"/>
      <c r="T44" s="1">
        <f>SUM(OSRRefT22_4x_0)</f>
        <v>35.200000000000003</v>
      </c>
      <c r="U44" s="1"/>
      <c r="V44" s="5">
        <f t="shared" si="33"/>
        <v>5.7450840278927745E-5</v>
      </c>
      <c r="W44" s="1"/>
      <c r="X44" s="1">
        <f t="shared" si="34"/>
        <v>297.39</v>
      </c>
      <c r="Y44" s="1"/>
      <c r="Z44" s="5">
        <f t="shared" si="35"/>
        <v>8.4485795454545443</v>
      </c>
    </row>
    <row r="45" spans="1:26" s="24" customFormat="1" hidden="1" outlineLevel="2" x14ac:dyDescent="0.3">
      <c r="A45" s="28"/>
      <c r="B45" s="11" t="str">
        <f>CONCATENATE("          ", "6381", " - ", "BANK/CREDIT CARD FEES")</f>
        <v xml:space="preserve">          6381 - BANK/CREDIT CARD FEES</v>
      </c>
      <c r="C45" s="11"/>
      <c r="D45" s="6">
        <v>68.28</v>
      </c>
      <c r="E45" s="2"/>
      <c r="F45" s="7">
        <f t="shared" si="28"/>
        <v>1.4207701531397958E-4</v>
      </c>
      <c r="G45" s="2"/>
      <c r="H45" s="6">
        <v>25.03</v>
      </c>
      <c r="I45" s="2"/>
      <c r="J45" s="7">
        <f t="shared" si="29"/>
        <v>2.9419743457016149E-4</v>
      </c>
      <c r="K45" s="2"/>
      <c r="L45" s="6">
        <f t="shared" si="30"/>
        <v>43.25</v>
      </c>
      <c r="M45" s="2"/>
      <c r="N45" s="7">
        <f t="shared" si="31"/>
        <v>1.727926488214143</v>
      </c>
      <c r="O45" s="11"/>
      <c r="P45" s="6">
        <v>332.59</v>
      </c>
      <c r="Q45" s="2"/>
      <c r="R45" s="7">
        <f t="shared" si="32"/>
        <v>1.16264298299393E-4</v>
      </c>
      <c r="S45" s="2"/>
      <c r="T45" s="6">
        <v>35.200000000000003</v>
      </c>
      <c r="U45" s="2"/>
      <c r="V45" s="7">
        <f t="shared" si="33"/>
        <v>5.7450840278927745E-5</v>
      </c>
      <c r="W45" s="2"/>
      <c r="X45" s="6">
        <f t="shared" si="34"/>
        <v>297.39</v>
      </c>
      <c r="Y45" s="2"/>
      <c r="Z45" s="7">
        <f t="shared" si="35"/>
        <v>8.4485795454545443</v>
      </c>
    </row>
    <row r="46" spans="1:26" s="29" customFormat="1" outlineLevel="1" collapsed="1" x14ac:dyDescent="0.3">
      <c r="A46" s="27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SUM(OSRRefD22_5x_0)</f>
        <v>273.51</v>
      </c>
      <c r="E46" s="1"/>
      <c r="F46" s="5">
        <f t="shared" si="28"/>
        <v>5.6911957320630575E-4</v>
      </c>
      <c r="G46" s="1"/>
      <c r="H46" s="1">
        <f>SUM(OSRRefH22_5x_0)</f>
        <v>272.74</v>
      </c>
      <c r="I46" s="1"/>
      <c r="J46" s="5">
        <f t="shared" si="29"/>
        <v>3.2057294568384274E-3</v>
      </c>
      <c r="K46" s="1"/>
      <c r="L46" s="1">
        <f t="shared" si="30"/>
        <v>0.76999999999998181</v>
      </c>
      <c r="M46" s="1"/>
      <c r="N46" s="5">
        <f t="shared" si="31"/>
        <v>2.8232015839260165E-3</v>
      </c>
      <c r="O46" s="14"/>
      <c r="P46" s="1">
        <f>SUM(OSRRefP22_5x_0)</f>
        <v>1641.06</v>
      </c>
      <c r="Q46" s="1"/>
      <c r="R46" s="5">
        <f t="shared" si="32"/>
        <v>5.7366935075378654E-4</v>
      </c>
      <c r="S46" s="1"/>
      <c r="T46" s="1">
        <f>SUM(OSRRefT22_5x_0)</f>
        <v>1372.22</v>
      </c>
      <c r="U46" s="1"/>
      <c r="V46" s="5">
        <f t="shared" si="33"/>
        <v>2.2396361377144949E-3</v>
      </c>
      <c r="W46" s="1"/>
      <c r="X46" s="1">
        <f t="shared" si="34"/>
        <v>268.83999999999992</v>
      </c>
      <c r="Y46" s="1"/>
      <c r="Z46" s="5">
        <f t="shared" si="35"/>
        <v>0.19591610674673152</v>
      </c>
    </row>
    <row r="47" spans="1:26" s="24" customFormat="1" hidden="1" outlineLevel="2" x14ac:dyDescent="0.3">
      <c r="A47" s="28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273.51</v>
      </c>
      <c r="E47" s="2"/>
      <c r="F47" s="7">
        <f t="shared" si="28"/>
        <v>5.6911957320630575E-4</v>
      </c>
      <c r="G47" s="2"/>
      <c r="H47" s="6">
        <v>272.74</v>
      </c>
      <c r="I47" s="2"/>
      <c r="J47" s="7">
        <f t="shared" si="29"/>
        <v>3.2057294568384274E-3</v>
      </c>
      <c r="K47" s="2"/>
      <c r="L47" s="6">
        <f t="shared" si="30"/>
        <v>0.76999999999998181</v>
      </c>
      <c r="M47" s="2"/>
      <c r="N47" s="7">
        <f t="shared" si="31"/>
        <v>2.8232015839260165E-3</v>
      </c>
      <c r="O47" s="11"/>
      <c r="P47" s="6">
        <v>1641.06</v>
      </c>
      <c r="Q47" s="2"/>
      <c r="R47" s="7">
        <f t="shared" si="32"/>
        <v>5.7366935075378654E-4</v>
      </c>
      <c r="S47" s="2"/>
      <c r="T47" s="6">
        <v>1372.22</v>
      </c>
      <c r="U47" s="2"/>
      <c r="V47" s="7">
        <f t="shared" si="33"/>
        <v>2.2396361377144949E-3</v>
      </c>
      <c r="W47" s="2"/>
      <c r="X47" s="6">
        <f t="shared" si="34"/>
        <v>268.83999999999992</v>
      </c>
      <c r="Y47" s="2"/>
      <c r="Z47" s="7">
        <f t="shared" si="35"/>
        <v>0.19591610674673152</v>
      </c>
    </row>
    <row r="48" spans="1:26" s="29" customFormat="1" outlineLevel="1" collapsed="1" x14ac:dyDescent="0.3">
      <c r="A48" s="27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SUM(OSRRefD22_6x_0)</f>
        <v>1457.04</v>
      </c>
      <c r="E48" s="1"/>
      <c r="F48" s="5">
        <f t="shared" si="28"/>
        <v>3.0318086466473463E-3</v>
      </c>
      <c r="G48" s="1"/>
      <c r="H48" s="1">
        <f>SUM(OSRRefH22_6x_0)</f>
        <v>6666.05</v>
      </c>
      <c r="I48" s="1"/>
      <c r="J48" s="5">
        <f t="shared" si="29"/>
        <v>7.8351370703812415E-2</v>
      </c>
      <c r="K48" s="1"/>
      <c r="L48" s="1">
        <f t="shared" si="30"/>
        <v>-5209.01</v>
      </c>
      <c r="M48" s="1"/>
      <c r="N48" s="5">
        <f t="shared" si="31"/>
        <v>-0.7814237816998072</v>
      </c>
      <c r="O48" s="14"/>
      <c r="P48" s="1">
        <f>SUM(OSRRefP22_6x_0)</f>
        <v>12120</v>
      </c>
      <c r="Q48" s="1"/>
      <c r="R48" s="5">
        <f t="shared" si="32"/>
        <v>4.2368179902842629E-3</v>
      </c>
      <c r="S48" s="1"/>
      <c r="T48" s="1">
        <f>SUM(OSRRefT22_6x_0)</f>
        <v>36822.01</v>
      </c>
      <c r="U48" s="1"/>
      <c r="V48" s="5">
        <f t="shared" si="33"/>
        <v>6.0098165206223866E-2</v>
      </c>
      <c r="W48" s="1"/>
      <c r="X48" s="1">
        <f t="shared" si="34"/>
        <v>-24702.010000000002</v>
      </c>
      <c r="Y48" s="1"/>
      <c r="Z48" s="5">
        <f t="shared" si="35"/>
        <v>-0.67084903838763832</v>
      </c>
    </row>
    <row r="49" spans="1:26" s="24" customFormat="1" hidden="1" outlineLevel="2" x14ac:dyDescent="0.3">
      <c r="A49" s="28"/>
      <c r="B49" s="11" t="str">
        <f>CONCATENATE("          ", "6399", " - ", "DONATION-ON CAMPUS")</f>
        <v xml:space="preserve">          6399 - DONATION-ON CAMPUS</v>
      </c>
      <c r="C49" s="11"/>
      <c r="D49" s="6">
        <v>1457.04</v>
      </c>
      <c r="E49" s="2"/>
      <c r="F49" s="7">
        <f t="shared" si="28"/>
        <v>3.0318086466473463E-3</v>
      </c>
      <c r="G49" s="2"/>
      <c r="H49" s="6">
        <v>6666.05</v>
      </c>
      <c r="I49" s="2"/>
      <c r="J49" s="7">
        <f t="shared" si="29"/>
        <v>7.8351370703812415E-2</v>
      </c>
      <c r="K49" s="2"/>
      <c r="L49" s="6">
        <f t="shared" si="30"/>
        <v>-5209.01</v>
      </c>
      <c r="M49" s="2"/>
      <c r="N49" s="7">
        <f t="shared" si="31"/>
        <v>-0.7814237816998072</v>
      </c>
      <c r="O49" s="11"/>
      <c r="P49" s="6">
        <v>12120</v>
      </c>
      <c r="Q49" s="2"/>
      <c r="R49" s="7">
        <f t="shared" si="32"/>
        <v>4.2368179902842629E-3</v>
      </c>
      <c r="S49" s="2"/>
      <c r="T49" s="6">
        <v>36822.01</v>
      </c>
      <c r="U49" s="2"/>
      <c r="V49" s="7">
        <f t="shared" si="33"/>
        <v>6.0098165206223866E-2</v>
      </c>
      <c r="W49" s="2"/>
      <c r="X49" s="6">
        <f t="shared" si="34"/>
        <v>-24702.010000000002</v>
      </c>
      <c r="Y49" s="2"/>
      <c r="Z49" s="7">
        <f t="shared" si="35"/>
        <v>-0.67084903838763832</v>
      </c>
    </row>
    <row r="50" spans="1:26" s="29" customFormat="1" outlineLevel="1" collapsed="1" x14ac:dyDescent="0.3">
      <c r="A50" s="27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SUM(OSRRefD22_7x_0)</f>
        <v>113.4</v>
      </c>
      <c r="E50" s="1"/>
      <c r="F50" s="5">
        <f t="shared" si="28"/>
        <v>2.3596270557418403E-4</v>
      </c>
      <c r="G50" s="1"/>
      <c r="H50" s="1">
        <f>SUM(OSRRefH22_7x_0)</f>
        <v>0</v>
      </c>
      <c r="I50" s="1"/>
      <c r="J50" s="5">
        <f t="shared" si="29"/>
        <v>0</v>
      </c>
      <c r="K50" s="1"/>
      <c r="L50" s="1">
        <f t="shared" si="30"/>
        <v>113.4</v>
      </c>
      <c r="M50" s="1"/>
      <c r="N50" s="5">
        <f t="shared" si="31"/>
        <v>0</v>
      </c>
      <c r="O50" s="14"/>
      <c r="P50" s="1">
        <f>SUM(OSRRefP22_7x_0)</f>
        <v>113.4</v>
      </c>
      <c r="Q50" s="1"/>
      <c r="R50" s="5">
        <f t="shared" si="32"/>
        <v>3.9641514859590388E-5</v>
      </c>
      <c r="S50" s="1"/>
      <c r="T50" s="1">
        <f>SUM(OSRRefT22_7x_0)</f>
        <v>0</v>
      </c>
      <c r="U50" s="1"/>
      <c r="V50" s="5">
        <f t="shared" si="33"/>
        <v>0</v>
      </c>
      <c r="W50" s="1"/>
      <c r="X50" s="1">
        <f t="shared" si="34"/>
        <v>113.4</v>
      </c>
      <c r="Y50" s="1"/>
      <c r="Z50" s="5">
        <f t="shared" si="35"/>
        <v>0</v>
      </c>
    </row>
    <row r="51" spans="1:26" s="24" customFormat="1" hidden="1" outlineLevel="2" x14ac:dyDescent="0.3">
      <c r="A51" s="28"/>
      <c r="B51" s="11" t="str">
        <f>CONCATENATE("          ", "6277", " - ", "EMPLOYEE APPRECIATION")</f>
        <v xml:space="preserve">          6277 - EMPLOYEE APPRECIATION</v>
      </c>
      <c r="C51" s="11"/>
      <c r="D51" s="6">
        <v>113.4</v>
      </c>
      <c r="E51" s="2"/>
      <c r="F51" s="7">
        <f t="shared" si="28"/>
        <v>2.3596270557418403E-4</v>
      </c>
      <c r="G51" s="2"/>
      <c r="H51" s="6"/>
      <c r="I51" s="2"/>
      <c r="J51" s="7">
        <f t="shared" si="29"/>
        <v>0</v>
      </c>
      <c r="K51" s="2"/>
      <c r="L51" s="6">
        <f t="shared" si="30"/>
        <v>113.4</v>
      </c>
      <c r="M51" s="2"/>
      <c r="N51" s="7">
        <f t="shared" si="31"/>
        <v>0</v>
      </c>
      <c r="O51" s="11"/>
      <c r="P51" s="6">
        <v>113.4</v>
      </c>
      <c r="Q51" s="2"/>
      <c r="R51" s="7">
        <f t="shared" si="32"/>
        <v>3.9641514859590388E-5</v>
      </c>
      <c r="S51" s="2"/>
      <c r="T51" s="6"/>
      <c r="U51" s="2"/>
      <c r="V51" s="7">
        <f t="shared" si="33"/>
        <v>0</v>
      </c>
      <c r="W51" s="2"/>
      <c r="X51" s="6">
        <f t="shared" si="34"/>
        <v>113.4</v>
      </c>
      <c r="Y51" s="2"/>
      <c r="Z51" s="7">
        <f t="shared" si="35"/>
        <v>0</v>
      </c>
    </row>
    <row r="52" spans="1:26" s="29" customFormat="1" outlineLevel="1" collapsed="1" x14ac:dyDescent="0.3">
      <c r="A52" s="27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SUM(OSRRefD22_8x_0)</f>
        <v>543.94000000000005</v>
      </c>
      <c r="E52" s="1"/>
      <c r="F52" s="5">
        <f t="shared" si="28"/>
        <v>1.1318302828044239E-3</v>
      </c>
      <c r="G52" s="1"/>
      <c r="H52" s="1">
        <f>SUM(OSRRefH22_8x_0)</f>
        <v>110.26</v>
      </c>
      <c r="I52" s="1"/>
      <c r="J52" s="5">
        <f t="shared" si="29"/>
        <v>1.2959731975911307E-3</v>
      </c>
      <c r="K52" s="1"/>
      <c r="L52" s="1">
        <f t="shared" si="30"/>
        <v>433.68000000000006</v>
      </c>
      <c r="M52" s="1"/>
      <c r="N52" s="5">
        <f t="shared" si="31"/>
        <v>3.9332486849265376</v>
      </c>
      <c r="O52" s="14"/>
      <c r="P52" s="1">
        <f>SUM(OSRRefP22_8x_0)</f>
        <v>1968.65</v>
      </c>
      <c r="Q52" s="1"/>
      <c r="R52" s="5">
        <f t="shared" si="32"/>
        <v>6.8818578684596665E-4</v>
      </c>
      <c r="S52" s="1"/>
      <c r="T52" s="1">
        <f>SUM(OSRRefT22_8x_0)</f>
        <v>1520.86</v>
      </c>
      <c r="U52" s="1"/>
      <c r="V52" s="5">
        <f t="shared" si="33"/>
        <v>2.4822353678014214E-3</v>
      </c>
      <c r="W52" s="1"/>
      <c r="X52" s="1">
        <f t="shared" si="34"/>
        <v>447.79000000000019</v>
      </c>
      <c r="Y52" s="1"/>
      <c r="Z52" s="5">
        <f t="shared" si="35"/>
        <v>0.29443209762897321</v>
      </c>
    </row>
    <row r="53" spans="1:26" s="24" customFormat="1" hidden="1" outlineLevel="2" x14ac:dyDescent="0.3">
      <c r="A53" s="28"/>
      <c r="B53" s="11" t="str">
        <f>CONCATENATE("          ", "6351", " - ", "EQUIPMENT RENTAL")</f>
        <v xml:space="preserve">          6351 - EQUIPMENT RENTAL</v>
      </c>
      <c r="C53" s="11"/>
      <c r="D53" s="6">
        <v>543.94000000000005</v>
      </c>
      <c r="E53" s="2"/>
      <c r="F53" s="7">
        <f t="shared" si="28"/>
        <v>1.1318302828044239E-3</v>
      </c>
      <c r="G53" s="2"/>
      <c r="H53" s="6">
        <v>110.26</v>
      </c>
      <c r="I53" s="2"/>
      <c r="J53" s="7">
        <f t="shared" si="29"/>
        <v>1.2959731975911307E-3</v>
      </c>
      <c r="K53" s="2"/>
      <c r="L53" s="6">
        <f t="shared" si="30"/>
        <v>433.68000000000006</v>
      </c>
      <c r="M53" s="2"/>
      <c r="N53" s="7">
        <f t="shared" si="31"/>
        <v>3.9332486849265376</v>
      </c>
      <c r="O53" s="11"/>
      <c r="P53" s="6">
        <v>1968.65</v>
      </c>
      <c r="Q53" s="2"/>
      <c r="R53" s="7">
        <f t="shared" si="32"/>
        <v>6.8818578684596665E-4</v>
      </c>
      <c r="S53" s="2"/>
      <c r="T53" s="6">
        <v>1520.86</v>
      </c>
      <c r="U53" s="2"/>
      <c r="V53" s="7">
        <f t="shared" si="33"/>
        <v>2.4822353678014214E-3</v>
      </c>
      <c r="W53" s="2"/>
      <c r="X53" s="6">
        <f t="shared" si="34"/>
        <v>447.79000000000019</v>
      </c>
      <c r="Y53" s="2"/>
      <c r="Z53" s="7">
        <f t="shared" si="35"/>
        <v>0.29443209762897321</v>
      </c>
    </row>
    <row r="54" spans="1:26" s="29" customFormat="1" outlineLevel="1" collapsed="1" x14ac:dyDescent="0.3">
      <c r="A54" s="27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SUM(OSRRefD22_9x_0)</f>
        <v>0</v>
      </c>
      <c r="E54" s="1"/>
      <c r="F54" s="5">
        <f t="shared" si="28"/>
        <v>0</v>
      </c>
      <c r="G54" s="1"/>
      <c r="H54" s="1">
        <f>SUM(OSRRefH22_9x_0)</f>
        <v>449.23</v>
      </c>
      <c r="I54" s="1"/>
      <c r="J54" s="5">
        <f t="shared" si="29"/>
        <v>5.280156353653761E-3</v>
      </c>
      <c r="K54" s="1"/>
      <c r="L54" s="1">
        <f t="shared" si="30"/>
        <v>-449.23</v>
      </c>
      <c r="M54" s="1"/>
      <c r="N54" s="5">
        <f t="shared" si="31"/>
        <v>-1</v>
      </c>
      <c r="O54" s="14"/>
      <c r="P54" s="1">
        <f>SUM(OSRRefP22_9x_0)</f>
        <v>1557.93</v>
      </c>
      <c r="Q54" s="1"/>
      <c r="R54" s="5">
        <f t="shared" si="32"/>
        <v>5.4460939369666364E-4</v>
      </c>
      <c r="S54" s="1"/>
      <c r="T54" s="1">
        <f>SUM(OSRRefT22_9x_0)</f>
        <v>1888.78</v>
      </c>
      <c r="U54" s="1"/>
      <c r="V54" s="5">
        <f t="shared" si="33"/>
        <v>3.0827272188077592E-3</v>
      </c>
      <c r="W54" s="1"/>
      <c r="X54" s="1">
        <f t="shared" si="34"/>
        <v>-330.84999999999991</v>
      </c>
      <c r="Y54" s="1"/>
      <c r="Z54" s="5">
        <f t="shared" si="35"/>
        <v>-0.17516598015650309</v>
      </c>
    </row>
    <row r="55" spans="1:26" s="24" customFormat="1" hidden="1" outlineLevel="2" x14ac:dyDescent="0.3">
      <c r="A55" s="28"/>
      <c r="B55" s="11" t="str">
        <f>CONCATENATE("          ", "6279", " - ", "GENERAL EXPENSE")</f>
        <v xml:space="preserve">          6279 - GENERAL EXPENSE</v>
      </c>
      <c r="C55" s="11"/>
      <c r="D55" s="6"/>
      <c r="E55" s="2"/>
      <c r="F55" s="7">
        <f t="shared" si="28"/>
        <v>0</v>
      </c>
      <c r="G55" s="2"/>
      <c r="H55" s="6">
        <v>449.23</v>
      </c>
      <c r="I55" s="2"/>
      <c r="J55" s="7">
        <f t="shared" si="29"/>
        <v>5.280156353653761E-3</v>
      </c>
      <c r="K55" s="2"/>
      <c r="L55" s="6">
        <f t="shared" si="30"/>
        <v>-449.23</v>
      </c>
      <c r="M55" s="2"/>
      <c r="N55" s="7">
        <f t="shared" si="31"/>
        <v>-1</v>
      </c>
      <c r="O55" s="11"/>
      <c r="P55" s="6">
        <v>1557.93</v>
      </c>
      <c r="Q55" s="2"/>
      <c r="R55" s="7">
        <f t="shared" si="32"/>
        <v>5.4460939369666364E-4</v>
      </c>
      <c r="S55" s="2"/>
      <c r="T55" s="6">
        <v>1888.78</v>
      </c>
      <c r="U55" s="2"/>
      <c r="V55" s="7">
        <f t="shared" si="33"/>
        <v>3.0827272188077592E-3</v>
      </c>
      <c r="W55" s="2"/>
      <c r="X55" s="6">
        <f t="shared" si="34"/>
        <v>-330.84999999999991</v>
      </c>
      <c r="Y55" s="2"/>
      <c r="Z55" s="7">
        <f t="shared" si="35"/>
        <v>-0.17516598015650309</v>
      </c>
    </row>
    <row r="56" spans="1:26" s="29" customFormat="1" outlineLevel="1" collapsed="1" x14ac:dyDescent="0.3">
      <c r="A56" s="27"/>
      <c r="B56" s="14" t="str">
        <f>CONCATENATE("     ","R/H Commissions                                   ")</f>
        <v xml:space="preserve">     R/H Commissions                                   </v>
      </c>
      <c r="C56" s="14"/>
      <c r="D56" s="1">
        <f>SUM(OSRRefD22_10x_0)</f>
        <v>38279.85</v>
      </c>
      <c r="E56" s="1"/>
      <c r="F56" s="5">
        <f t="shared" si="28"/>
        <v>7.9652707010352097E-2</v>
      </c>
      <c r="G56" s="1"/>
      <c r="H56" s="1">
        <f>SUM(OSRRefH22_10x_0)</f>
        <v>38313.42</v>
      </c>
      <c r="I56" s="1"/>
      <c r="J56" s="5">
        <f t="shared" si="29"/>
        <v>0.4503280013427533</v>
      </c>
      <c r="K56" s="1"/>
      <c r="L56" s="1">
        <f t="shared" si="30"/>
        <v>-33.569999999999709</v>
      </c>
      <c r="M56" s="1"/>
      <c r="N56" s="5">
        <f t="shared" si="31"/>
        <v>-8.7619429432297382E-4</v>
      </c>
      <c r="O56" s="14"/>
      <c r="P56" s="1">
        <f>SUM(OSRRefP22_10x_0)</f>
        <v>224261.63</v>
      </c>
      <c r="Q56" s="1"/>
      <c r="R56" s="5">
        <f t="shared" si="32"/>
        <v>7.8395685520996128E-2</v>
      </c>
      <c r="S56" s="1"/>
      <c r="T56" s="1">
        <f>SUM(OSRRefT22_10x_0)</f>
        <v>73104.320000000007</v>
      </c>
      <c r="U56" s="1"/>
      <c r="V56" s="5">
        <f t="shared" si="33"/>
        <v>0.11931547193237566</v>
      </c>
      <c r="W56" s="1"/>
      <c r="X56" s="1">
        <f t="shared" si="34"/>
        <v>151157.31</v>
      </c>
      <c r="Y56" s="1"/>
      <c r="Z56" s="5">
        <f t="shared" si="35"/>
        <v>2.0676932635444798</v>
      </c>
    </row>
    <row r="57" spans="1:26" s="24" customFormat="1" hidden="1" outlineLevel="2" x14ac:dyDescent="0.3">
      <c r="A57" s="28"/>
      <c r="B57" s="11" t="str">
        <f>CONCATENATE("          ", "6387", " - ", "COMMISSION DUE HOUSING")</f>
        <v xml:space="preserve">          6387 - COMMISSION DUE HOUSING</v>
      </c>
      <c r="C57" s="11"/>
      <c r="D57" s="6">
        <v>38279.85</v>
      </c>
      <c r="E57" s="2"/>
      <c r="F57" s="7">
        <f t="shared" si="28"/>
        <v>7.9652707010352097E-2</v>
      </c>
      <c r="G57" s="2"/>
      <c r="H57" s="6">
        <v>38313.42</v>
      </c>
      <c r="I57" s="2"/>
      <c r="J57" s="7">
        <f t="shared" si="29"/>
        <v>0.4503280013427533</v>
      </c>
      <c r="K57" s="2"/>
      <c r="L57" s="6">
        <f t="shared" si="30"/>
        <v>-33.569999999999709</v>
      </c>
      <c r="M57" s="2"/>
      <c r="N57" s="7">
        <f t="shared" si="31"/>
        <v>-8.7619429432297382E-4</v>
      </c>
      <c r="O57" s="11"/>
      <c r="P57" s="6">
        <v>224261.63</v>
      </c>
      <c r="Q57" s="2"/>
      <c r="R57" s="7">
        <f t="shared" si="32"/>
        <v>7.8395685520996128E-2</v>
      </c>
      <c r="S57" s="2"/>
      <c r="T57" s="6">
        <v>73104.320000000007</v>
      </c>
      <c r="U57" s="2"/>
      <c r="V57" s="7">
        <f t="shared" si="33"/>
        <v>0.11931547193237566</v>
      </c>
      <c r="W57" s="2"/>
      <c r="X57" s="6">
        <f t="shared" si="34"/>
        <v>151157.31</v>
      </c>
      <c r="Y57" s="2"/>
      <c r="Z57" s="7">
        <f t="shared" si="35"/>
        <v>2.0676932635444798</v>
      </c>
    </row>
    <row r="58" spans="1:26" s="29" customFormat="1" outlineLevel="1" collapsed="1" x14ac:dyDescent="0.3">
      <c r="A58" s="27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SUM(OSRRefD22_11x_0)</f>
        <v>105.7</v>
      </c>
      <c r="E58" s="1"/>
      <c r="F58" s="5">
        <f t="shared" si="28"/>
        <v>2.1994054655371473E-4</v>
      </c>
      <c r="G58" s="1"/>
      <c r="H58" s="1">
        <f>SUM(OSRRefH22_11x_0)</f>
        <v>78.430000000000007</v>
      </c>
      <c r="I58" s="1"/>
      <c r="J58" s="5">
        <f t="shared" si="29"/>
        <v>9.2184997176738973E-4</v>
      </c>
      <c r="K58" s="1"/>
      <c r="L58" s="1">
        <f t="shared" si="30"/>
        <v>27.269999999999996</v>
      </c>
      <c r="M58" s="1"/>
      <c r="N58" s="5">
        <f t="shared" si="31"/>
        <v>0.34769858472523263</v>
      </c>
      <c r="O58" s="14"/>
      <c r="P58" s="1">
        <f>SUM(OSRRefP22_11x_0)</f>
        <v>2112.96</v>
      </c>
      <c r="Q58" s="1"/>
      <c r="R58" s="5">
        <f t="shared" si="32"/>
        <v>7.3863258587054763E-4</v>
      </c>
      <c r="S58" s="1"/>
      <c r="T58" s="1">
        <f>SUM(OSRRefT22_11x_0)</f>
        <v>3260.27</v>
      </c>
      <c r="U58" s="1"/>
      <c r="V58" s="5">
        <f t="shared" si="33"/>
        <v>5.3211719044369242E-3</v>
      </c>
      <c r="W58" s="1"/>
      <c r="X58" s="1">
        <f t="shared" si="34"/>
        <v>-1147.31</v>
      </c>
      <c r="Y58" s="1"/>
      <c r="Z58" s="5">
        <f t="shared" si="35"/>
        <v>-0.35190643719691928</v>
      </c>
    </row>
    <row r="59" spans="1:26" s="24" customFormat="1" hidden="1" outlineLevel="2" x14ac:dyDescent="0.3">
      <c r="A59" s="28"/>
      <c r="B59" s="11" t="str">
        <f>CONCATENATE("          ", "6373", " - ", "MAINTENANCE CONTRACTS")</f>
        <v xml:space="preserve">          6373 - MAINTENANCE CONTRACTS</v>
      </c>
      <c r="C59" s="11"/>
      <c r="D59" s="6">
        <v>105.7</v>
      </c>
      <c r="E59" s="2"/>
      <c r="F59" s="7">
        <f t="shared" si="28"/>
        <v>2.1994054655371473E-4</v>
      </c>
      <c r="G59" s="2"/>
      <c r="H59" s="6">
        <v>78.430000000000007</v>
      </c>
      <c r="I59" s="2"/>
      <c r="J59" s="7">
        <f t="shared" si="29"/>
        <v>9.2184997176738973E-4</v>
      </c>
      <c r="K59" s="2"/>
      <c r="L59" s="6">
        <f t="shared" si="30"/>
        <v>27.269999999999996</v>
      </c>
      <c r="M59" s="2"/>
      <c r="N59" s="7">
        <f t="shared" si="31"/>
        <v>0.34769858472523263</v>
      </c>
      <c r="O59" s="11"/>
      <c r="P59" s="6">
        <v>268.43</v>
      </c>
      <c r="Q59" s="2"/>
      <c r="R59" s="7">
        <f t="shared" si="32"/>
        <v>9.3835730456436045E-5</v>
      </c>
      <c r="S59" s="2"/>
      <c r="T59" s="6">
        <v>1583.45</v>
      </c>
      <c r="U59" s="2"/>
      <c r="V59" s="7">
        <f t="shared" si="33"/>
        <v>2.58439014317239E-3</v>
      </c>
      <c r="W59" s="2"/>
      <c r="X59" s="6">
        <f t="shared" si="34"/>
        <v>-1315.02</v>
      </c>
      <c r="Y59" s="2"/>
      <c r="Z59" s="7">
        <f t="shared" si="35"/>
        <v>-0.83047775427073789</v>
      </c>
    </row>
    <row r="60" spans="1:26" s="24" customFormat="1" hidden="1" outlineLevel="2" x14ac:dyDescent="0.3">
      <c r="A60" s="28"/>
      <c r="B60" s="11" t="str">
        <f>CONCATENATE("          ", "6375", " - ", "OUTSIDE REPAIRS &amp; MAINTENANCE")</f>
        <v xml:space="preserve">          6375 - OUTSIDE REPAIRS &amp; MAINTENANCE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1844.53</v>
      </c>
      <c r="Q60" s="2"/>
      <c r="R60" s="7">
        <f t="shared" si="32"/>
        <v>6.4479685541411161E-4</v>
      </c>
      <c r="S60" s="2"/>
      <c r="T60" s="6">
        <v>1676.82</v>
      </c>
      <c r="U60" s="2"/>
      <c r="V60" s="7">
        <f t="shared" si="33"/>
        <v>2.7367817612645342E-3</v>
      </c>
      <c r="W60" s="2"/>
      <c r="X60" s="6">
        <f t="shared" si="34"/>
        <v>167.71000000000004</v>
      </c>
      <c r="Y60" s="2"/>
      <c r="Z60" s="7">
        <f t="shared" si="35"/>
        <v>0.10001669827411412</v>
      </c>
    </row>
    <row r="61" spans="1:26" s="29" customFormat="1" outlineLevel="1" collapsed="1" x14ac:dyDescent="0.3">
      <c r="A61" s="27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SUM(OSRRefD22_12x_0)</f>
        <v>6140.6100000000006</v>
      </c>
      <c r="E61" s="1"/>
      <c r="F61" s="5">
        <f t="shared" ref="F61:F65" si="36">IF(D$12=0,0,D61/D$12)</f>
        <v>1.2777380506842066E-2</v>
      </c>
      <c r="G61" s="1"/>
      <c r="H61" s="1">
        <f>SUM(OSRRefH22_12x_0)</f>
        <v>6554.62</v>
      </c>
      <c r="I61" s="1"/>
      <c r="J61" s="5">
        <f t="shared" ref="J61:J65" si="37">IF(H$12=0,0,H61/H$12)</f>
        <v>7.7041645568608541E-2</v>
      </c>
      <c r="K61" s="1"/>
      <c r="L61" s="1">
        <f t="shared" ref="L61:L65" si="38">+D61-H61</f>
        <v>-414.00999999999931</v>
      </c>
      <c r="M61" s="1"/>
      <c r="N61" s="5">
        <f t="shared" ref="N61:N65" si="39">IF(H61=0,0,L61/H61)</f>
        <v>-6.3163081917792227E-2</v>
      </c>
      <c r="O61" s="14"/>
      <c r="P61" s="1">
        <f>SUM(OSRRefP22_12x_0)</f>
        <v>39184.25</v>
      </c>
      <c r="Q61" s="1"/>
      <c r="R61" s="5">
        <f t="shared" ref="R61:R65" si="40">IF(P$12=0,0,P61/P$12)</f>
        <v>1.3697733938597042E-2</v>
      </c>
      <c r="S61" s="1"/>
      <c r="T61" s="1">
        <f>SUM(OSRRefT22_12x_0)</f>
        <v>27268.080000000002</v>
      </c>
      <c r="U61" s="1"/>
      <c r="V61" s="5">
        <f t="shared" ref="V61:V65" si="41">IF(T$12=0,0,T61/T$12)</f>
        <v>4.4504946272529086E-2</v>
      </c>
      <c r="W61" s="1"/>
      <c r="X61" s="1">
        <f t="shared" ref="X61:X65" si="42">+P61-T61</f>
        <v>11916.169999999998</v>
      </c>
      <c r="Y61" s="1"/>
      <c r="Z61" s="5">
        <f t="shared" ref="Z61:Z65" si="43">IF(T61=0,0,X61/T61)</f>
        <v>0.43700069825231541</v>
      </c>
    </row>
    <row r="62" spans="1:26" s="24" customFormat="1" hidden="1" outlineLevel="2" x14ac:dyDescent="0.3">
      <c r="A62" s="28"/>
      <c r="B62" s="11" t="str">
        <f>CONCATENATE("          ", "6282", " - ", "JANITORIAL/EXTERMINATOR EXPENS")</f>
        <v xml:space="preserve">          6282 - JANITORIAL/EXTERMINATOR EXPENS</v>
      </c>
      <c r="C62" s="11"/>
      <c r="D62" s="6">
        <v>459.25</v>
      </c>
      <c r="E62" s="2"/>
      <c r="F62" s="7">
        <f t="shared" si="36"/>
        <v>9.5560734157798945E-4</v>
      </c>
      <c r="G62" s="2"/>
      <c r="H62" s="6">
        <v>1132.06</v>
      </c>
      <c r="I62" s="2"/>
      <c r="J62" s="7">
        <f t="shared" si="37"/>
        <v>1.3305998712724608E-2</v>
      </c>
      <c r="K62" s="2"/>
      <c r="L62" s="6">
        <f t="shared" si="38"/>
        <v>-672.81</v>
      </c>
      <c r="M62" s="2"/>
      <c r="N62" s="7">
        <f t="shared" si="39"/>
        <v>-0.59432362242283976</v>
      </c>
      <c r="O62" s="11"/>
      <c r="P62" s="6">
        <v>3659.05</v>
      </c>
      <c r="Q62" s="2"/>
      <c r="R62" s="7">
        <f t="shared" si="40"/>
        <v>1.2791030418605309E-3</v>
      </c>
      <c r="S62" s="2"/>
      <c r="T62" s="6">
        <v>1974.74</v>
      </c>
      <c r="U62" s="2"/>
      <c r="V62" s="7">
        <f t="shared" si="41"/>
        <v>3.2230247821707319E-3</v>
      </c>
      <c r="W62" s="2"/>
      <c r="X62" s="6">
        <f t="shared" si="42"/>
        <v>1684.3100000000002</v>
      </c>
      <c r="Y62" s="2"/>
      <c r="Z62" s="7">
        <f t="shared" si="43"/>
        <v>0.85292747399657687</v>
      </c>
    </row>
    <row r="63" spans="1:26" s="24" customFormat="1" hidden="1" outlineLevel="2" x14ac:dyDescent="0.3">
      <c r="A63" s="28"/>
      <c r="B63" s="11" t="str">
        <f>CONCATENATE("          ", "6284", " - ", "TRASH REMOVAL EXPENSE")</f>
        <v xml:space="preserve">          6284 - TRASH REMOVAL EXPENSE</v>
      </c>
      <c r="C63" s="11"/>
      <c r="D63" s="6"/>
      <c r="E63" s="2"/>
      <c r="F63" s="7">
        <f t="shared" si="36"/>
        <v>0</v>
      </c>
      <c r="G63" s="2"/>
      <c r="H63" s="6">
        <v>282.75</v>
      </c>
      <c r="I63" s="2"/>
      <c r="J63" s="7">
        <f t="shared" si="37"/>
        <v>3.3233849230808292E-3</v>
      </c>
      <c r="K63" s="2"/>
      <c r="L63" s="6">
        <f t="shared" si="38"/>
        <v>-282.75</v>
      </c>
      <c r="M63" s="2"/>
      <c r="N63" s="7">
        <f t="shared" si="39"/>
        <v>-1</v>
      </c>
      <c r="O63" s="11"/>
      <c r="P63" s="6"/>
      <c r="Q63" s="2"/>
      <c r="R63" s="7">
        <f t="shared" si="40"/>
        <v>0</v>
      </c>
      <c r="S63" s="2"/>
      <c r="T63" s="6">
        <v>282.75</v>
      </c>
      <c r="U63" s="2"/>
      <c r="V63" s="7">
        <f t="shared" si="41"/>
        <v>4.6148366729735279E-4</v>
      </c>
      <c r="W63" s="2"/>
      <c r="X63" s="6">
        <f t="shared" si="42"/>
        <v>-282.75</v>
      </c>
      <c r="Y63" s="2"/>
      <c r="Z63" s="7">
        <f t="shared" si="43"/>
        <v>-1</v>
      </c>
    </row>
    <row r="64" spans="1:26" s="24" customFormat="1" hidden="1" outlineLevel="2" x14ac:dyDescent="0.3">
      <c r="A64" s="28"/>
      <c r="B64" s="11" t="str">
        <f>CONCATENATE("          ", "6285", " - ", "JANITORIAL SERVICES")</f>
        <v xml:space="preserve">          6285 - JANITORIAL SERVICES</v>
      </c>
      <c r="C64" s="11"/>
      <c r="D64" s="6">
        <v>5051.18</v>
      </c>
      <c r="E64" s="2"/>
      <c r="F64" s="7">
        <f t="shared" si="36"/>
        <v>1.0510494701430395E-2</v>
      </c>
      <c r="G64" s="2"/>
      <c r="H64" s="6">
        <v>4194.1000000000004</v>
      </c>
      <c r="I64" s="2"/>
      <c r="J64" s="7">
        <f t="shared" si="37"/>
        <v>4.9296582514211519E-2</v>
      </c>
      <c r="K64" s="2"/>
      <c r="L64" s="6">
        <f t="shared" si="38"/>
        <v>857.07999999999993</v>
      </c>
      <c r="M64" s="2"/>
      <c r="N64" s="7">
        <f t="shared" si="39"/>
        <v>0.20435373500870266</v>
      </c>
      <c r="O64" s="11"/>
      <c r="P64" s="6">
        <v>29143.54</v>
      </c>
      <c r="Q64" s="2"/>
      <c r="R64" s="7">
        <f t="shared" si="40"/>
        <v>1.0187778430079954E-2</v>
      </c>
      <c r="S64" s="2"/>
      <c r="T64" s="6">
        <v>20202.63</v>
      </c>
      <c r="U64" s="2"/>
      <c r="V64" s="7">
        <f t="shared" si="41"/>
        <v>3.2973240606371419E-2</v>
      </c>
      <c r="W64" s="2"/>
      <c r="X64" s="6">
        <f t="shared" si="42"/>
        <v>8940.91</v>
      </c>
      <c r="Y64" s="2"/>
      <c r="Z64" s="7">
        <f t="shared" si="43"/>
        <v>0.44256168627549974</v>
      </c>
    </row>
    <row r="65" spans="1:26" s="24" customFormat="1" hidden="1" outlineLevel="2" x14ac:dyDescent="0.3">
      <c r="A65" s="28"/>
      <c r="B65" s="11" t="str">
        <f>CONCATENATE("          ", "6286", " - ", "LAUNDRY EXPENSE")</f>
        <v xml:space="preserve">          6286 - LAUNDRY EXPENSE</v>
      </c>
      <c r="C65" s="11"/>
      <c r="D65" s="6">
        <v>630.17999999999995</v>
      </c>
      <c r="E65" s="2"/>
      <c r="F65" s="7">
        <f t="shared" si="36"/>
        <v>1.3112784638336797E-3</v>
      </c>
      <c r="G65" s="2"/>
      <c r="H65" s="6">
        <v>945.71</v>
      </c>
      <c r="I65" s="2"/>
      <c r="J65" s="7">
        <f t="shared" si="37"/>
        <v>1.1115679418591587E-2</v>
      </c>
      <c r="K65" s="2"/>
      <c r="L65" s="6">
        <f t="shared" si="38"/>
        <v>-315.53000000000009</v>
      </c>
      <c r="M65" s="2"/>
      <c r="N65" s="7">
        <f t="shared" si="39"/>
        <v>-0.33364350593733816</v>
      </c>
      <c r="O65" s="11"/>
      <c r="P65" s="6">
        <v>6381.66</v>
      </c>
      <c r="Q65" s="2"/>
      <c r="R65" s="7">
        <f t="shared" si="40"/>
        <v>2.2308524666565569E-3</v>
      </c>
      <c r="S65" s="2"/>
      <c r="T65" s="6">
        <v>4807.96</v>
      </c>
      <c r="U65" s="2"/>
      <c r="V65" s="7">
        <f t="shared" si="41"/>
        <v>7.8471972166895849E-3</v>
      </c>
      <c r="W65" s="2"/>
      <c r="X65" s="6">
        <f t="shared" si="42"/>
        <v>1573.6999999999998</v>
      </c>
      <c r="Y65" s="2"/>
      <c r="Z65" s="7">
        <f t="shared" si="43"/>
        <v>0.32731137530262311</v>
      </c>
    </row>
    <row r="66" spans="1:26" s="29" customFormat="1" outlineLevel="1" collapsed="1" x14ac:dyDescent="0.3">
      <c r="A66" s="27"/>
      <c r="B66" s="14" t="str">
        <f>CONCATENATE("     ","Subscriptions &amp; Dues                              ")</f>
        <v xml:space="preserve">     Subscriptions &amp; Dues                              </v>
      </c>
      <c r="C66" s="14"/>
      <c r="D66" s="1">
        <f>SUM(OSRRefD22_13x_0)</f>
        <v>0</v>
      </c>
      <c r="E66" s="1"/>
      <c r="F66" s="5">
        <f t="shared" ref="F66:F76" si="44">IF(D$12=0,0,D66/D$12)</f>
        <v>0</v>
      </c>
      <c r="G66" s="1"/>
      <c r="H66" s="1">
        <f>SUM(OSRRefH22_13x_0)</f>
        <v>0</v>
      </c>
      <c r="I66" s="1"/>
      <c r="J66" s="5">
        <f t="shared" ref="J66:J76" si="45">IF(H$12=0,0,H66/H$12)</f>
        <v>0</v>
      </c>
      <c r="K66" s="1"/>
      <c r="L66" s="1">
        <f t="shared" ref="L66:L76" si="46">+D66-H66</f>
        <v>0</v>
      </c>
      <c r="M66" s="1"/>
      <c r="N66" s="5">
        <f t="shared" ref="N66:N76" si="47">IF(H66=0,0,L66/H66)</f>
        <v>0</v>
      </c>
      <c r="O66" s="14"/>
      <c r="P66" s="1">
        <f>SUM(OSRRefP22_13x_0)</f>
        <v>0</v>
      </c>
      <c r="Q66" s="1"/>
      <c r="R66" s="5">
        <f t="shared" ref="R66:R76" si="48">IF(P$12=0,0,P66/P$12)</f>
        <v>0</v>
      </c>
      <c r="S66" s="1"/>
      <c r="T66" s="1">
        <f>SUM(OSRRefT22_13x_0)</f>
        <v>795</v>
      </c>
      <c r="U66" s="1"/>
      <c r="V66" s="5">
        <f t="shared" ref="V66:V76" si="49">IF(T$12=0,0,T66/T$12)</f>
        <v>1.2975402847087373E-3</v>
      </c>
      <c r="W66" s="1"/>
      <c r="X66" s="1">
        <f t="shared" ref="X66:X76" si="50">+P66-T66</f>
        <v>-795</v>
      </c>
      <c r="Y66" s="1"/>
      <c r="Z66" s="5">
        <f t="shared" ref="Z66:Z76" si="51">IF(T66=0,0,X66/T66)</f>
        <v>-1</v>
      </c>
    </row>
    <row r="67" spans="1:26" s="24" customFormat="1" hidden="1" outlineLevel="2" x14ac:dyDescent="0.3">
      <c r="A67" s="28"/>
      <c r="B67" s="11" t="str">
        <f>CONCATENATE("          ", "6258", " - ", "MEMBERSHIP DUES")</f>
        <v xml:space="preserve">          6258 - MEMBERSHIP DUES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/>
      <c r="Q67" s="2"/>
      <c r="R67" s="7">
        <f t="shared" si="48"/>
        <v>0</v>
      </c>
      <c r="S67" s="2"/>
      <c r="T67" s="6">
        <v>795</v>
      </c>
      <c r="U67" s="2"/>
      <c r="V67" s="7">
        <f t="shared" si="49"/>
        <v>1.2975402847087373E-3</v>
      </c>
      <c r="W67" s="2"/>
      <c r="X67" s="6">
        <f t="shared" si="50"/>
        <v>-795</v>
      </c>
      <c r="Y67" s="2"/>
      <c r="Z67" s="7">
        <f t="shared" si="51"/>
        <v>-1</v>
      </c>
    </row>
    <row r="68" spans="1:26" s="29" customFormat="1" outlineLevel="1" collapsed="1" x14ac:dyDescent="0.3">
      <c r="A68" s="27"/>
      <c r="B68" s="14" t="str">
        <f>CONCATENATE("     ","Supplies                                          ")</f>
        <v xml:space="preserve">     Supplies                                          </v>
      </c>
      <c r="C68" s="14"/>
      <c r="D68" s="1">
        <f>SUM(OSRRefD22_14x_0)</f>
        <v>18161.400000000001</v>
      </c>
      <c r="E68" s="1"/>
      <c r="F68" s="5">
        <f t="shared" si="44"/>
        <v>3.7790238809655957E-2</v>
      </c>
      <c r="G68" s="1"/>
      <c r="H68" s="1">
        <f>SUM(OSRRefH22_14x_0)</f>
        <v>12402.289999999999</v>
      </c>
      <c r="I68" s="1"/>
      <c r="J68" s="5">
        <f t="shared" si="45"/>
        <v>0.14577394729505264</v>
      </c>
      <c r="K68" s="1"/>
      <c r="L68" s="1">
        <f t="shared" si="46"/>
        <v>5759.1100000000024</v>
      </c>
      <c r="M68" s="1"/>
      <c r="N68" s="5">
        <f t="shared" si="47"/>
        <v>0.46435859829112225</v>
      </c>
      <c r="O68" s="14"/>
      <c r="P68" s="1">
        <f>SUM(OSRRefP22_14x_0)</f>
        <v>102750.35</v>
      </c>
      <c r="Q68" s="1"/>
      <c r="R68" s="5">
        <f t="shared" si="48"/>
        <v>3.5918690708581245E-2</v>
      </c>
      <c r="S68" s="1"/>
      <c r="T68" s="1">
        <f>SUM(OSRRefT22_14x_0)</f>
        <v>75422.739999999991</v>
      </c>
      <c r="U68" s="1"/>
      <c r="V68" s="5">
        <f t="shared" si="49"/>
        <v>0.12309942582781516</v>
      </c>
      <c r="W68" s="1"/>
      <c r="X68" s="1">
        <f t="shared" si="50"/>
        <v>27327.610000000015</v>
      </c>
      <c r="Y68" s="1"/>
      <c r="Z68" s="5">
        <f t="shared" si="51"/>
        <v>0.36232587148120077</v>
      </c>
    </row>
    <row r="69" spans="1:26" s="24" customFormat="1" hidden="1" outlineLevel="2" x14ac:dyDescent="0.3">
      <c r="A69" s="28"/>
      <c r="B69" s="11" t="str">
        <f>CONCATENATE("          ", "6234", " - ", "EXPENDABLE SUPPLIES &amp; EQUIPMEN")</f>
        <v xml:space="preserve">          6234 - EXPENDABLE SUPPLIES &amp; EQUIPMEN</v>
      </c>
      <c r="C69" s="11"/>
      <c r="D69" s="6">
        <v>315</v>
      </c>
      <c r="E69" s="2"/>
      <c r="F69" s="7">
        <f t="shared" si="44"/>
        <v>6.5545195992828891E-4</v>
      </c>
      <c r="G69" s="2"/>
      <c r="H69" s="6"/>
      <c r="I69" s="2"/>
      <c r="J69" s="7">
        <f t="shared" si="45"/>
        <v>0</v>
      </c>
      <c r="K69" s="2"/>
      <c r="L69" s="6">
        <f t="shared" si="46"/>
        <v>315</v>
      </c>
      <c r="M69" s="2"/>
      <c r="N69" s="7">
        <f t="shared" si="47"/>
        <v>0</v>
      </c>
      <c r="O69" s="11"/>
      <c r="P69" s="6">
        <v>315</v>
      </c>
      <c r="Q69" s="2"/>
      <c r="R69" s="7">
        <f t="shared" si="48"/>
        <v>1.1011531905441773E-4</v>
      </c>
      <c r="S69" s="2"/>
      <c r="T69" s="6"/>
      <c r="U69" s="2"/>
      <c r="V69" s="7">
        <f t="shared" si="49"/>
        <v>0</v>
      </c>
      <c r="W69" s="2"/>
      <c r="X69" s="6">
        <f t="shared" si="50"/>
        <v>315</v>
      </c>
      <c r="Y69" s="2"/>
      <c r="Z69" s="7">
        <f t="shared" si="51"/>
        <v>0</v>
      </c>
    </row>
    <row r="70" spans="1:26" s="24" customFormat="1" hidden="1" outlineLevel="2" x14ac:dyDescent="0.3">
      <c r="A70" s="28"/>
      <c r="B70" s="11" t="str">
        <f>CONCATENATE("          ", "6235", " - ", "COVID-19 EXPENSES")</f>
        <v xml:space="preserve">          6235 - COVID-19 EXPENSES</v>
      </c>
      <c r="C70" s="11"/>
      <c r="D70" s="6"/>
      <c r="E70" s="2"/>
      <c r="F70" s="7">
        <f t="shared" si="44"/>
        <v>0</v>
      </c>
      <c r="G70" s="2"/>
      <c r="H70" s="6">
        <v>4714.9799999999996</v>
      </c>
      <c r="I70" s="2"/>
      <c r="J70" s="7">
        <f t="shared" si="45"/>
        <v>5.5418898124235706E-2</v>
      </c>
      <c r="K70" s="2"/>
      <c r="L70" s="6">
        <f t="shared" si="46"/>
        <v>-4714.9799999999996</v>
      </c>
      <c r="M70" s="2"/>
      <c r="N70" s="7">
        <f t="shared" si="47"/>
        <v>-1</v>
      </c>
      <c r="O70" s="11"/>
      <c r="P70" s="6"/>
      <c r="Q70" s="2"/>
      <c r="R70" s="7">
        <f t="shared" si="48"/>
        <v>0</v>
      </c>
      <c r="S70" s="2"/>
      <c r="T70" s="6">
        <v>41412.870000000003</v>
      </c>
      <c r="U70" s="2"/>
      <c r="V70" s="7">
        <f t="shared" si="49"/>
        <v>6.7591027836988588E-2</v>
      </c>
      <c r="W70" s="2"/>
      <c r="X70" s="6">
        <f t="shared" si="50"/>
        <v>-41412.870000000003</v>
      </c>
      <c r="Y70" s="2"/>
      <c r="Z70" s="7">
        <f t="shared" si="51"/>
        <v>-1</v>
      </c>
    </row>
    <row r="71" spans="1:26" s="24" customFormat="1" hidden="1" outlineLevel="2" x14ac:dyDescent="0.3">
      <c r="A71" s="28"/>
      <c r="B71" s="11" t="str">
        <f>CONCATENATE("          ", "6237", " - ", "JANITORIAL SUPPLIES")</f>
        <v xml:space="preserve">          6237 - JANITORIAL SUPPLIES</v>
      </c>
      <c r="C71" s="11"/>
      <c r="D71" s="6">
        <v>2015.85</v>
      </c>
      <c r="E71" s="2"/>
      <c r="F71" s="7">
        <f t="shared" si="44"/>
        <v>4.1945804235601304E-3</v>
      </c>
      <c r="G71" s="2"/>
      <c r="H71" s="6">
        <v>3446.9</v>
      </c>
      <c r="I71" s="2"/>
      <c r="J71" s="7">
        <f t="shared" si="45"/>
        <v>4.0514148510582881E-2</v>
      </c>
      <c r="K71" s="2"/>
      <c r="L71" s="6">
        <f t="shared" si="46"/>
        <v>-1431.0500000000002</v>
      </c>
      <c r="M71" s="2"/>
      <c r="N71" s="7">
        <f t="shared" si="47"/>
        <v>-0.41517015289100356</v>
      </c>
      <c r="O71" s="11"/>
      <c r="P71" s="6">
        <v>15449.11</v>
      </c>
      <c r="Q71" s="2"/>
      <c r="R71" s="7">
        <f t="shared" si="48"/>
        <v>5.4005831008152247E-3</v>
      </c>
      <c r="S71" s="2"/>
      <c r="T71" s="6">
        <v>9178.17</v>
      </c>
      <c r="U71" s="2"/>
      <c r="V71" s="7">
        <f t="shared" si="49"/>
        <v>1.4979931213717221E-2</v>
      </c>
      <c r="W71" s="2"/>
      <c r="X71" s="6">
        <f t="shared" si="50"/>
        <v>6270.9400000000005</v>
      </c>
      <c r="Y71" s="2"/>
      <c r="Z71" s="7">
        <f t="shared" si="51"/>
        <v>0.68324513492341066</v>
      </c>
    </row>
    <row r="72" spans="1:26" s="24" customFormat="1" hidden="1" outlineLevel="2" x14ac:dyDescent="0.3">
      <c r="A72" s="28"/>
      <c r="B72" s="11" t="str">
        <f>CONCATENATE("          ", "6239", " - ", "KITCHEN SUPPLIES")</f>
        <v xml:space="preserve">          6239 - KITCHEN SUPPLIES</v>
      </c>
      <c r="C72" s="11"/>
      <c r="D72" s="6">
        <v>143.83000000000001</v>
      </c>
      <c r="E72" s="2"/>
      <c r="F72" s="7">
        <f t="shared" si="44"/>
        <v>2.9928144570312955E-4</v>
      </c>
      <c r="G72" s="2"/>
      <c r="H72" s="6">
        <v>148.04</v>
      </c>
      <c r="I72" s="2"/>
      <c r="J72" s="7">
        <f t="shared" si="45"/>
        <v>1.7400314907617539E-3</v>
      </c>
      <c r="K72" s="2"/>
      <c r="L72" s="6">
        <f t="shared" si="46"/>
        <v>-4.2099999999999795</v>
      </c>
      <c r="M72" s="2"/>
      <c r="N72" s="7">
        <f t="shared" si="47"/>
        <v>-2.8438259929748581E-2</v>
      </c>
      <c r="O72" s="11"/>
      <c r="P72" s="6">
        <v>9506.25</v>
      </c>
      <c r="Q72" s="2"/>
      <c r="R72" s="7">
        <f t="shared" si="48"/>
        <v>3.3231230214636779E-3</v>
      </c>
      <c r="S72" s="2"/>
      <c r="T72" s="6">
        <v>4783.4799999999996</v>
      </c>
      <c r="U72" s="2"/>
      <c r="V72" s="7">
        <f t="shared" si="49"/>
        <v>7.807242768677421E-3</v>
      </c>
      <c r="W72" s="2"/>
      <c r="X72" s="6">
        <f t="shared" si="50"/>
        <v>4722.7700000000004</v>
      </c>
      <c r="Y72" s="2"/>
      <c r="Z72" s="7">
        <f t="shared" si="51"/>
        <v>0.98730840308729229</v>
      </c>
    </row>
    <row r="73" spans="1:26" s="24" customFormat="1" hidden="1" outlineLevel="2" x14ac:dyDescent="0.3">
      <c r="A73" s="28"/>
      <c r="B73" s="11" t="str">
        <f>CONCATENATE("          ", "6241", " - ", "OFFICE EXPENSE")</f>
        <v xml:space="preserve">          6241 - OFFICE EXPENSE</v>
      </c>
      <c r="C73" s="11"/>
      <c r="D73" s="6">
        <v>404.74</v>
      </c>
      <c r="E73" s="2"/>
      <c r="F73" s="7">
        <f t="shared" si="44"/>
        <v>8.4218294051230369E-4</v>
      </c>
      <c r="G73" s="2"/>
      <c r="H73" s="6">
        <v>725.9</v>
      </c>
      <c r="I73" s="2"/>
      <c r="J73" s="7">
        <f t="shared" si="45"/>
        <v>8.5320782163196239E-3</v>
      </c>
      <c r="K73" s="2"/>
      <c r="L73" s="6">
        <f t="shared" si="46"/>
        <v>-321.15999999999997</v>
      </c>
      <c r="M73" s="2"/>
      <c r="N73" s="7">
        <f t="shared" si="47"/>
        <v>-0.44243008678881385</v>
      </c>
      <c r="O73" s="11"/>
      <c r="P73" s="6">
        <v>3572.22</v>
      </c>
      <c r="Q73" s="2"/>
      <c r="R73" s="7">
        <f t="shared" si="48"/>
        <v>1.2487496667700701E-3</v>
      </c>
      <c r="S73" s="2"/>
      <c r="T73" s="6">
        <v>3211.02</v>
      </c>
      <c r="U73" s="2"/>
      <c r="V73" s="7">
        <f t="shared" si="49"/>
        <v>5.2407896918307542E-3</v>
      </c>
      <c r="W73" s="2"/>
      <c r="X73" s="6">
        <f t="shared" si="50"/>
        <v>361.19999999999982</v>
      </c>
      <c r="Y73" s="2"/>
      <c r="Z73" s="7">
        <f t="shared" si="51"/>
        <v>0.11248762075602139</v>
      </c>
    </row>
    <row r="74" spans="1:26" s="24" customFormat="1" hidden="1" outlineLevel="2" x14ac:dyDescent="0.3">
      <c r="A74" s="28"/>
      <c r="B74" s="11" t="str">
        <f>CONCATENATE("          ", "6243", " - ", "PAPER SUPPLIES")</f>
        <v xml:space="preserve">          6243 - PAPER SUPPLIES</v>
      </c>
      <c r="C74" s="11"/>
      <c r="D74" s="6">
        <v>15281.98</v>
      </c>
      <c r="E74" s="2"/>
      <c r="F74" s="7">
        <f t="shared" si="44"/>
        <v>3.1798742039952102E-2</v>
      </c>
      <c r="G74" s="2"/>
      <c r="H74" s="6">
        <v>3366.47</v>
      </c>
      <c r="I74" s="2"/>
      <c r="J74" s="7">
        <f t="shared" si="45"/>
        <v>3.9568790953152674E-2</v>
      </c>
      <c r="K74" s="2"/>
      <c r="L74" s="6">
        <f t="shared" si="46"/>
        <v>11915.51</v>
      </c>
      <c r="M74" s="2"/>
      <c r="N74" s="7">
        <f t="shared" si="47"/>
        <v>3.5394671569923393</v>
      </c>
      <c r="O74" s="11"/>
      <c r="P74" s="6">
        <v>71653.2</v>
      </c>
      <c r="Q74" s="2"/>
      <c r="R74" s="7">
        <f t="shared" si="48"/>
        <v>2.5047984061174616E-2</v>
      </c>
      <c r="S74" s="2"/>
      <c r="T74" s="6">
        <v>12336.61</v>
      </c>
      <c r="U74" s="2"/>
      <c r="V74" s="7">
        <f t="shared" si="49"/>
        <v>2.0134903712881329E-2</v>
      </c>
      <c r="W74" s="2"/>
      <c r="X74" s="6">
        <f t="shared" si="50"/>
        <v>59316.59</v>
      </c>
      <c r="Y74" s="2"/>
      <c r="Z74" s="7">
        <f t="shared" si="51"/>
        <v>4.8081758278814029</v>
      </c>
    </row>
    <row r="75" spans="1:26" s="24" customFormat="1" hidden="1" outlineLevel="2" x14ac:dyDescent="0.3">
      <c r="A75" s="28"/>
      <c r="B75" s="11" t="str">
        <f>CONCATENATE("          ", "6247", " - ", "STORE SUPPLIES")</f>
        <v xml:space="preserve">          6247 - STORE SUPPLIES</v>
      </c>
      <c r="C75" s="11"/>
      <c r="D75" s="6"/>
      <c r="E75" s="2"/>
      <c r="F75" s="7">
        <f t="shared" si="44"/>
        <v>0</v>
      </c>
      <c r="G75" s="2"/>
      <c r="H75" s="6"/>
      <c r="I75" s="2"/>
      <c r="J75" s="7">
        <f t="shared" si="45"/>
        <v>0</v>
      </c>
      <c r="K75" s="2"/>
      <c r="L75" s="6">
        <f t="shared" si="46"/>
        <v>0</v>
      </c>
      <c r="M75" s="2"/>
      <c r="N75" s="7">
        <f t="shared" si="47"/>
        <v>0</v>
      </c>
      <c r="O75" s="11"/>
      <c r="P75" s="6">
        <v>384.16</v>
      </c>
      <c r="Q75" s="2"/>
      <c r="R75" s="7">
        <f t="shared" si="48"/>
        <v>1.3429174910458769E-4</v>
      </c>
      <c r="S75" s="2"/>
      <c r="T75" s="6"/>
      <c r="U75" s="2"/>
      <c r="V75" s="7">
        <f t="shared" si="49"/>
        <v>0</v>
      </c>
      <c r="W75" s="2"/>
      <c r="X75" s="6">
        <f t="shared" si="50"/>
        <v>384.16</v>
      </c>
      <c r="Y75" s="2"/>
      <c r="Z75" s="7">
        <f t="shared" si="51"/>
        <v>0</v>
      </c>
    </row>
    <row r="76" spans="1:26" s="24" customFormat="1" hidden="1" outlineLevel="2" x14ac:dyDescent="0.3">
      <c r="A76" s="28"/>
      <c r="B76" s="11" t="str">
        <f>CONCATENATE("          ", "6248", " - ", "UNIFORMS")</f>
        <v xml:space="preserve">          6248 - UNIFORMS</v>
      </c>
      <c r="C76" s="11"/>
      <c r="D76" s="6"/>
      <c r="E76" s="2"/>
      <c r="F76" s="7">
        <f t="shared" si="44"/>
        <v>0</v>
      </c>
      <c r="G76" s="2"/>
      <c r="H76" s="6"/>
      <c r="I76" s="2"/>
      <c r="J76" s="7">
        <f t="shared" si="45"/>
        <v>0</v>
      </c>
      <c r="K76" s="2"/>
      <c r="L76" s="6">
        <f t="shared" si="46"/>
        <v>0</v>
      </c>
      <c r="M76" s="2"/>
      <c r="N76" s="7">
        <f t="shared" si="47"/>
        <v>0</v>
      </c>
      <c r="O76" s="11"/>
      <c r="P76" s="6">
        <v>1870.41</v>
      </c>
      <c r="Q76" s="2"/>
      <c r="R76" s="7">
        <f t="shared" si="48"/>
        <v>6.5384379019864597E-4</v>
      </c>
      <c r="S76" s="2"/>
      <c r="T76" s="6">
        <v>4500.59</v>
      </c>
      <c r="U76" s="2"/>
      <c r="V76" s="7">
        <f t="shared" si="49"/>
        <v>7.3455306037198687E-3</v>
      </c>
      <c r="W76" s="2"/>
      <c r="X76" s="6">
        <f t="shared" si="50"/>
        <v>-2630.1800000000003</v>
      </c>
      <c r="Y76" s="2"/>
      <c r="Z76" s="7">
        <f t="shared" si="51"/>
        <v>-0.58440782208554887</v>
      </c>
    </row>
    <row r="77" spans="1:26" s="29" customFormat="1" outlineLevel="1" collapsed="1" x14ac:dyDescent="0.3">
      <c r="A77" s="27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SUM(OSRRefD22_15x_0)</f>
        <v>159</v>
      </c>
      <c r="E77" s="1"/>
      <c r="F77" s="5">
        <f t="shared" ref="F77:F80" si="52">IF(D$12=0,0,D77/D$12)</f>
        <v>3.3084717977332681E-4</v>
      </c>
      <c r="G77" s="1"/>
      <c r="H77" s="1">
        <f>SUM(OSRRefH22_15x_0)</f>
        <v>259</v>
      </c>
      <c r="I77" s="1"/>
      <c r="J77" s="5">
        <f t="shared" ref="J77:J80" si="53">IF(H$12=0,0,H77/H$12)</f>
        <v>3.044232343334871E-3</v>
      </c>
      <c r="K77" s="1"/>
      <c r="L77" s="1">
        <f t="shared" ref="L77:L80" si="54">+D77-H77</f>
        <v>-100</v>
      </c>
      <c r="M77" s="1"/>
      <c r="N77" s="5">
        <f t="shared" ref="N77:N80" si="55">IF(H77=0,0,L77/H77)</f>
        <v>-0.38610038610038611</v>
      </c>
      <c r="O77" s="14"/>
      <c r="P77" s="1">
        <f>SUM(OSRRefP22_15x_0)</f>
        <v>1762</v>
      </c>
      <c r="Q77" s="1"/>
      <c r="R77" s="5">
        <f t="shared" ref="R77:R80" si="56">IF(P$12=0,0,P77/P$12)</f>
        <v>6.1594664182185416E-4</v>
      </c>
      <c r="S77" s="1"/>
      <c r="T77" s="1">
        <f>SUM(OSRRefT22_15x_0)</f>
        <v>1705</v>
      </c>
      <c r="U77" s="1"/>
      <c r="V77" s="5">
        <f t="shared" ref="V77:V80" si="57">IF(T$12=0,0,T77/T$12)</f>
        <v>2.7827750760105623E-3</v>
      </c>
      <c r="W77" s="1"/>
      <c r="X77" s="1">
        <f t="shared" ref="X77:X80" si="58">+P77-T77</f>
        <v>57</v>
      </c>
      <c r="Y77" s="1"/>
      <c r="Z77" s="5">
        <f t="shared" ref="Z77:Z80" si="59">IF(T77=0,0,X77/T77)</f>
        <v>3.3431085043988271E-2</v>
      </c>
    </row>
    <row r="78" spans="1:26" s="24" customFormat="1" hidden="1" outlineLevel="2" x14ac:dyDescent="0.3">
      <c r="A78" s="28"/>
      <c r="B78" s="11" t="str">
        <f>CONCATENATE("          ", "6309", " - ", "TELEPHONE")</f>
        <v xml:space="preserve">          6309 - TELEPHONE</v>
      </c>
      <c r="C78" s="11"/>
      <c r="D78" s="6">
        <v>159</v>
      </c>
      <c r="E78" s="2"/>
      <c r="F78" s="7">
        <f t="shared" si="52"/>
        <v>3.3084717977332681E-4</v>
      </c>
      <c r="G78" s="2"/>
      <c r="H78" s="6">
        <v>259</v>
      </c>
      <c r="I78" s="2"/>
      <c r="J78" s="7">
        <f t="shared" si="53"/>
        <v>3.044232343334871E-3</v>
      </c>
      <c r="K78" s="2"/>
      <c r="L78" s="6">
        <f t="shared" si="54"/>
        <v>-100</v>
      </c>
      <c r="M78" s="2"/>
      <c r="N78" s="7">
        <f t="shared" si="55"/>
        <v>-0.38610038610038611</v>
      </c>
      <c r="O78" s="11"/>
      <c r="P78" s="6">
        <v>1762</v>
      </c>
      <c r="Q78" s="2"/>
      <c r="R78" s="7">
        <f t="shared" si="56"/>
        <v>6.1594664182185416E-4</v>
      </c>
      <c r="S78" s="2"/>
      <c r="T78" s="6">
        <v>1705</v>
      </c>
      <c r="U78" s="2"/>
      <c r="V78" s="7">
        <f t="shared" si="57"/>
        <v>2.7827750760105623E-3</v>
      </c>
      <c r="W78" s="2"/>
      <c r="X78" s="6">
        <f t="shared" si="58"/>
        <v>57</v>
      </c>
      <c r="Y78" s="2"/>
      <c r="Z78" s="7">
        <f t="shared" si="59"/>
        <v>3.3431085043988271E-2</v>
      </c>
    </row>
    <row r="79" spans="1:26" s="29" customFormat="1" outlineLevel="1" collapsed="1" x14ac:dyDescent="0.3">
      <c r="A79" s="27"/>
      <c r="B79" s="14" t="str">
        <f>CONCATENATE("     ","Training                                          ")</f>
        <v xml:space="preserve">     Training                                          </v>
      </c>
      <c r="C79" s="14"/>
      <c r="D79" s="1">
        <f>SUM(OSRRefD22_16x_0)</f>
        <v>0</v>
      </c>
      <c r="E79" s="1"/>
      <c r="F79" s="5">
        <f t="shared" si="52"/>
        <v>0</v>
      </c>
      <c r="G79" s="1"/>
      <c r="H79" s="1">
        <f>SUM(OSRRefH22_16x_0)</f>
        <v>0</v>
      </c>
      <c r="I79" s="1"/>
      <c r="J79" s="5">
        <f t="shared" si="53"/>
        <v>0</v>
      </c>
      <c r="K79" s="1"/>
      <c r="L79" s="1">
        <f t="shared" si="54"/>
        <v>0</v>
      </c>
      <c r="M79" s="1"/>
      <c r="N79" s="5">
        <f t="shared" si="55"/>
        <v>0</v>
      </c>
      <c r="O79" s="14"/>
      <c r="P79" s="1">
        <f>SUM(OSRRefP22_16x_0)</f>
        <v>245</v>
      </c>
      <c r="Q79" s="1"/>
      <c r="R79" s="5">
        <f t="shared" si="56"/>
        <v>8.5645248153436016E-5</v>
      </c>
      <c r="S79" s="1"/>
      <c r="T79" s="1">
        <f>SUM(OSRRefT22_16x_0)</f>
        <v>735</v>
      </c>
      <c r="U79" s="1"/>
      <c r="V79" s="5">
        <f t="shared" si="57"/>
        <v>1.199612716051474E-3</v>
      </c>
      <c r="W79" s="1"/>
      <c r="X79" s="1">
        <f t="shared" si="58"/>
        <v>-490</v>
      </c>
      <c r="Y79" s="1"/>
      <c r="Z79" s="5">
        <f t="shared" si="59"/>
        <v>-0.66666666666666663</v>
      </c>
    </row>
    <row r="80" spans="1:26" s="24" customFormat="1" hidden="1" outlineLevel="2" x14ac:dyDescent="0.3">
      <c r="A80" s="28"/>
      <c r="B80" s="11" t="str">
        <f>CONCATENATE("          ", "6376", " - ", "TRAINING")</f>
        <v xml:space="preserve">          6376 - TRAINING</v>
      </c>
      <c r="C80" s="11"/>
      <c r="D80" s="6"/>
      <c r="E80" s="2"/>
      <c r="F80" s="7">
        <f t="shared" si="52"/>
        <v>0</v>
      </c>
      <c r="G80" s="2"/>
      <c r="H80" s="6"/>
      <c r="I80" s="2"/>
      <c r="J80" s="7">
        <f t="shared" si="53"/>
        <v>0</v>
      </c>
      <c r="K80" s="2"/>
      <c r="L80" s="6">
        <f t="shared" si="54"/>
        <v>0</v>
      </c>
      <c r="M80" s="2"/>
      <c r="N80" s="7">
        <f t="shared" si="55"/>
        <v>0</v>
      </c>
      <c r="O80" s="11"/>
      <c r="P80" s="6">
        <v>245</v>
      </c>
      <c r="Q80" s="2"/>
      <c r="R80" s="7">
        <f t="shared" si="56"/>
        <v>8.5645248153436016E-5</v>
      </c>
      <c r="S80" s="2"/>
      <c r="T80" s="6">
        <v>735</v>
      </c>
      <c r="U80" s="2"/>
      <c r="V80" s="7">
        <f t="shared" si="57"/>
        <v>1.199612716051474E-3</v>
      </c>
      <c r="W80" s="2"/>
      <c r="X80" s="6">
        <f t="shared" si="58"/>
        <v>-490</v>
      </c>
      <c r="Y80" s="2"/>
      <c r="Z80" s="7">
        <f t="shared" si="59"/>
        <v>-0.66666666666666663</v>
      </c>
    </row>
    <row r="81" spans="1:26" s="53" customFormat="1" x14ac:dyDescent="0.3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3">
      <c r="A82" s="10"/>
      <c r="B82" s="25" t="s">
        <v>292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3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3">
      <c r="A84" s="10"/>
      <c r="B84" s="26" t="s">
        <v>276</v>
      </c>
      <c r="C84" s="26"/>
      <c r="D84" s="20">
        <f>+D21-D23+D82</f>
        <v>178987.19000000006</v>
      </c>
      <c r="E84" s="13"/>
      <c r="F84" s="21">
        <f>IF(D$12=0,0,D84/D$12)</f>
        <v>0.37243652218272089</v>
      </c>
      <c r="G84" s="13"/>
      <c r="H84" s="20">
        <f>+H21-H23+H82</f>
        <v>-96018.999999999971</v>
      </c>
      <c r="I84" s="13"/>
      <c r="J84" s="21">
        <f>IF(H$12=0,0,H84/H$12)</f>
        <v>-1.128587433879038</v>
      </c>
      <c r="K84" s="15"/>
      <c r="L84" s="20">
        <f>+D84-H84</f>
        <v>275006.19000000006</v>
      </c>
      <c r="M84" s="15"/>
      <c r="N84" s="21">
        <f>IF(H84=0,0,L84/H84)</f>
        <v>-2.8640809631427127</v>
      </c>
      <c r="O84" s="25"/>
      <c r="P84" s="20">
        <f>+P21-P23+P82</f>
        <v>1013691.4199999995</v>
      </c>
      <c r="Q84" s="13"/>
      <c r="R84" s="21">
        <f>IF(P$12=0,0,P84/P$12)</f>
        <v>0.35435858455881181</v>
      </c>
      <c r="S84" s="13"/>
      <c r="T84" s="20">
        <f>+T21-T23+T82</f>
        <v>-352349.49999999977</v>
      </c>
      <c r="U84" s="13"/>
      <c r="V84" s="21">
        <f>IF(T$12=0,0,T84/T$12)</f>
        <v>-0.57507883087670553</v>
      </c>
      <c r="W84" s="15"/>
      <c r="X84" s="20">
        <f>+P84-T84</f>
        <v>1366040.9199999992</v>
      </c>
      <c r="Y84" s="15"/>
      <c r="Z84" s="21">
        <f>IF(T84=0,0,X84/T84)</f>
        <v>-3.8769486546738396</v>
      </c>
    </row>
    <row r="85" spans="1:26" x14ac:dyDescent="0.3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3">
      <c r="A86" s="51"/>
      <c r="B86" s="10" t="s">
        <v>127</v>
      </c>
      <c r="C86" s="10"/>
      <c r="D86" s="4">
        <v>60844.93</v>
      </c>
      <c r="E86" s="4"/>
      <c r="F86" s="12">
        <f>IF(D$12=0,0,D86/D$12)</f>
        <v>0.12660612260380807</v>
      </c>
      <c r="G86" s="4"/>
      <c r="H86" s="4">
        <v>29523.4</v>
      </c>
      <c r="I86" s="4"/>
      <c r="J86" s="12">
        <f>IF(H$12=0,0,H86/H$12)</f>
        <v>0.34701192727881364</v>
      </c>
      <c r="K86" s="4"/>
      <c r="L86" s="4">
        <f>+D86-H86</f>
        <v>31321.53</v>
      </c>
      <c r="M86" s="4"/>
      <c r="N86" s="12">
        <f>IF(H86=0,0,L86/H86)</f>
        <v>1.0609052480405372</v>
      </c>
      <c r="O86" s="10"/>
      <c r="P86" s="4">
        <v>344337.19</v>
      </c>
      <c r="Q86" s="4"/>
      <c r="R86" s="12">
        <f>IF(P$12=0,0,P86/P$12)</f>
        <v>0.12037079218778304</v>
      </c>
      <c r="S86" s="4"/>
      <c r="T86" s="4">
        <v>113362.04</v>
      </c>
      <c r="U86" s="4"/>
      <c r="V86" s="12">
        <f>IF(T$12=0,0,T86/T$12)</f>
        <v>0.18502114925379026</v>
      </c>
      <c r="W86" s="4"/>
      <c r="X86" s="4">
        <f>+P86-T86</f>
        <v>230975.15000000002</v>
      </c>
      <c r="Y86" s="4"/>
      <c r="Z86" s="12">
        <f>IF(T86=0,0,X86/T86)</f>
        <v>2.0374999426615825</v>
      </c>
    </row>
    <row r="87" spans="1:26" x14ac:dyDescent="0.3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" thickBot="1" x14ac:dyDescent="0.35">
      <c r="A88" s="10"/>
      <c r="B88" s="26" t="s">
        <v>125</v>
      </c>
      <c r="C88" s="26"/>
      <c r="D88" s="32">
        <f>+D84-D86</f>
        <v>118142.26000000007</v>
      </c>
      <c r="E88" s="13"/>
      <c r="F88" s="35">
        <f>IF(D$12=0,0,D88/D$12)</f>
        <v>0.24583039957891281</v>
      </c>
      <c r="G88" s="13"/>
      <c r="H88" s="32">
        <f>+H84-H86</f>
        <v>-125542.39999999997</v>
      </c>
      <c r="I88" s="13"/>
      <c r="J88" s="35">
        <f>IF(H$12=0,0,H88/H$12)</f>
        <v>-1.4755993611578517</v>
      </c>
      <c r="K88" s="15"/>
      <c r="L88" s="32">
        <f>D88-H88</f>
        <v>243684.66000000003</v>
      </c>
      <c r="M88" s="15"/>
      <c r="N88" s="35">
        <f>IF(H88=0,0,L88/H88)</f>
        <v>-1.9410546556382553</v>
      </c>
      <c r="O88" s="25"/>
      <c r="P88" s="32">
        <f>+P84-P86</f>
        <v>669354.22999999952</v>
      </c>
      <c r="Q88" s="13"/>
      <c r="R88" s="35">
        <f>IF(P$12=0,0,P88/P$12)</f>
        <v>0.23398779237102876</v>
      </c>
      <c r="S88" s="13"/>
      <c r="T88" s="32">
        <f>+T84-T86</f>
        <v>-465711.53999999975</v>
      </c>
      <c r="U88" s="13"/>
      <c r="V88" s="35">
        <f>IF(T$12=0,0,T88/T$12)</f>
        <v>-0.76009998013049573</v>
      </c>
      <c r="W88" s="15"/>
      <c r="X88" s="32">
        <f>P88-T88</f>
        <v>1135065.7699999993</v>
      </c>
      <c r="Y88" s="15"/>
      <c r="Z88" s="35">
        <f>IF(T88=0,0,X88/T88)</f>
        <v>-2.4372721577824761</v>
      </c>
    </row>
    <row r="89" spans="1:26" ht="15" thickTop="1" x14ac:dyDescent="0.3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3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" thickBot="1" x14ac:dyDescent="0.35">
      <c r="A91" s="10"/>
      <c r="B91" s="26" t="s">
        <v>293</v>
      </c>
      <c r="C91" s="26"/>
      <c r="D91" s="31">
        <f>SUM(D88:D90)</f>
        <v>118142.26000000007</v>
      </c>
      <c r="E91" s="13"/>
      <c r="F91" s="33">
        <f>IF(D$12=0,0,D91/D$12)</f>
        <v>0.24583039957891281</v>
      </c>
      <c r="G91" s="13"/>
      <c r="H91" s="31">
        <f>SUM(H88:H90)</f>
        <v>-125542.39999999997</v>
      </c>
      <c r="I91" s="13"/>
      <c r="J91" s="33">
        <f>IF(H$12=0,0,H91/H$12)</f>
        <v>-1.4755993611578517</v>
      </c>
      <c r="K91" s="15"/>
      <c r="L91" s="31">
        <f>+D91-H91</f>
        <v>243684.66000000003</v>
      </c>
      <c r="M91" s="15"/>
      <c r="N91" s="33">
        <f>IF(H91=0,0,L91/H91)</f>
        <v>-1.9410546556382553</v>
      </c>
      <c r="O91" s="25"/>
      <c r="P91" s="31">
        <f>SUM(P88:P90)</f>
        <v>669354.22999999952</v>
      </c>
      <c r="Q91" s="13"/>
      <c r="R91" s="33">
        <f>IF(P$12=0,0,P91/P$12)</f>
        <v>0.23398779237102876</v>
      </c>
      <c r="S91" s="13"/>
      <c r="T91" s="31">
        <f>SUM(T88:T90)</f>
        <v>-465711.53999999975</v>
      </c>
      <c r="U91" s="13"/>
      <c r="V91" s="33">
        <f>IF(T$12=0,0,T91/T$12)</f>
        <v>-0.76009998013049573</v>
      </c>
      <c r="W91" s="15"/>
      <c r="X91" s="31">
        <f>+P91-T91</f>
        <v>1135065.7699999993</v>
      </c>
      <c r="Y91" s="15"/>
      <c r="Z91" s="33">
        <f>IF(T91=0,0,X91/T91)</f>
        <v>-2.4372721577824761</v>
      </c>
    </row>
    <row r="92" spans="1:26" ht="15" thickTop="1" x14ac:dyDescent="0.3">
      <c r="A92" s="9"/>
      <c r="C92" s="9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3">
      <c r="A93" s="9"/>
      <c r="B93" s="60">
        <v>44575.854680405093</v>
      </c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3">
      <c r="A94" s="9"/>
      <c r="B94" s="57" t="s">
        <v>56</v>
      </c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3">
      <c r="A95" s="9"/>
      <c r="B95" s="59"/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3"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92D050"/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","450", " - ", "Beachside Dining Hall")</f>
        <v>Department 450 - Beachside Dining Hall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173612.78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173612.78</v>
      </c>
      <c r="M12" s="4"/>
      <c r="N12" s="12">
        <f t="shared" ref="N12:N15" si="1">IF(H12=0,0,L12/H12)</f>
        <v>0</v>
      </c>
      <c r="O12" s="10"/>
      <c r="P12" s="4">
        <f>SUM(OSRRefP13x_0)</f>
        <v>897913.01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5" si="2">+P12-T12</f>
        <v>897913.01</v>
      </c>
      <c r="Y12" s="4"/>
      <c r="Z12" s="12">
        <f t="shared" ref="Z12:Z15" si="3">IF(T12=0,0,X12/T12)</f>
        <v>0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--54.05</f>
        <v>54.05</v>
      </c>
      <c r="E13" s="2"/>
      <c r="F13" s="19"/>
      <c r="G13" s="2"/>
      <c r="H13" s="2">
        <f t="shared" ref="H13:H15" si="4">0</f>
        <v>0</v>
      </c>
      <c r="I13" s="2"/>
      <c r="J13" s="19"/>
      <c r="K13" s="2"/>
      <c r="L13" s="2">
        <f t="shared" si="0"/>
        <v>54.05</v>
      </c>
      <c r="M13" s="2"/>
      <c r="N13" s="19">
        <f t="shared" si="1"/>
        <v>0</v>
      </c>
      <c r="O13" s="11"/>
      <c r="P13" s="2">
        <f>--163.12</f>
        <v>163.12</v>
      </c>
      <c r="Q13" s="2"/>
      <c r="R13" s="19"/>
      <c r="S13" s="2"/>
      <c r="T13" s="2">
        <f t="shared" ref="T13:T15" si="5">0</f>
        <v>0</v>
      </c>
      <c r="U13" s="2"/>
      <c r="V13" s="19"/>
      <c r="W13" s="2"/>
      <c r="X13" s="2">
        <f t="shared" si="2"/>
        <v>163.12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--172634.28</f>
        <v>172634.28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172634.28</v>
      </c>
      <c r="M14" s="2"/>
      <c r="N14" s="19">
        <f t="shared" si="1"/>
        <v>0</v>
      </c>
      <c r="O14" s="11"/>
      <c r="P14" s="2">
        <f>--893275</f>
        <v>893275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893275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--924.45</f>
        <v>924.45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924.45</v>
      </c>
      <c r="M15" s="2"/>
      <c r="N15" s="19">
        <f t="shared" si="1"/>
        <v>0</v>
      </c>
      <c r="O15" s="11"/>
      <c r="P15" s="2">
        <f>--4474.89</f>
        <v>4474.8900000000003</v>
      </c>
      <c r="Q15" s="2"/>
      <c r="R15" s="19"/>
      <c r="S15" s="2"/>
      <c r="T15" s="2">
        <f t="shared" si="5"/>
        <v>0</v>
      </c>
      <c r="U15" s="2"/>
      <c r="V15" s="19"/>
      <c r="W15" s="2"/>
      <c r="X15" s="2">
        <f t="shared" si="2"/>
        <v>4474.8900000000003</v>
      </c>
      <c r="Y15" s="2"/>
      <c r="Z15" s="19">
        <f t="shared" si="3"/>
        <v>0</v>
      </c>
    </row>
    <row r="16" spans="1:26" x14ac:dyDescent="0.3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">
      <c r="A17" s="10"/>
      <c r="B17" s="25" t="s">
        <v>256</v>
      </c>
      <c r="C17" s="10"/>
      <c r="D17" s="4">
        <f>SUM(OSRRefD16x_0)</f>
        <v>32880.259999999995</v>
      </c>
      <c r="E17" s="4"/>
      <c r="F17" s="12">
        <f t="shared" ref="F17:F19" si="6">IF(D$12=0,0,D17/D$12)</f>
        <v>0.18938847704644782</v>
      </c>
      <c r="G17" s="4"/>
      <c r="H17" s="4">
        <f>SUM(OSRRefH16x_0)</f>
        <v>0</v>
      </c>
      <c r="I17" s="4"/>
      <c r="J17" s="12">
        <f t="shared" ref="J17:J19" si="7">IF(H$12=0,0,H17/H$12)</f>
        <v>0</v>
      </c>
      <c r="K17" s="4"/>
      <c r="L17" s="4">
        <f t="shared" ref="L17:L19" si="8">+D17-H17</f>
        <v>32880.259999999995</v>
      </c>
      <c r="M17" s="4"/>
      <c r="N17" s="12">
        <f t="shared" ref="N17:N19" si="9">IF(H17=0,0,L17/H17)</f>
        <v>0</v>
      </c>
      <c r="O17" s="10"/>
      <c r="P17" s="4">
        <f>SUM(OSRRefP16x_0)</f>
        <v>237376.29</v>
      </c>
      <c r="Q17" s="4"/>
      <c r="R17" s="12">
        <f t="shared" ref="R17:R19" si="10">IF(P$12=0,0,P17/P$12)</f>
        <v>0.26436446220998627</v>
      </c>
      <c r="S17" s="4"/>
      <c r="T17" s="4">
        <f>SUM(OSRRefT16x_0)</f>
        <v>0</v>
      </c>
      <c r="U17" s="4"/>
      <c r="V17" s="12">
        <f t="shared" ref="V17:V19" si="11">IF(T$12=0,0,T17/T$12)</f>
        <v>0</v>
      </c>
      <c r="W17" s="4"/>
      <c r="X17" s="4">
        <f t="shared" ref="X17:X19" si="12">+P17-T17</f>
        <v>237376.29</v>
      </c>
      <c r="Y17" s="4"/>
      <c r="Z17" s="12">
        <f t="shared" ref="Z17:Z19" si="13">IF(T17=0,0,X17/T17)</f>
        <v>0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22863.26</v>
      </c>
      <c r="E18" s="2"/>
      <c r="F18" s="19">
        <f t="shared" si="6"/>
        <v>0.13169111167968164</v>
      </c>
      <c r="G18" s="2"/>
      <c r="H18" s="2"/>
      <c r="I18" s="2"/>
      <c r="J18" s="19">
        <f t="shared" si="7"/>
        <v>0</v>
      </c>
      <c r="K18" s="2"/>
      <c r="L18" s="2">
        <f t="shared" si="8"/>
        <v>22863.26</v>
      </c>
      <c r="M18" s="2"/>
      <c r="N18" s="19">
        <f t="shared" si="9"/>
        <v>0</v>
      </c>
      <c r="O18" s="11"/>
      <c r="P18" s="2">
        <v>246203.35</v>
      </c>
      <c r="Q18" s="2"/>
      <c r="R18" s="19">
        <f t="shared" si="10"/>
        <v>0.27419510270822339</v>
      </c>
      <c r="S18" s="2"/>
      <c r="T18" s="2"/>
      <c r="U18" s="2"/>
      <c r="V18" s="19">
        <f t="shared" si="11"/>
        <v>0</v>
      </c>
      <c r="W18" s="2"/>
      <c r="X18" s="2">
        <f t="shared" si="12"/>
        <v>246203.35</v>
      </c>
      <c r="Y18" s="2"/>
      <c r="Z18" s="19">
        <f t="shared" si="13"/>
        <v>0</v>
      </c>
    </row>
    <row r="19" spans="1:26" s="24" customFormat="1" hidden="1" outlineLevel="1" x14ac:dyDescent="0.3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10017</v>
      </c>
      <c r="E19" s="2"/>
      <c r="F19" s="19">
        <f t="shared" si="6"/>
        <v>5.7697365366766201E-2</v>
      </c>
      <c r="G19" s="2"/>
      <c r="H19" s="2"/>
      <c r="I19" s="2"/>
      <c r="J19" s="19">
        <f t="shared" si="7"/>
        <v>0</v>
      </c>
      <c r="K19" s="2"/>
      <c r="L19" s="2">
        <f t="shared" si="8"/>
        <v>10017</v>
      </c>
      <c r="M19" s="2"/>
      <c r="N19" s="19">
        <f t="shared" si="9"/>
        <v>0</v>
      </c>
      <c r="O19" s="11"/>
      <c r="P19" s="2">
        <v>-8827.06</v>
      </c>
      <c r="Q19" s="2"/>
      <c r="R19" s="19">
        <f t="shared" si="10"/>
        <v>-9.8306404982371285E-3</v>
      </c>
      <c r="S19" s="2"/>
      <c r="T19" s="2"/>
      <c r="U19" s="2"/>
      <c r="V19" s="19">
        <f t="shared" si="11"/>
        <v>0</v>
      </c>
      <c r="W19" s="2"/>
      <c r="X19" s="2">
        <f t="shared" si="12"/>
        <v>-8827.06</v>
      </c>
      <c r="Y19" s="2"/>
      <c r="Z19" s="19">
        <f t="shared" si="13"/>
        <v>0</v>
      </c>
    </row>
    <row r="20" spans="1:26" x14ac:dyDescent="0.3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">
      <c r="A21" s="10"/>
      <c r="B21" s="26" t="s">
        <v>107</v>
      </c>
      <c r="C21" s="26"/>
      <c r="D21" s="20">
        <f>D12-D17</f>
        <v>140732.52000000002</v>
      </c>
      <c r="E21" s="13"/>
      <c r="F21" s="21">
        <f>IF(D$12=0,0,D21/D$12)</f>
        <v>0.81061152295355221</v>
      </c>
      <c r="G21" s="13"/>
      <c r="H21" s="20">
        <f>H12-H17</f>
        <v>0</v>
      </c>
      <c r="I21" s="13"/>
      <c r="J21" s="21">
        <f>IF(H$12=0,0,H21/H$12)</f>
        <v>0</v>
      </c>
      <c r="K21" s="15"/>
      <c r="L21" s="20">
        <f>+D21-H21</f>
        <v>140732.52000000002</v>
      </c>
      <c r="M21" s="15"/>
      <c r="N21" s="21">
        <f>IF(H21=0,0,L21/H21)</f>
        <v>0</v>
      </c>
      <c r="O21" s="25"/>
      <c r="P21" s="20">
        <f>P12-P17</f>
        <v>660536.72</v>
      </c>
      <c r="Q21" s="13"/>
      <c r="R21" s="21">
        <f>IF(P$12=0,0,P21/P$12)</f>
        <v>0.73563553779001367</v>
      </c>
      <c r="S21" s="13"/>
      <c r="T21" s="20">
        <f>T12-T17</f>
        <v>0</v>
      </c>
      <c r="U21" s="13"/>
      <c r="V21" s="21">
        <f>IF(T$12=0,0,T21/T$12)</f>
        <v>0</v>
      </c>
      <c r="W21" s="15"/>
      <c r="X21" s="20">
        <f>+P21-T21</f>
        <v>660536.72</v>
      </c>
      <c r="Y21" s="15"/>
      <c r="Z21" s="21">
        <f>IF(T21=0,0,X21/T21)</f>
        <v>0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294</v>
      </c>
      <c r="C23" s="10"/>
      <c r="D23" s="22">
        <f>SUM(OSRRefD22x_0)</f>
        <v>111423.10999999997</v>
      </c>
      <c r="E23" s="22"/>
      <c r="F23" s="34">
        <f t="shared" ref="F23:F33" si="14">IF(D$12=0,0,D23/D$12)</f>
        <v>0.64179094419201155</v>
      </c>
      <c r="G23" s="22"/>
      <c r="H23" s="22">
        <f>SUM(OSRRefH22x_0)</f>
        <v>37830.829999999994</v>
      </c>
      <c r="I23" s="22"/>
      <c r="J23" s="34">
        <f t="shared" ref="J23:J33" si="15">IF(H$12=0,0,H23/H$12)</f>
        <v>0</v>
      </c>
      <c r="K23" s="4"/>
      <c r="L23" s="22">
        <f t="shared" ref="L23:L33" si="16">+D23-H23</f>
        <v>73592.27999999997</v>
      </c>
      <c r="M23" s="4"/>
      <c r="N23" s="34">
        <f t="shared" ref="N23:N33" si="17">IF(H23=0,0,L23/H23)</f>
        <v>1.9452991118619385</v>
      </c>
      <c r="O23" s="10"/>
      <c r="P23" s="22">
        <f>SUM(OSRRefP22x_0)</f>
        <v>666358.9</v>
      </c>
      <c r="Q23" s="22"/>
      <c r="R23" s="34">
        <f t="shared" ref="R23:R33" si="18">IF(P$12=0,0,P23/P$12)</f>
        <v>0.74211966257176742</v>
      </c>
      <c r="S23" s="22"/>
      <c r="T23" s="22">
        <f>SUM(OSRRefT22x_0)</f>
        <v>248870.62999999998</v>
      </c>
      <c r="U23" s="22"/>
      <c r="V23" s="34">
        <f t="shared" ref="V23:V33" si="19">IF(T$12=0,0,T23/T$12)</f>
        <v>0</v>
      </c>
      <c r="W23" s="4"/>
      <c r="X23" s="22">
        <f t="shared" ref="X23:X33" si="20">+P23-T23</f>
        <v>417488.27</v>
      </c>
      <c r="Y23" s="4"/>
      <c r="Z23" s="34">
        <f t="shared" ref="Z23:Z33" si="21">IF(T23=0,0,X23/T23)</f>
        <v>1.6775312940703371</v>
      </c>
    </row>
    <row r="24" spans="1:26" s="29" customFormat="1" outlineLevel="1" collapsed="1" x14ac:dyDescent="0.3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22057.569999999996</v>
      </c>
      <c r="E24" s="1"/>
      <c r="F24" s="5">
        <f t="shared" si="14"/>
        <v>0.12705038189008894</v>
      </c>
      <c r="G24" s="1"/>
      <c r="H24" s="1">
        <f>SUM(OSRRefH22_0x_0)</f>
        <v>19389.310000000001</v>
      </c>
      <c r="I24" s="1"/>
      <c r="J24" s="5">
        <f t="shared" si="15"/>
        <v>0</v>
      </c>
      <c r="K24" s="1"/>
      <c r="L24" s="1">
        <f t="shared" si="16"/>
        <v>2668.2599999999948</v>
      </c>
      <c r="M24" s="1"/>
      <c r="N24" s="5">
        <f t="shared" si="17"/>
        <v>0.13761500538183125</v>
      </c>
      <c r="O24" s="14"/>
      <c r="P24" s="1">
        <f>SUM(OSRRefP22_0x_0)</f>
        <v>135431.90999999997</v>
      </c>
      <c r="Q24" s="1"/>
      <c r="R24" s="5">
        <f t="shared" si="18"/>
        <v>0.15082965553645333</v>
      </c>
      <c r="S24" s="1"/>
      <c r="T24" s="1">
        <f>SUM(OSRRefT22_0x_0)</f>
        <v>118396.57</v>
      </c>
      <c r="U24" s="1"/>
      <c r="V24" s="5">
        <f t="shared" si="19"/>
        <v>0</v>
      </c>
      <c r="W24" s="1"/>
      <c r="X24" s="1">
        <f t="shared" si="20"/>
        <v>17035.339999999967</v>
      </c>
      <c r="Y24" s="1"/>
      <c r="Z24" s="5">
        <f t="shared" si="21"/>
        <v>0.14388372906411026</v>
      </c>
    </row>
    <row r="25" spans="1:26" s="24" customFormat="1" hidden="1" outlineLevel="2" x14ac:dyDescent="0.3">
      <c r="A25" s="28"/>
      <c r="B25" s="11" t="str">
        <f>CONCATENATE("          ", "6111", " - ", "F.I.C.A.")</f>
        <v xml:space="preserve">          6111 - F.I.C.A.</v>
      </c>
      <c r="C25" s="11"/>
      <c r="D25" s="6">
        <v>2826.53</v>
      </c>
      <c r="E25" s="2"/>
      <c r="F25" s="7">
        <f t="shared" si="14"/>
        <v>1.6280656297307145E-2</v>
      </c>
      <c r="G25" s="2"/>
      <c r="H25" s="6">
        <v>1490.37</v>
      </c>
      <c r="I25" s="2"/>
      <c r="J25" s="7">
        <f t="shared" si="15"/>
        <v>0</v>
      </c>
      <c r="K25" s="2"/>
      <c r="L25" s="6">
        <f t="shared" si="16"/>
        <v>1336.1600000000003</v>
      </c>
      <c r="M25" s="2"/>
      <c r="N25" s="7">
        <f t="shared" si="17"/>
        <v>0.8965290498332632</v>
      </c>
      <c r="O25" s="11"/>
      <c r="P25" s="6">
        <v>18563.52</v>
      </c>
      <c r="Q25" s="2"/>
      <c r="R25" s="7">
        <f t="shared" si="18"/>
        <v>2.0674073984071131E-2</v>
      </c>
      <c r="S25" s="2"/>
      <c r="T25" s="6">
        <v>10254.629999999999</v>
      </c>
      <c r="U25" s="2"/>
      <c r="V25" s="7">
        <f t="shared" si="19"/>
        <v>0</v>
      </c>
      <c r="W25" s="2"/>
      <c r="X25" s="6">
        <f t="shared" si="20"/>
        <v>8308.8900000000012</v>
      </c>
      <c r="Y25" s="2"/>
      <c r="Z25" s="7">
        <f t="shared" si="21"/>
        <v>0.81025741543088359</v>
      </c>
    </row>
    <row r="26" spans="1:26" s="24" customFormat="1" hidden="1" outlineLevel="2" x14ac:dyDescent="0.3">
      <c r="A26" s="28"/>
      <c r="B26" s="11" t="str">
        <f>CONCATENATE("          ", "6112", " - ", "COMPENSATION INSURANCE")</f>
        <v xml:space="preserve">          6112 - COMPENSATION INSURANCE</v>
      </c>
      <c r="C26" s="11"/>
      <c r="D26" s="6">
        <v>2093.1</v>
      </c>
      <c r="E26" s="2"/>
      <c r="F26" s="7">
        <f t="shared" si="14"/>
        <v>1.2056140106736382E-2</v>
      </c>
      <c r="G26" s="2"/>
      <c r="H26" s="6">
        <v>1428.3</v>
      </c>
      <c r="I26" s="2"/>
      <c r="J26" s="7">
        <f t="shared" si="15"/>
        <v>0</v>
      </c>
      <c r="K26" s="2"/>
      <c r="L26" s="6">
        <f t="shared" si="16"/>
        <v>664.8</v>
      </c>
      <c r="M26" s="2"/>
      <c r="N26" s="7">
        <f t="shared" si="17"/>
        <v>0.46544843520268847</v>
      </c>
      <c r="O26" s="11"/>
      <c r="P26" s="6">
        <v>11955</v>
      </c>
      <c r="Q26" s="2"/>
      <c r="R26" s="7">
        <f t="shared" si="18"/>
        <v>1.3314207352892682E-2</v>
      </c>
      <c r="S26" s="2"/>
      <c r="T26" s="6">
        <v>6192.09</v>
      </c>
      <c r="U26" s="2"/>
      <c r="V26" s="7">
        <f t="shared" si="19"/>
        <v>0</v>
      </c>
      <c r="W26" s="2"/>
      <c r="X26" s="6">
        <f t="shared" si="20"/>
        <v>5762.91</v>
      </c>
      <c r="Y26" s="2"/>
      <c r="Z26" s="7">
        <f t="shared" si="21"/>
        <v>0.93068899192356691</v>
      </c>
    </row>
    <row r="27" spans="1:26" s="24" customFormat="1" hidden="1" outlineLevel="2" x14ac:dyDescent="0.3">
      <c r="A27" s="28"/>
      <c r="B27" s="11" t="str">
        <f>CONCATENATE("          ", "6113", " - ", "GROUP INSURANCE")</f>
        <v xml:space="preserve">          6113 - GROUP INSURANCE</v>
      </c>
      <c r="C27" s="11"/>
      <c r="D27" s="6">
        <v>11954.17</v>
      </c>
      <c r="E27" s="2"/>
      <c r="F27" s="7">
        <f t="shared" si="14"/>
        <v>6.8855357307221282E-2</v>
      </c>
      <c r="G27" s="2"/>
      <c r="H27" s="6">
        <v>12616.94</v>
      </c>
      <c r="I27" s="2"/>
      <c r="J27" s="7">
        <f t="shared" si="15"/>
        <v>0</v>
      </c>
      <c r="K27" s="2"/>
      <c r="L27" s="6">
        <f t="shared" si="16"/>
        <v>-662.77000000000044</v>
      </c>
      <c r="M27" s="2"/>
      <c r="N27" s="7">
        <f t="shared" si="17"/>
        <v>-5.2530169755899643E-2</v>
      </c>
      <c r="O27" s="11"/>
      <c r="P27" s="6">
        <v>71499.039999999994</v>
      </c>
      <c r="Q27" s="2"/>
      <c r="R27" s="7">
        <f t="shared" si="18"/>
        <v>7.9628025436450672E-2</v>
      </c>
      <c r="S27" s="2"/>
      <c r="T27" s="6">
        <v>75701.600000000006</v>
      </c>
      <c r="U27" s="2"/>
      <c r="V27" s="7">
        <f t="shared" si="19"/>
        <v>0</v>
      </c>
      <c r="W27" s="2"/>
      <c r="X27" s="6">
        <f t="shared" si="20"/>
        <v>-4202.5600000000122</v>
      </c>
      <c r="Y27" s="2"/>
      <c r="Z27" s="7">
        <f t="shared" si="21"/>
        <v>-5.5514810783391787E-2</v>
      </c>
    </row>
    <row r="28" spans="1:26" s="24" customFormat="1" hidden="1" outlineLevel="2" x14ac:dyDescent="0.3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6">
        <v>151.18</v>
      </c>
      <c r="E28" s="2"/>
      <c r="F28" s="7">
        <f t="shared" si="14"/>
        <v>8.7078842928498706E-4</v>
      </c>
      <c r="G28" s="2"/>
      <c r="H28" s="6"/>
      <c r="I28" s="2"/>
      <c r="J28" s="7">
        <f t="shared" si="15"/>
        <v>0</v>
      </c>
      <c r="K28" s="2"/>
      <c r="L28" s="6">
        <f t="shared" si="16"/>
        <v>151.18</v>
      </c>
      <c r="M28" s="2"/>
      <c r="N28" s="7">
        <f t="shared" si="17"/>
        <v>0</v>
      </c>
      <c r="O28" s="11"/>
      <c r="P28" s="6">
        <v>863.43</v>
      </c>
      <c r="Q28" s="2"/>
      <c r="R28" s="7">
        <f t="shared" si="18"/>
        <v>9.6159649140176726E-4</v>
      </c>
      <c r="S28" s="2"/>
      <c r="T28" s="6">
        <v>297.38</v>
      </c>
      <c r="U28" s="2"/>
      <c r="V28" s="7">
        <f t="shared" si="19"/>
        <v>0</v>
      </c>
      <c r="W28" s="2"/>
      <c r="X28" s="6">
        <f t="shared" si="20"/>
        <v>566.04999999999995</v>
      </c>
      <c r="Y28" s="2"/>
      <c r="Z28" s="7">
        <f t="shared" si="21"/>
        <v>1.9034568565471786</v>
      </c>
    </row>
    <row r="29" spans="1:26" s="24" customFormat="1" hidden="1" outlineLevel="2" x14ac:dyDescent="0.3">
      <c r="A29" s="28"/>
      <c r="B29" s="11" t="str">
        <f>CONCATENATE("          ", "6115", " - ", "P.E.R.S.")</f>
        <v xml:space="preserve">          6115 - P.E.R.S.</v>
      </c>
      <c r="C29" s="11"/>
      <c r="D29" s="6">
        <v>397.02</v>
      </c>
      <c r="E29" s="2"/>
      <c r="F29" s="7">
        <f t="shared" si="14"/>
        <v>2.2868132173219043E-3</v>
      </c>
      <c r="G29" s="2"/>
      <c r="H29" s="6">
        <v>485.07</v>
      </c>
      <c r="I29" s="2"/>
      <c r="J29" s="7">
        <f t="shared" si="15"/>
        <v>0</v>
      </c>
      <c r="K29" s="2"/>
      <c r="L29" s="6">
        <f t="shared" si="16"/>
        <v>-88.050000000000011</v>
      </c>
      <c r="M29" s="2"/>
      <c r="N29" s="7">
        <f t="shared" si="17"/>
        <v>-0.18152019296184058</v>
      </c>
      <c r="O29" s="11"/>
      <c r="P29" s="6">
        <v>3399.51</v>
      </c>
      <c r="Q29" s="2"/>
      <c r="R29" s="7">
        <f t="shared" si="18"/>
        <v>3.7860126338964619E-3</v>
      </c>
      <c r="S29" s="2"/>
      <c r="T29" s="6">
        <v>3271.18</v>
      </c>
      <c r="U29" s="2"/>
      <c r="V29" s="7">
        <f t="shared" si="19"/>
        <v>0</v>
      </c>
      <c r="W29" s="2"/>
      <c r="X29" s="6">
        <f t="shared" si="20"/>
        <v>128.33000000000038</v>
      </c>
      <c r="Y29" s="2"/>
      <c r="Z29" s="7">
        <f t="shared" si="21"/>
        <v>3.9230491749154855E-2</v>
      </c>
    </row>
    <row r="30" spans="1:26" s="24" customFormat="1" hidden="1" outlineLevel="2" x14ac:dyDescent="0.3">
      <c r="A30" s="28"/>
      <c r="B30" s="11" t="str">
        <f>CONCATENATE("          ", "6117", " - ", "RETIREMENT STAFF HOURLY")</f>
        <v xml:space="preserve">          6117 - RETIREMENT STAFF HOURLY</v>
      </c>
      <c r="C30" s="11"/>
      <c r="D30" s="6">
        <v>726.17</v>
      </c>
      <c r="E30" s="2"/>
      <c r="F30" s="7">
        <f t="shared" si="14"/>
        <v>4.1826989925511241E-3</v>
      </c>
      <c r="G30" s="2"/>
      <c r="H30" s="6">
        <v>543.59</v>
      </c>
      <c r="I30" s="2"/>
      <c r="J30" s="7">
        <f t="shared" si="15"/>
        <v>0</v>
      </c>
      <c r="K30" s="2"/>
      <c r="L30" s="6">
        <f t="shared" si="16"/>
        <v>182.57999999999993</v>
      </c>
      <c r="M30" s="2"/>
      <c r="N30" s="7">
        <f t="shared" si="17"/>
        <v>0.33587814345370576</v>
      </c>
      <c r="O30" s="11"/>
      <c r="P30" s="6">
        <v>4484</v>
      </c>
      <c r="Q30" s="2"/>
      <c r="R30" s="7">
        <f t="shared" si="18"/>
        <v>4.9938022392614625E-3</v>
      </c>
      <c r="S30" s="2"/>
      <c r="T30" s="6">
        <v>3448.49</v>
      </c>
      <c r="U30" s="2"/>
      <c r="V30" s="7">
        <f t="shared" si="19"/>
        <v>0</v>
      </c>
      <c r="W30" s="2"/>
      <c r="X30" s="6">
        <f t="shared" si="20"/>
        <v>1035.5100000000002</v>
      </c>
      <c r="Y30" s="2"/>
      <c r="Z30" s="7">
        <f t="shared" si="21"/>
        <v>0.30027925265840999</v>
      </c>
    </row>
    <row r="31" spans="1:26" s="24" customFormat="1" hidden="1" outlineLevel="2" x14ac:dyDescent="0.3">
      <c r="A31" s="28"/>
      <c r="B31" s="11" t="str">
        <f>CONCATENATE("          ", "6118", " - ", "VACATION")</f>
        <v xml:space="preserve">          6118 - VACATION</v>
      </c>
      <c r="C31" s="11"/>
      <c r="D31" s="6">
        <v>1599.52</v>
      </c>
      <c r="E31" s="2"/>
      <c r="F31" s="7">
        <f t="shared" si="14"/>
        <v>9.2131466358640179E-3</v>
      </c>
      <c r="G31" s="2"/>
      <c r="H31" s="6">
        <v>1242.1199999999999</v>
      </c>
      <c r="I31" s="2"/>
      <c r="J31" s="7">
        <f t="shared" si="15"/>
        <v>0</v>
      </c>
      <c r="K31" s="2"/>
      <c r="L31" s="6">
        <f t="shared" si="16"/>
        <v>357.40000000000009</v>
      </c>
      <c r="M31" s="2"/>
      <c r="N31" s="7">
        <f t="shared" si="17"/>
        <v>0.28773387434386383</v>
      </c>
      <c r="O31" s="11"/>
      <c r="P31" s="6">
        <v>9817.75</v>
      </c>
      <c r="Q31" s="2"/>
      <c r="R31" s="7">
        <f t="shared" si="18"/>
        <v>1.0933965641059149E-2</v>
      </c>
      <c r="S31" s="2"/>
      <c r="T31" s="6">
        <v>8010.05</v>
      </c>
      <c r="U31" s="2"/>
      <c r="V31" s="7">
        <f t="shared" si="19"/>
        <v>0</v>
      </c>
      <c r="W31" s="2"/>
      <c r="X31" s="6">
        <f t="shared" si="20"/>
        <v>1807.6999999999998</v>
      </c>
      <c r="Y31" s="2"/>
      <c r="Z31" s="7">
        <f t="shared" si="21"/>
        <v>0.22567899076784786</v>
      </c>
    </row>
    <row r="32" spans="1:26" s="24" customFormat="1" hidden="1" outlineLevel="2" x14ac:dyDescent="0.3">
      <c r="A32" s="28"/>
      <c r="B32" s="11" t="str">
        <f>CONCATENATE("          ", "6119", " - ", "SICK LEAVE")</f>
        <v xml:space="preserve">          6119 - SICK LEAVE</v>
      </c>
      <c r="C32" s="11"/>
      <c r="D32" s="6">
        <v>1384.76</v>
      </c>
      <c r="E32" s="2"/>
      <c r="F32" s="7">
        <f t="shared" si="14"/>
        <v>7.976140926952497E-3</v>
      </c>
      <c r="G32" s="2"/>
      <c r="H32" s="6">
        <v>946.52</v>
      </c>
      <c r="I32" s="2"/>
      <c r="J32" s="7">
        <f t="shared" si="15"/>
        <v>0</v>
      </c>
      <c r="K32" s="2"/>
      <c r="L32" s="6">
        <f t="shared" si="16"/>
        <v>438.24</v>
      </c>
      <c r="M32" s="2"/>
      <c r="N32" s="7">
        <f t="shared" si="17"/>
        <v>0.46300131006212231</v>
      </c>
      <c r="O32" s="11"/>
      <c r="P32" s="6">
        <v>8403.2800000000007</v>
      </c>
      <c r="Q32" s="2"/>
      <c r="R32" s="7">
        <f t="shared" si="18"/>
        <v>9.3586794114944392E-3</v>
      </c>
      <c r="S32" s="2"/>
      <c r="T32" s="6">
        <v>6152.37</v>
      </c>
      <c r="U32" s="2"/>
      <c r="V32" s="7">
        <f t="shared" si="19"/>
        <v>0</v>
      </c>
      <c r="W32" s="2"/>
      <c r="X32" s="6">
        <f t="shared" si="20"/>
        <v>2250.9100000000008</v>
      </c>
      <c r="Y32" s="2"/>
      <c r="Z32" s="7">
        <f t="shared" si="21"/>
        <v>0.36586063582001743</v>
      </c>
    </row>
    <row r="33" spans="1:26" s="24" customFormat="1" hidden="1" outlineLevel="2" x14ac:dyDescent="0.3">
      <c r="A33" s="28"/>
      <c r="B33" s="11" t="str">
        <f>CONCATENATE("          ", "6156", " - ", "EMPLOYEE MEALS")</f>
        <v xml:space="preserve">          6156 - EMPLOYEE MEALS</v>
      </c>
      <c r="C33" s="11"/>
      <c r="D33" s="6">
        <v>925.12</v>
      </c>
      <c r="E33" s="2"/>
      <c r="F33" s="7">
        <f t="shared" si="14"/>
        <v>5.3286399768496303E-3</v>
      </c>
      <c r="G33" s="2"/>
      <c r="H33" s="6">
        <v>636.4</v>
      </c>
      <c r="I33" s="2"/>
      <c r="J33" s="7">
        <f t="shared" si="15"/>
        <v>0</v>
      </c>
      <c r="K33" s="2"/>
      <c r="L33" s="6">
        <f t="shared" si="16"/>
        <v>288.72000000000003</v>
      </c>
      <c r="M33" s="2"/>
      <c r="N33" s="7">
        <f t="shared" si="17"/>
        <v>0.45367693274670023</v>
      </c>
      <c r="O33" s="11"/>
      <c r="P33" s="6">
        <v>6446.38</v>
      </c>
      <c r="Q33" s="2"/>
      <c r="R33" s="7">
        <f t="shared" si="18"/>
        <v>7.179292345925581E-3</v>
      </c>
      <c r="S33" s="2"/>
      <c r="T33" s="6">
        <v>5068.78</v>
      </c>
      <c r="U33" s="2"/>
      <c r="V33" s="7">
        <f t="shared" si="19"/>
        <v>0</v>
      </c>
      <c r="W33" s="2"/>
      <c r="X33" s="6">
        <f t="shared" si="20"/>
        <v>1377.6000000000004</v>
      </c>
      <c r="Y33" s="2"/>
      <c r="Z33" s="7">
        <f t="shared" si="21"/>
        <v>0.27178137539999769</v>
      </c>
    </row>
    <row r="34" spans="1:26" s="29" customFormat="1" outlineLevel="1" collapsed="1" x14ac:dyDescent="0.3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65424.09</v>
      </c>
      <c r="E34" s="1"/>
      <c r="F34" s="5">
        <f t="shared" ref="F34:F39" si="22">IF(D$12=0,0,D34/D$12)</f>
        <v>0.37683913592075419</v>
      </c>
      <c r="G34" s="1"/>
      <c r="H34" s="1">
        <f>SUM(OSRRefH22_1x_0)</f>
        <v>17430.64</v>
      </c>
      <c r="I34" s="1"/>
      <c r="J34" s="5">
        <f t="shared" ref="J34:J39" si="23">IF(H$12=0,0,H34/H$12)</f>
        <v>0</v>
      </c>
      <c r="K34" s="1"/>
      <c r="L34" s="1">
        <f t="shared" ref="L34:L39" si="24">+D34-H34</f>
        <v>47993.45</v>
      </c>
      <c r="M34" s="1"/>
      <c r="N34" s="5">
        <f t="shared" ref="N34:N39" si="25">IF(H34=0,0,L34/H34)</f>
        <v>2.7533957445050783</v>
      </c>
      <c r="O34" s="14"/>
      <c r="P34" s="1">
        <f>SUM(OSRRefP22_1x_0)</f>
        <v>363834.68</v>
      </c>
      <c r="Q34" s="1"/>
      <c r="R34" s="5">
        <f t="shared" ref="R34:R39" si="26">IF(P$12=0,0,P34/P$12)</f>
        <v>0.40520036567907619</v>
      </c>
      <c r="S34" s="1"/>
      <c r="T34" s="1">
        <f>SUM(OSRRefT22_1x_0)</f>
        <v>124139.46</v>
      </c>
      <c r="U34" s="1"/>
      <c r="V34" s="5">
        <f t="shared" ref="V34:V39" si="27">IF(T$12=0,0,T34/T$12)</f>
        <v>0</v>
      </c>
      <c r="W34" s="1"/>
      <c r="X34" s="1">
        <f t="shared" ref="X34:X39" si="28">+P34-T34</f>
        <v>239695.21999999997</v>
      </c>
      <c r="Y34" s="1"/>
      <c r="Z34" s="5">
        <f t="shared" ref="Z34:Z39" si="29">IF(T34=0,0,X34/T34)</f>
        <v>1.9308543794213375</v>
      </c>
    </row>
    <row r="35" spans="1:26" s="24" customFormat="1" hidden="1" outlineLevel="2" x14ac:dyDescent="0.3">
      <c r="A35" s="28"/>
      <c r="B35" s="11" t="str">
        <f>CONCATENATE("          ", "6002", " - ", "STAFF SALARIES")</f>
        <v xml:space="preserve">          6002 - STAFF SALARIES</v>
      </c>
      <c r="C35" s="11"/>
      <c r="D35" s="6">
        <v>4707.7</v>
      </c>
      <c r="E35" s="2"/>
      <c r="F35" s="7">
        <f t="shared" si="22"/>
        <v>2.7116091338437179E-2</v>
      </c>
      <c r="G35" s="2"/>
      <c r="H35" s="6">
        <v>3626.07</v>
      </c>
      <c r="I35" s="2"/>
      <c r="J35" s="7">
        <f t="shared" si="23"/>
        <v>0</v>
      </c>
      <c r="K35" s="2"/>
      <c r="L35" s="6">
        <f t="shared" si="24"/>
        <v>1081.6299999999997</v>
      </c>
      <c r="M35" s="2"/>
      <c r="N35" s="7">
        <f t="shared" si="25"/>
        <v>0.29829264189604715</v>
      </c>
      <c r="O35" s="11"/>
      <c r="P35" s="6">
        <v>34868.94</v>
      </c>
      <c r="Q35" s="2"/>
      <c r="R35" s="7">
        <f t="shared" si="26"/>
        <v>3.8833316381060121E-2</v>
      </c>
      <c r="S35" s="2"/>
      <c r="T35" s="6">
        <v>26711.99</v>
      </c>
      <c r="U35" s="2"/>
      <c r="V35" s="7">
        <f t="shared" si="27"/>
        <v>0</v>
      </c>
      <c r="W35" s="2"/>
      <c r="X35" s="6">
        <f t="shared" si="28"/>
        <v>8156.9500000000007</v>
      </c>
      <c r="Y35" s="2"/>
      <c r="Z35" s="7">
        <f t="shared" si="29"/>
        <v>0.30536661626483091</v>
      </c>
    </row>
    <row r="36" spans="1:26" s="24" customFormat="1" hidden="1" outlineLevel="2" x14ac:dyDescent="0.3">
      <c r="A36" s="28"/>
      <c r="B36" s="11" t="str">
        <f>CONCATENATE("          ", "6004", " - ", "STAFF HOURLY")</f>
        <v xml:space="preserve">          6004 - STAFF HOURLY</v>
      </c>
      <c r="C36" s="11"/>
      <c r="D36" s="6">
        <v>23297.05</v>
      </c>
      <c r="E36" s="2"/>
      <c r="F36" s="7">
        <f t="shared" si="22"/>
        <v>0.13418971806107821</v>
      </c>
      <c r="G36" s="2"/>
      <c r="H36" s="6">
        <v>13804.57</v>
      </c>
      <c r="I36" s="2"/>
      <c r="J36" s="7">
        <f t="shared" si="23"/>
        <v>0</v>
      </c>
      <c r="K36" s="2"/>
      <c r="L36" s="6">
        <f t="shared" si="24"/>
        <v>9492.48</v>
      </c>
      <c r="M36" s="2"/>
      <c r="N36" s="7">
        <f t="shared" si="25"/>
        <v>0.68763315336877573</v>
      </c>
      <c r="O36" s="11"/>
      <c r="P36" s="6">
        <v>157718.51999999999</v>
      </c>
      <c r="Q36" s="2"/>
      <c r="R36" s="7">
        <f t="shared" si="26"/>
        <v>0.17565011113938531</v>
      </c>
      <c r="S36" s="2"/>
      <c r="T36" s="6">
        <v>97427.47</v>
      </c>
      <c r="U36" s="2"/>
      <c r="V36" s="7">
        <f t="shared" si="27"/>
        <v>0</v>
      </c>
      <c r="W36" s="2"/>
      <c r="X36" s="6">
        <f t="shared" si="28"/>
        <v>60291.049999999988</v>
      </c>
      <c r="Y36" s="2"/>
      <c r="Z36" s="7">
        <f t="shared" si="29"/>
        <v>0.61883008970673248</v>
      </c>
    </row>
    <row r="37" spans="1:26" s="24" customFormat="1" hidden="1" outlineLevel="2" x14ac:dyDescent="0.3">
      <c r="A37" s="28"/>
      <c r="B37" s="11" t="str">
        <f>CONCATENATE("          ", "6005", " - ", "TEMPORARY WAGES-HOURLY")</f>
        <v xml:space="preserve">          6005 - TEMPORARY WAGES-HOURLY</v>
      </c>
      <c r="C37" s="11"/>
      <c r="D37" s="6">
        <v>14233.56</v>
      </c>
      <c r="E37" s="2"/>
      <c r="F37" s="7">
        <f t="shared" si="22"/>
        <v>8.1984517499230178E-2</v>
      </c>
      <c r="G37" s="2"/>
      <c r="H37" s="6"/>
      <c r="I37" s="2"/>
      <c r="J37" s="7">
        <f t="shared" si="23"/>
        <v>0</v>
      </c>
      <c r="K37" s="2"/>
      <c r="L37" s="6">
        <f t="shared" si="24"/>
        <v>14233.56</v>
      </c>
      <c r="M37" s="2"/>
      <c r="N37" s="7">
        <f t="shared" si="25"/>
        <v>0</v>
      </c>
      <c r="O37" s="11"/>
      <c r="P37" s="6">
        <v>70822.77</v>
      </c>
      <c r="Q37" s="2"/>
      <c r="R37" s="7">
        <f t="shared" si="26"/>
        <v>7.8874867844937455E-2</v>
      </c>
      <c r="S37" s="2"/>
      <c r="T37" s="6"/>
      <c r="U37" s="2"/>
      <c r="V37" s="7">
        <f t="shared" si="27"/>
        <v>0</v>
      </c>
      <c r="W37" s="2"/>
      <c r="X37" s="6">
        <f t="shared" si="28"/>
        <v>70822.77</v>
      </c>
      <c r="Y37" s="2"/>
      <c r="Z37" s="7">
        <f t="shared" si="29"/>
        <v>0</v>
      </c>
    </row>
    <row r="38" spans="1:26" s="24" customFormat="1" hidden="1" outlineLevel="2" x14ac:dyDescent="0.3">
      <c r="A38" s="28"/>
      <c r="B38" s="11" t="str">
        <f>CONCATENATE("          ", "6007", " - ", "STUDENT HOURLY")</f>
        <v xml:space="preserve">          6007 - STUDENT HOURLY</v>
      </c>
      <c r="C38" s="11"/>
      <c r="D38" s="6">
        <v>15150.97</v>
      </c>
      <c r="E38" s="2"/>
      <c r="F38" s="7">
        <f t="shared" si="22"/>
        <v>8.7268748302976304E-2</v>
      </c>
      <c r="G38" s="2"/>
      <c r="H38" s="6"/>
      <c r="I38" s="2"/>
      <c r="J38" s="7">
        <f t="shared" si="23"/>
        <v>0</v>
      </c>
      <c r="K38" s="2"/>
      <c r="L38" s="6">
        <f t="shared" si="24"/>
        <v>15150.97</v>
      </c>
      <c r="M38" s="2"/>
      <c r="N38" s="7">
        <f t="shared" si="25"/>
        <v>0</v>
      </c>
      <c r="O38" s="11"/>
      <c r="P38" s="6">
        <v>78374.45</v>
      </c>
      <c r="Q38" s="2"/>
      <c r="R38" s="7">
        <f t="shared" si="26"/>
        <v>8.7285125760679191E-2</v>
      </c>
      <c r="S38" s="2"/>
      <c r="T38" s="6">
        <v>0</v>
      </c>
      <c r="U38" s="2"/>
      <c r="V38" s="7">
        <f t="shared" si="27"/>
        <v>0</v>
      </c>
      <c r="W38" s="2"/>
      <c r="X38" s="6">
        <f t="shared" si="28"/>
        <v>78374.45</v>
      </c>
      <c r="Y38" s="2"/>
      <c r="Z38" s="7">
        <f t="shared" si="29"/>
        <v>0</v>
      </c>
    </row>
    <row r="39" spans="1:26" s="24" customFormat="1" hidden="1" outlineLevel="2" x14ac:dyDescent="0.3">
      <c r="A39" s="28"/>
      <c r="B39" s="11" t="str">
        <f>CONCATENATE("          ", "6008", " - ", "STUDENT HOURLY-FICA EXEMPT")</f>
        <v xml:space="preserve">          6008 - STUDENT HOURLY-FICA EXEMPT</v>
      </c>
      <c r="C39" s="11"/>
      <c r="D39" s="6">
        <v>8034.81</v>
      </c>
      <c r="E39" s="2"/>
      <c r="F39" s="7">
        <f t="shared" si="22"/>
        <v>4.6280060719032325E-2</v>
      </c>
      <c r="G39" s="2"/>
      <c r="H39" s="6"/>
      <c r="I39" s="2"/>
      <c r="J39" s="7">
        <f t="shared" si="23"/>
        <v>0</v>
      </c>
      <c r="K39" s="2"/>
      <c r="L39" s="6">
        <f t="shared" si="24"/>
        <v>8034.81</v>
      </c>
      <c r="M39" s="2"/>
      <c r="N39" s="7">
        <f t="shared" si="25"/>
        <v>0</v>
      </c>
      <c r="O39" s="11"/>
      <c r="P39" s="6">
        <v>22050</v>
      </c>
      <c r="Q39" s="2"/>
      <c r="R39" s="7">
        <f t="shared" si="26"/>
        <v>2.4556944553014104E-2</v>
      </c>
      <c r="S39" s="2"/>
      <c r="T39" s="6"/>
      <c r="U39" s="2"/>
      <c r="V39" s="7">
        <f t="shared" si="27"/>
        <v>0</v>
      </c>
      <c r="W39" s="2"/>
      <c r="X39" s="6">
        <f t="shared" si="28"/>
        <v>22050</v>
      </c>
      <c r="Y39" s="2"/>
      <c r="Z39" s="7">
        <f t="shared" si="29"/>
        <v>0</v>
      </c>
    </row>
    <row r="40" spans="1:26" s="29" customFormat="1" outlineLevel="1" collapsed="1" x14ac:dyDescent="0.3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68.040000000000006</v>
      </c>
      <c r="E40" s="1"/>
      <c r="F40" s="5">
        <f t="shared" ref="F40:F62" si="30">IF(D$12=0,0,D40/D$12)</f>
        <v>3.9190663267992139E-4</v>
      </c>
      <c r="G40" s="1"/>
      <c r="H40" s="1">
        <f>SUM(OSRRefH22_2x_0)</f>
        <v>0</v>
      </c>
      <c r="I40" s="1"/>
      <c r="J40" s="5">
        <f t="shared" ref="J40:J62" si="31">IF(H$12=0,0,H40/H$12)</f>
        <v>0</v>
      </c>
      <c r="K40" s="1"/>
      <c r="L40" s="1">
        <f t="shared" ref="L40:L62" si="32">+D40-H40</f>
        <v>68.040000000000006</v>
      </c>
      <c r="M40" s="1"/>
      <c r="N40" s="5">
        <f t="shared" ref="N40:N62" si="33">IF(H40=0,0,L40/H40)</f>
        <v>0</v>
      </c>
      <c r="O40" s="14"/>
      <c r="P40" s="1">
        <f>SUM(OSRRefP22_2x_0)</f>
        <v>923.31</v>
      </c>
      <c r="Q40" s="1"/>
      <c r="R40" s="5">
        <f t="shared" ref="R40:R62" si="34">IF(P$12=0,0,P40/P$12)</f>
        <v>1.0282844659974355E-3</v>
      </c>
      <c r="S40" s="1"/>
      <c r="T40" s="1">
        <f>SUM(OSRRefT22_2x_0)</f>
        <v>0</v>
      </c>
      <c r="U40" s="1"/>
      <c r="V40" s="5">
        <f t="shared" ref="V40:V62" si="35">IF(T$12=0,0,T40/T$12)</f>
        <v>0</v>
      </c>
      <c r="W40" s="1"/>
      <c r="X40" s="1">
        <f t="shared" ref="X40:X62" si="36">+P40-T40</f>
        <v>923.31</v>
      </c>
      <c r="Y40" s="1"/>
      <c r="Z40" s="5">
        <f t="shared" ref="Z40:Z62" si="37">IF(T40=0,0,X40/T40)</f>
        <v>0</v>
      </c>
    </row>
    <row r="41" spans="1:26" s="24" customFormat="1" hidden="1" outlineLevel="2" x14ac:dyDescent="0.3">
      <c r="A41" s="28"/>
      <c r="B41" s="11" t="str">
        <f>CONCATENATE("          ", "6362", " - ", "ADVERTISING EXPENSE")</f>
        <v xml:space="preserve">          6362 - ADVERTISING EXPENSE</v>
      </c>
      <c r="C41" s="11"/>
      <c r="D41" s="6">
        <v>68.040000000000006</v>
      </c>
      <c r="E41" s="2"/>
      <c r="F41" s="7">
        <f t="shared" si="30"/>
        <v>3.9190663267992139E-4</v>
      </c>
      <c r="G41" s="2"/>
      <c r="H41" s="6"/>
      <c r="I41" s="2"/>
      <c r="J41" s="7">
        <f t="shared" si="31"/>
        <v>0</v>
      </c>
      <c r="K41" s="2"/>
      <c r="L41" s="6">
        <f t="shared" si="32"/>
        <v>68.040000000000006</v>
      </c>
      <c r="M41" s="2"/>
      <c r="N41" s="7">
        <f t="shared" si="33"/>
        <v>0</v>
      </c>
      <c r="O41" s="11"/>
      <c r="P41" s="6">
        <v>923.31</v>
      </c>
      <c r="Q41" s="2"/>
      <c r="R41" s="7">
        <f t="shared" si="34"/>
        <v>1.0282844659974355E-3</v>
      </c>
      <c r="S41" s="2"/>
      <c r="T41" s="6"/>
      <c r="U41" s="2"/>
      <c r="V41" s="7">
        <f t="shared" si="35"/>
        <v>0</v>
      </c>
      <c r="W41" s="2"/>
      <c r="X41" s="6">
        <f t="shared" si="36"/>
        <v>923.31</v>
      </c>
      <c r="Y41" s="2"/>
      <c r="Z41" s="7">
        <f t="shared" si="37"/>
        <v>0</v>
      </c>
    </row>
    <row r="42" spans="1:26" s="29" customFormat="1" outlineLevel="1" collapsed="1" x14ac:dyDescent="0.3">
      <c r="A42" s="27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SUM(OSRRefD22_3x_0)</f>
        <v>0</v>
      </c>
      <c r="E42" s="1"/>
      <c r="F42" s="5">
        <f t="shared" si="30"/>
        <v>0</v>
      </c>
      <c r="G42" s="1"/>
      <c r="H42" s="1">
        <f>SUM(OSRRefH22_3x_0)</f>
        <v>0</v>
      </c>
      <c r="I42" s="1"/>
      <c r="J42" s="5">
        <f t="shared" si="31"/>
        <v>0</v>
      </c>
      <c r="K42" s="1"/>
      <c r="L42" s="1">
        <f t="shared" si="32"/>
        <v>0</v>
      </c>
      <c r="M42" s="1"/>
      <c r="N42" s="5">
        <f t="shared" si="33"/>
        <v>0</v>
      </c>
      <c r="O42" s="14"/>
      <c r="P42" s="1">
        <f>SUM(OSRRefP22_3x_0)</f>
        <v>0</v>
      </c>
      <c r="Q42" s="1"/>
      <c r="R42" s="5">
        <f t="shared" si="34"/>
        <v>0</v>
      </c>
      <c r="S42" s="1"/>
      <c r="T42" s="1">
        <f>SUM(OSRRefT22_3x_0)</f>
        <v>29.74</v>
      </c>
      <c r="U42" s="1"/>
      <c r="V42" s="5">
        <f t="shared" si="35"/>
        <v>0</v>
      </c>
      <c r="W42" s="1"/>
      <c r="X42" s="1">
        <f t="shared" si="36"/>
        <v>-29.74</v>
      </c>
      <c r="Y42" s="1"/>
      <c r="Z42" s="5">
        <f t="shared" si="37"/>
        <v>-1</v>
      </c>
    </row>
    <row r="43" spans="1:26" s="24" customFormat="1" hidden="1" outlineLevel="2" x14ac:dyDescent="0.3">
      <c r="A43" s="28"/>
      <c r="B43" s="11" t="str">
        <f>CONCATENATE("          ", "6272", " - ", "CASH (OVER/SHORT)")</f>
        <v xml:space="preserve">          6272 - CASH (OVER/SHORT)</v>
      </c>
      <c r="C43" s="11"/>
      <c r="D43" s="6"/>
      <c r="E43" s="2"/>
      <c r="F43" s="7">
        <f t="shared" si="30"/>
        <v>0</v>
      </c>
      <c r="G43" s="2"/>
      <c r="H43" s="6"/>
      <c r="I43" s="2"/>
      <c r="J43" s="7">
        <f t="shared" si="31"/>
        <v>0</v>
      </c>
      <c r="K43" s="2"/>
      <c r="L43" s="6">
        <f t="shared" si="32"/>
        <v>0</v>
      </c>
      <c r="M43" s="2"/>
      <c r="N43" s="7">
        <f t="shared" si="33"/>
        <v>0</v>
      </c>
      <c r="O43" s="11"/>
      <c r="P43" s="6"/>
      <c r="Q43" s="2"/>
      <c r="R43" s="7">
        <f t="shared" si="34"/>
        <v>0</v>
      </c>
      <c r="S43" s="2"/>
      <c r="T43" s="6">
        <v>29.74</v>
      </c>
      <c r="U43" s="2"/>
      <c r="V43" s="7">
        <f t="shared" si="35"/>
        <v>0</v>
      </c>
      <c r="W43" s="2"/>
      <c r="X43" s="6">
        <f t="shared" si="36"/>
        <v>-29.74</v>
      </c>
      <c r="Y43" s="2"/>
      <c r="Z43" s="7">
        <f t="shared" si="37"/>
        <v>-1</v>
      </c>
    </row>
    <row r="44" spans="1:26" s="29" customFormat="1" outlineLevel="1" collapsed="1" x14ac:dyDescent="0.3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SUM(OSRRefD22_4x_0)</f>
        <v>68.28</v>
      </c>
      <c r="E44" s="1"/>
      <c r="F44" s="5">
        <f t="shared" si="30"/>
        <v>3.9328901939131441E-4</v>
      </c>
      <c r="G44" s="1"/>
      <c r="H44" s="1">
        <f>SUM(OSRRefH22_4x_0)</f>
        <v>0</v>
      </c>
      <c r="I44" s="1"/>
      <c r="J44" s="5">
        <f t="shared" si="31"/>
        <v>0</v>
      </c>
      <c r="K44" s="1"/>
      <c r="L44" s="1">
        <f t="shared" si="32"/>
        <v>68.28</v>
      </c>
      <c r="M44" s="1"/>
      <c r="N44" s="5">
        <f t="shared" si="33"/>
        <v>0</v>
      </c>
      <c r="O44" s="14"/>
      <c r="P44" s="1">
        <f>SUM(OSRRefP22_4x_0)</f>
        <v>255.57</v>
      </c>
      <c r="Q44" s="1"/>
      <c r="R44" s="5">
        <f t="shared" si="34"/>
        <v>2.8462668115255397E-4</v>
      </c>
      <c r="S44" s="1"/>
      <c r="T44" s="1">
        <f>SUM(OSRRefT22_4x_0)</f>
        <v>0</v>
      </c>
      <c r="U44" s="1"/>
      <c r="V44" s="5">
        <f t="shared" si="35"/>
        <v>0</v>
      </c>
      <c r="W44" s="1"/>
      <c r="X44" s="1">
        <f t="shared" si="36"/>
        <v>255.57</v>
      </c>
      <c r="Y44" s="1"/>
      <c r="Z44" s="5">
        <f t="shared" si="37"/>
        <v>0</v>
      </c>
    </row>
    <row r="45" spans="1:26" s="24" customFormat="1" hidden="1" outlineLevel="2" x14ac:dyDescent="0.3">
      <c r="A45" s="28"/>
      <c r="B45" s="11" t="str">
        <f>CONCATENATE("          ", "6381", " - ", "BANK/CREDIT CARD FEES")</f>
        <v xml:space="preserve">          6381 - BANK/CREDIT CARD FEES</v>
      </c>
      <c r="C45" s="11"/>
      <c r="D45" s="6">
        <v>68.28</v>
      </c>
      <c r="E45" s="2"/>
      <c r="F45" s="7">
        <f t="shared" si="30"/>
        <v>3.9328901939131441E-4</v>
      </c>
      <c r="G45" s="2"/>
      <c r="H45" s="6"/>
      <c r="I45" s="2"/>
      <c r="J45" s="7">
        <f t="shared" si="31"/>
        <v>0</v>
      </c>
      <c r="K45" s="2"/>
      <c r="L45" s="6">
        <f t="shared" si="32"/>
        <v>68.28</v>
      </c>
      <c r="M45" s="2"/>
      <c r="N45" s="7">
        <f t="shared" si="33"/>
        <v>0</v>
      </c>
      <c r="O45" s="11"/>
      <c r="P45" s="6">
        <v>255.57</v>
      </c>
      <c r="Q45" s="2"/>
      <c r="R45" s="7">
        <f t="shared" si="34"/>
        <v>2.8462668115255397E-4</v>
      </c>
      <c r="S45" s="2"/>
      <c r="T45" s="6"/>
      <c r="U45" s="2"/>
      <c r="V45" s="7">
        <f t="shared" si="35"/>
        <v>0</v>
      </c>
      <c r="W45" s="2"/>
      <c r="X45" s="6">
        <f t="shared" si="36"/>
        <v>255.57</v>
      </c>
      <c r="Y45" s="2"/>
      <c r="Z45" s="7">
        <f t="shared" si="37"/>
        <v>0</v>
      </c>
    </row>
    <row r="46" spans="1:26" s="29" customFormat="1" outlineLevel="1" collapsed="1" x14ac:dyDescent="0.3">
      <c r="A46" s="27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SUM(OSRRefD22_5x_0)</f>
        <v>213.02</v>
      </c>
      <c r="E46" s="1"/>
      <c r="F46" s="5">
        <f t="shared" si="30"/>
        <v>1.2269834052539221E-3</v>
      </c>
      <c r="G46" s="1"/>
      <c r="H46" s="1">
        <f>SUM(OSRRefH22_5x_0)</f>
        <v>213.02</v>
      </c>
      <c r="I46" s="1"/>
      <c r="J46" s="5">
        <f t="shared" si="31"/>
        <v>0</v>
      </c>
      <c r="K46" s="1"/>
      <c r="L46" s="1">
        <f t="shared" si="32"/>
        <v>0</v>
      </c>
      <c r="M46" s="1"/>
      <c r="N46" s="5">
        <f t="shared" si="33"/>
        <v>0</v>
      </c>
      <c r="O46" s="14"/>
      <c r="P46" s="1">
        <f>SUM(OSRRefP22_5x_0)</f>
        <v>1278.1199999999999</v>
      </c>
      <c r="Q46" s="1"/>
      <c r="R46" s="5">
        <f t="shared" si="34"/>
        <v>1.4234341030430107E-3</v>
      </c>
      <c r="S46" s="1"/>
      <c r="T46" s="1">
        <f>SUM(OSRRefT22_5x_0)</f>
        <v>1278.1199999999999</v>
      </c>
      <c r="U46" s="1"/>
      <c r="V46" s="5">
        <f t="shared" si="35"/>
        <v>0</v>
      </c>
      <c r="W46" s="1"/>
      <c r="X46" s="1">
        <f t="shared" si="36"/>
        <v>0</v>
      </c>
      <c r="Y46" s="1"/>
      <c r="Z46" s="5">
        <f t="shared" si="37"/>
        <v>0</v>
      </c>
    </row>
    <row r="47" spans="1:26" s="24" customFormat="1" hidden="1" outlineLevel="2" x14ac:dyDescent="0.3">
      <c r="A47" s="28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213.02</v>
      </c>
      <c r="E47" s="2"/>
      <c r="F47" s="7">
        <f t="shared" si="30"/>
        <v>1.2269834052539221E-3</v>
      </c>
      <c r="G47" s="2"/>
      <c r="H47" s="6">
        <v>213.02</v>
      </c>
      <c r="I47" s="2"/>
      <c r="J47" s="7">
        <f t="shared" si="31"/>
        <v>0</v>
      </c>
      <c r="K47" s="2"/>
      <c r="L47" s="6">
        <f t="shared" si="32"/>
        <v>0</v>
      </c>
      <c r="M47" s="2"/>
      <c r="N47" s="7">
        <f t="shared" si="33"/>
        <v>0</v>
      </c>
      <c r="O47" s="11"/>
      <c r="P47" s="6">
        <v>1278.1199999999999</v>
      </c>
      <c r="Q47" s="2"/>
      <c r="R47" s="7">
        <f t="shared" si="34"/>
        <v>1.4234341030430107E-3</v>
      </c>
      <c r="S47" s="2"/>
      <c r="T47" s="6">
        <v>1278.1199999999999</v>
      </c>
      <c r="U47" s="2"/>
      <c r="V47" s="7">
        <f t="shared" si="35"/>
        <v>0</v>
      </c>
      <c r="W47" s="2"/>
      <c r="X47" s="6">
        <f t="shared" si="36"/>
        <v>0</v>
      </c>
      <c r="Y47" s="2"/>
      <c r="Z47" s="7">
        <f t="shared" si="37"/>
        <v>0</v>
      </c>
    </row>
    <row r="48" spans="1:26" s="29" customFormat="1" outlineLevel="1" collapsed="1" x14ac:dyDescent="0.3">
      <c r="A48" s="27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SUM(OSRRefD22_6x_0)</f>
        <v>413.93</v>
      </c>
      <c r="E48" s="1"/>
      <c r="F48" s="5">
        <f t="shared" si="30"/>
        <v>2.3842138810288046E-3</v>
      </c>
      <c r="G48" s="1"/>
      <c r="H48" s="1">
        <f>SUM(OSRRefH22_6x_0)</f>
        <v>0</v>
      </c>
      <c r="I48" s="1"/>
      <c r="J48" s="5">
        <f t="shared" si="31"/>
        <v>0</v>
      </c>
      <c r="K48" s="1"/>
      <c r="L48" s="1">
        <f t="shared" si="32"/>
        <v>413.93</v>
      </c>
      <c r="M48" s="1"/>
      <c r="N48" s="5">
        <f t="shared" si="33"/>
        <v>0</v>
      </c>
      <c r="O48" s="14"/>
      <c r="P48" s="1">
        <f>SUM(OSRRefP22_6x_0)</f>
        <v>6060</v>
      </c>
      <c r="Q48" s="1"/>
      <c r="R48" s="5">
        <f t="shared" si="34"/>
        <v>6.7489834009644206E-3</v>
      </c>
      <c r="S48" s="1"/>
      <c r="T48" s="1">
        <f>SUM(OSRRefT22_6x_0)</f>
        <v>0</v>
      </c>
      <c r="U48" s="1"/>
      <c r="V48" s="5">
        <f t="shared" si="35"/>
        <v>0</v>
      </c>
      <c r="W48" s="1"/>
      <c r="X48" s="1">
        <f t="shared" si="36"/>
        <v>6060</v>
      </c>
      <c r="Y48" s="1"/>
      <c r="Z48" s="5">
        <f t="shared" si="37"/>
        <v>0</v>
      </c>
    </row>
    <row r="49" spans="1:26" s="24" customFormat="1" hidden="1" outlineLevel="2" x14ac:dyDescent="0.3">
      <c r="A49" s="28"/>
      <c r="B49" s="11" t="str">
        <f>CONCATENATE("          ", "6399", " - ", "DONATION-ON CAMPUS")</f>
        <v xml:space="preserve">          6399 - DONATION-ON CAMPUS</v>
      </c>
      <c r="C49" s="11"/>
      <c r="D49" s="6">
        <v>413.93</v>
      </c>
      <c r="E49" s="2"/>
      <c r="F49" s="7">
        <f t="shared" si="30"/>
        <v>2.3842138810288046E-3</v>
      </c>
      <c r="G49" s="2"/>
      <c r="H49" s="6"/>
      <c r="I49" s="2"/>
      <c r="J49" s="7">
        <f t="shared" si="31"/>
        <v>0</v>
      </c>
      <c r="K49" s="2"/>
      <c r="L49" s="6">
        <f t="shared" si="32"/>
        <v>413.93</v>
      </c>
      <c r="M49" s="2"/>
      <c r="N49" s="7">
        <f t="shared" si="33"/>
        <v>0</v>
      </c>
      <c r="O49" s="11"/>
      <c r="P49" s="6">
        <v>6060</v>
      </c>
      <c r="Q49" s="2"/>
      <c r="R49" s="7">
        <f t="shared" si="34"/>
        <v>6.7489834009644206E-3</v>
      </c>
      <c r="S49" s="2"/>
      <c r="T49" s="6"/>
      <c r="U49" s="2"/>
      <c r="V49" s="7">
        <f t="shared" si="35"/>
        <v>0</v>
      </c>
      <c r="W49" s="2"/>
      <c r="X49" s="6">
        <f t="shared" si="36"/>
        <v>6060</v>
      </c>
      <c r="Y49" s="2"/>
      <c r="Z49" s="7">
        <f t="shared" si="37"/>
        <v>0</v>
      </c>
    </row>
    <row r="50" spans="1:26" s="29" customFormat="1" outlineLevel="1" collapsed="1" x14ac:dyDescent="0.3">
      <c r="A50" s="27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SUM(OSRRefD22_7x_0)</f>
        <v>0</v>
      </c>
      <c r="E50" s="1"/>
      <c r="F50" s="5">
        <f t="shared" si="30"/>
        <v>0</v>
      </c>
      <c r="G50" s="1"/>
      <c r="H50" s="1">
        <f>SUM(OSRRefH22_7x_0)</f>
        <v>0</v>
      </c>
      <c r="I50" s="1"/>
      <c r="J50" s="5">
        <f t="shared" si="31"/>
        <v>0</v>
      </c>
      <c r="K50" s="1"/>
      <c r="L50" s="1">
        <f t="shared" si="32"/>
        <v>0</v>
      </c>
      <c r="M50" s="1"/>
      <c r="N50" s="5">
        <f t="shared" si="33"/>
        <v>0</v>
      </c>
      <c r="O50" s="14"/>
      <c r="P50" s="1">
        <f>SUM(OSRRefP22_7x_0)</f>
        <v>14.49</v>
      </c>
      <c r="Q50" s="1"/>
      <c r="R50" s="5">
        <f t="shared" si="34"/>
        <v>1.6137420706266412E-5</v>
      </c>
      <c r="S50" s="1"/>
      <c r="T50" s="1">
        <f>SUM(OSRRefT22_7x_0)</f>
        <v>0</v>
      </c>
      <c r="U50" s="1"/>
      <c r="V50" s="5">
        <f t="shared" si="35"/>
        <v>0</v>
      </c>
      <c r="W50" s="1"/>
      <c r="X50" s="1">
        <f t="shared" si="36"/>
        <v>14.49</v>
      </c>
      <c r="Y50" s="1"/>
      <c r="Z50" s="5">
        <f t="shared" si="37"/>
        <v>0</v>
      </c>
    </row>
    <row r="51" spans="1:26" s="24" customFormat="1" hidden="1" outlineLevel="2" x14ac:dyDescent="0.3">
      <c r="A51" s="28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30"/>
        <v>0</v>
      </c>
      <c r="G51" s="2"/>
      <c r="H51" s="6"/>
      <c r="I51" s="2"/>
      <c r="J51" s="7">
        <f t="shared" si="31"/>
        <v>0</v>
      </c>
      <c r="K51" s="2"/>
      <c r="L51" s="6">
        <f t="shared" si="32"/>
        <v>0</v>
      </c>
      <c r="M51" s="2"/>
      <c r="N51" s="7">
        <f t="shared" si="33"/>
        <v>0</v>
      </c>
      <c r="O51" s="11"/>
      <c r="P51" s="6">
        <v>14.49</v>
      </c>
      <c r="Q51" s="2"/>
      <c r="R51" s="7">
        <f t="shared" si="34"/>
        <v>1.6137420706266412E-5</v>
      </c>
      <c r="S51" s="2"/>
      <c r="T51" s="6"/>
      <c r="U51" s="2"/>
      <c r="V51" s="7">
        <f t="shared" si="35"/>
        <v>0</v>
      </c>
      <c r="W51" s="2"/>
      <c r="X51" s="6">
        <f t="shared" si="36"/>
        <v>14.49</v>
      </c>
      <c r="Y51" s="2"/>
      <c r="Z51" s="7">
        <f t="shared" si="37"/>
        <v>0</v>
      </c>
    </row>
    <row r="52" spans="1:26" s="29" customFormat="1" outlineLevel="1" collapsed="1" x14ac:dyDescent="0.3">
      <c r="A52" s="27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SUM(OSRRefD22_8x_0)</f>
        <v>0</v>
      </c>
      <c r="E52" s="1"/>
      <c r="F52" s="5">
        <f t="shared" si="30"/>
        <v>0</v>
      </c>
      <c r="G52" s="1"/>
      <c r="H52" s="1">
        <f>SUM(OSRRefH22_8x_0)</f>
        <v>0</v>
      </c>
      <c r="I52" s="1"/>
      <c r="J52" s="5">
        <f t="shared" si="31"/>
        <v>0</v>
      </c>
      <c r="K52" s="1"/>
      <c r="L52" s="1">
        <f t="shared" si="32"/>
        <v>0</v>
      </c>
      <c r="M52" s="1"/>
      <c r="N52" s="5">
        <f t="shared" si="33"/>
        <v>0</v>
      </c>
      <c r="O52" s="14"/>
      <c r="P52" s="1">
        <f>SUM(OSRRefP22_8x_0)</f>
        <v>0</v>
      </c>
      <c r="Q52" s="1"/>
      <c r="R52" s="5">
        <f t="shared" si="34"/>
        <v>0</v>
      </c>
      <c r="S52" s="1"/>
      <c r="T52" s="1">
        <f>SUM(OSRRefT22_8x_0)</f>
        <v>20</v>
      </c>
      <c r="U52" s="1"/>
      <c r="V52" s="5">
        <f t="shared" si="35"/>
        <v>0</v>
      </c>
      <c r="W52" s="1"/>
      <c r="X52" s="1">
        <f t="shared" si="36"/>
        <v>-20</v>
      </c>
      <c r="Y52" s="1"/>
      <c r="Z52" s="5">
        <f t="shared" si="37"/>
        <v>-1</v>
      </c>
    </row>
    <row r="53" spans="1:26" s="24" customFormat="1" hidden="1" outlineLevel="2" x14ac:dyDescent="0.3">
      <c r="A53" s="28"/>
      <c r="B53" s="11" t="str">
        <f>CONCATENATE("          ", "6351", " - ", "EQUIPMENT RENTAL")</f>
        <v xml:space="preserve">          6351 - EQUIPMENT RENTAL</v>
      </c>
      <c r="C53" s="11"/>
      <c r="D53" s="6"/>
      <c r="E53" s="2"/>
      <c r="F53" s="7">
        <f t="shared" si="30"/>
        <v>0</v>
      </c>
      <c r="G53" s="2"/>
      <c r="H53" s="6"/>
      <c r="I53" s="2"/>
      <c r="J53" s="7">
        <f t="shared" si="31"/>
        <v>0</v>
      </c>
      <c r="K53" s="2"/>
      <c r="L53" s="6">
        <f t="shared" si="32"/>
        <v>0</v>
      </c>
      <c r="M53" s="2"/>
      <c r="N53" s="7">
        <f t="shared" si="33"/>
        <v>0</v>
      </c>
      <c r="O53" s="11"/>
      <c r="P53" s="6"/>
      <c r="Q53" s="2"/>
      <c r="R53" s="7">
        <f t="shared" si="34"/>
        <v>0</v>
      </c>
      <c r="S53" s="2"/>
      <c r="T53" s="6">
        <v>20</v>
      </c>
      <c r="U53" s="2"/>
      <c r="V53" s="7">
        <f t="shared" si="35"/>
        <v>0</v>
      </c>
      <c r="W53" s="2"/>
      <c r="X53" s="6">
        <f t="shared" si="36"/>
        <v>-20</v>
      </c>
      <c r="Y53" s="2"/>
      <c r="Z53" s="7">
        <f t="shared" si="37"/>
        <v>-1</v>
      </c>
    </row>
    <row r="54" spans="1:26" s="29" customFormat="1" outlineLevel="1" collapsed="1" x14ac:dyDescent="0.3">
      <c r="A54" s="27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SUM(OSRRefD22_9x_0)</f>
        <v>0</v>
      </c>
      <c r="E54" s="1"/>
      <c r="F54" s="5">
        <f t="shared" si="30"/>
        <v>0</v>
      </c>
      <c r="G54" s="1"/>
      <c r="H54" s="1">
        <f>SUM(OSRRefH22_9x_0)</f>
        <v>0</v>
      </c>
      <c r="I54" s="1"/>
      <c r="J54" s="5">
        <f t="shared" si="31"/>
        <v>0</v>
      </c>
      <c r="K54" s="1"/>
      <c r="L54" s="1">
        <f t="shared" si="32"/>
        <v>0</v>
      </c>
      <c r="M54" s="1"/>
      <c r="N54" s="5">
        <f t="shared" si="33"/>
        <v>0</v>
      </c>
      <c r="O54" s="14"/>
      <c r="P54" s="1">
        <f>SUM(OSRRefP22_9x_0)</f>
        <v>1767.16</v>
      </c>
      <c r="Q54" s="1"/>
      <c r="R54" s="5">
        <f t="shared" si="34"/>
        <v>1.9680748361135788E-3</v>
      </c>
      <c r="S54" s="1"/>
      <c r="T54" s="1">
        <f>SUM(OSRRefT22_9x_0)</f>
        <v>1439.55</v>
      </c>
      <c r="U54" s="1"/>
      <c r="V54" s="5">
        <f t="shared" si="35"/>
        <v>0</v>
      </c>
      <c r="W54" s="1"/>
      <c r="X54" s="1">
        <f t="shared" si="36"/>
        <v>327.61000000000013</v>
      </c>
      <c r="Y54" s="1"/>
      <c r="Z54" s="5">
        <f t="shared" si="37"/>
        <v>0.22757806258900359</v>
      </c>
    </row>
    <row r="55" spans="1:26" s="24" customFormat="1" hidden="1" outlineLevel="2" x14ac:dyDescent="0.3">
      <c r="A55" s="28"/>
      <c r="B55" s="11" t="str">
        <f>CONCATENATE("          ", "6279", " - ", "GENERAL EXPENSE")</f>
        <v xml:space="preserve">          6279 - GENERAL EXPENSE</v>
      </c>
      <c r="C55" s="11"/>
      <c r="D55" s="6"/>
      <c r="E55" s="2"/>
      <c r="F55" s="7">
        <f t="shared" si="30"/>
        <v>0</v>
      </c>
      <c r="G55" s="2"/>
      <c r="H55" s="6"/>
      <c r="I55" s="2"/>
      <c r="J55" s="7">
        <f t="shared" si="31"/>
        <v>0</v>
      </c>
      <c r="K55" s="2"/>
      <c r="L55" s="6">
        <f t="shared" si="32"/>
        <v>0</v>
      </c>
      <c r="M55" s="2"/>
      <c r="N55" s="7">
        <f t="shared" si="33"/>
        <v>0</v>
      </c>
      <c r="O55" s="11"/>
      <c r="P55" s="6">
        <v>1767.16</v>
      </c>
      <c r="Q55" s="2"/>
      <c r="R55" s="7">
        <f t="shared" si="34"/>
        <v>1.9680748361135788E-3</v>
      </c>
      <c r="S55" s="2"/>
      <c r="T55" s="6">
        <v>1439.55</v>
      </c>
      <c r="U55" s="2"/>
      <c r="V55" s="7">
        <f t="shared" si="35"/>
        <v>0</v>
      </c>
      <c r="W55" s="2"/>
      <c r="X55" s="6">
        <f t="shared" si="36"/>
        <v>327.61000000000013</v>
      </c>
      <c r="Y55" s="2"/>
      <c r="Z55" s="7">
        <f t="shared" si="37"/>
        <v>0.22757806258900359</v>
      </c>
    </row>
    <row r="56" spans="1:26" s="29" customFormat="1" outlineLevel="1" collapsed="1" x14ac:dyDescent="0.3">
      <c r="A56" s="27"/>
      <c r="B56" s="14" t="str">
        <f>CONCATENATE("     ","Insurance                                         ")</f>
        <v xml:space="preserve">     Insurance                                         </v>
      </c>
      <c r="C56" s="14"/>
      <c r="D56" s="1">
        <f>SUM(OSRRefD22_10x_0)</f>
        <v>5.21</v>
      </c>
      <c r="E56" s="1"/>
      <c r="F56" s="5">
        <f t="shared" si="30"/>
        <v>3.0009311526490158E-5</v>
      </c>
      <c r="G56" s="1"/>
      <c r="H56" s="1">
        <f>SUM(OSRRefH22_10x_0)</f>
        <v>5.9</v>
      </c>
      <c r="I56" s="1"/>
      <c r="J56" s="5">
        <f t="shared" si="31"/>
        <v>0</v>
      </c>
      <c r="K56" s="1"/>
      <c r="L56" s="1">
        <f t="shared" si="32"/>
        <v>-0.69000000000000039</v>
      </c>
      <c r="M56" s="1"/>
      <c r="N56" s="5">
        <f t="shared" si="33"/>
        <v>-0.11694915254237294</v>
      </c>
      <c r="O56" s="14"/>
      <c r="P56" s="1">
        <f>SUM(OSRRefP22_10x_0)</f>
        <v>31.27</v>
      </c>
      <c r="Q56" s="1"/>
      <c r="R56" s="5">
        <f t="shared" si="34"/>
        <v>3.4825199826428617E-5</v>
      </c>
      <c r="S56" s="1"/>
      <c r="T56" s="1">
        <f>SUM(OSRRefT22_10x_0)</f>
        <v>35.4</v>
      </c>
      <c r="U56" s="1"/>
      <c r="V56" s="5">
        <f t="shared" si="35"/>
        <v>0</v>
      </c>
      <c r="W56" s="1"/>
      <c r="X56" s="1">
        <f t="shared" si="36"/>
        <v>-4.129999999999999</v>
      </c>
      <c r="Y56" s="1"/>
      <c r="Z56" s="5">
        <f t="shared" si="37"/>
        <v>-0.11666666666666664</v>
      </c>
    </row>
    <row r="57" spans="1:26" s="24" customFormat="1" hidden="1" outlineLevel="2" x14ac:dyDescent="0.3">
      <c r="A57" s="28"/>
      <c r="B57" s="11" t="str">
        <f>CONCATENATE("          ", "6314", " - ", "LIABILITY INSURANCE")</f>
        <v xml:space="preserve">          6314 - LIABILITY INSURANCE</v>
      </c>
      <c r="C57" s="11"/>
      <c r="D57" s="6">
        <v>5.21</v>
      </c>
      <c r="E57" s="2"/>
      <c r="F57" s="7">
        <f t="shared" si="30"/>
        <v>3.0009311526490158E-5</v>
      </c>
      <c r="G57" s="2"/>
      <c r="H57" s="6">
        <v>5.9</v>
      </c>
      <c r="I57" s="2"/>
      <c r="J57" s="7">
        <f t="shared" si="31"/>
        <v>0</v>
      </c>
      <c r="K57" s="2"/>
      <c r="L57" s="6">
        <f t="shared" si="32"/>
        <v>-0.69000000000000039</v>
      </c>
      <c r="M57" s="2"/>
      <c r="N57" s="7">
        <f t="shared" si="33"/>
        <v>-0.11694915254237294</v>
      </c>
      <c r="O57" s="11"/>
      <c r="P57" s="6">
        <v>31.27</v>
      </c>
      <c r="Q57" s="2"/>
      <c r="R57" s="7">
        <f t="shared" si="34"/>
        <v>3.4825199826428617E-5</v>
      </c>
      <c r="S57" s="2"/>
      <c r="T57" s="6">
        <v>35.4</v>
      </c>
      <c r="U57" s="2"/>
      <c r="V57" s="7">
        <f t="shared" si="35"/>
        <v>0</v>
      </c>
      <c r="W57" s="2"/>
      <c r="X57" s="6">
        <f t="shared" si="36"/>
        <v>-4.129999999999999</v>
      </c>
      <c r="Y57" s="2"/>
      <c r="Z57" s="7">
        <f t="shared" si="37"/>
        <v>-0.11666666666666664</v>
      </c>
    </row>
    <row r="58" spans="1:26" s="29" customFormat="1" outlineLevel="1" collapsed="1" x14ac:dyDescent="0.3">
      <c r="A58" s="27"/>
      <c r="B58" s="14" t="str">
        <f>CONCATENATE("     ","R/H Commissions                                   ")</f>
        <v xml:space="preserve">     R/H Commissions                                   </v>
      </c>
      <c r="C58" s="14"/>
      <c r="D58" s="1">
        <f>SUM(OSRRefD22_11x_0)</f>
        <v>13805.57</v>
      </c>
      <c r="E58" s="1"/>
      <c r="F58" s="5">
        <f t="shared" si="30"/>
        <v>7.9519318796692273E-2</v>
      </c>
      <c r="G58" s="1"/>
      <c r="H58" s="1">
        <f>SUM(OSRRefH22_11x_0)</f>
        <v>0</v>
      </c>
      <c r="I58" s="1"/>
      <c r="J58" s="5">
        <f t="shared" si="31"/>
        <v>0</v>
      </c>
      <c r="K58" s="1"/>
      <c r="L58" s="1">
        <f t="shared" si="32"/>
        <v>13805.57</v>
      </c>
      <c r="M58" s="1"/>
      <c r="N58" s="5">
        <f t="shared" si="33"/>
        <v>0</v>
      </c>
      <c r="O58" s="14"/>
      <c r="P58" s="1">
        <f>SUM(OSRRefP22_11x_0)</f>
        <v>67728.479999999996</v>
      </c>
      <c r="Q58" s="1"/>
      <c r="R58" s="5">
        <f t="shared" si="34"/>
        <v>7.5428776780948961E-2</v>
      </c>
      <c r="S58" s="1"/>
      <c r="T58" s="1">
        <f>SUM(OSRRefT22_11x_0)</f>
        <v>0</v>
      </c>
      <c r="U58" s="1"/>
      <c r="V58" s="5">
        <f t="shared" si="35"/>
        <v>0</v>
      </c>
      <c r="W58" s="1"/>
      <c r="X58" s="1">
        <f t="shared" si="36"/>
        <v>67728.479999999996</v>
      </c>
      <c r="Y58" s="1"/>
      <c r="Z58" s="5">
        <f t="shared" si="37"/>
        <v>0</v>
      </c>
    </row>
    <row r="59" spans="1:26" s="24" customFormat="1" hidden="1" outlineLevel="2" x14ac:dyDescent="0.3">
      <c r="A59" s="28"/>
      <c r="B59" s="11" t="str">
        <f>CONCATENATE("          ", "6387", " - ", "COMMISSION DUE HOUSING")</f>
        <v xml:space="preserve">          6387 - COMMISSION DUE HOUSING</v>
      </c>
      <c r="C59" s="11"/>
      <c r="D59" s="6">
        <v>13805.57</v>
      </c>
      <c r="E59" s="2"/>
      <c r="F59" s="7">
        <f t="shared" si="30"/>
        <v>7.9519318796692273E-2</v>
      </c>
      <c r="G59" s="2"/>
      <c r="H59" s="6"/>
      <c r="I59" s="2"/>
      <c r="J59" s="7">
        <f t="shared" si="31"/>
        <v>0</v>
      </c>
      <c r="K59" s="2"/>
      <c r="L59" s="6">
        <f t="shared" si="32"/>
        <v>13805.57</v>
      </c>
      <c r="M59" s="2"/>
      <c r="N59" s="7">
        <f t="shared" si="33"/>
        <v>0</v>
      </c>
      <c r="O59" s="11"/>
      <c r="P59" s="6">
        <v>67728.479999999996</v>
      </c>
      <c r="Q59" s="2"/>
      <c r="R59" s="7">
        <f t="shared" si="34"/>
        <v>7.5428776780948961E-2</v>
      </c>
      <c r="S59" s="2"/>
      <c r="T59" s="6"/>
      <c r="U59" s="2"/>
      <c r="V59" s="7">
        <f t="shared" si="35"/>
        <v>0</v>
      </c>
      <c r="W59" s="2"/>
      <c r="X59" s="6">
        <f t="shared" si="36"/>
        <v>67728.479999999996</v>
      </c>
      <c r="Y59" s="2"/>
      <c r="Z59" s="7">
        <f t="shared" si="37"/>
        <v>0</v>
      </c>
    </row>
    <row r="60" spans="1:26" s="29" customFormat="1" outlineLevel="1" collapsed="1" x14ac:dyDescent="0.3">
      <c r="A60" s="27"/>
      <c r="B60" s="14" t="str">
        <f>CONCATENATE("     ","Repair and Maintenance                            ")</f>
        <v xml:space="preserve">     Repair and Maintenance                            </v>
      </c>
      <c r="C60" s="14"/>
      <c r="D60" s="1">
        <f>SUM(OSRRefD22_12x_0)</f>
        <v>74.900000000000006</v>
      </c>
      <c r="E60" s="1"/>
      <c r="F60" s="5">
        <f t="shared" si="30"/>
        <v>4.3141985284723857E-4</v>
      </c>
      <c r="G60" s="1"/>
      <c r="H60" s="1">
        <f>SUM(OSRRefH22_12x_0)</f>
        <v>72.319999999999993</v>
      </c>
      <c r="I60" s="1"/>
      <c r="J60" s="5">
        <f t="shared" si="31"/>
        <v>0</v>
      </c>
      <c r="K60" s="1"/>
      <c r="L60" s="1">
        <f t="shared" si="32"/>
        <v>2.5800000000000125</v>
      </c>
      <c r="M60" s="1"/>
      <c r="N60" s="5">
        <f t="shared" si="33"/>
        <v>3.567477876106212E-2</v>
      </c>
      <c r="O60" s="14"/>
      <c r="P60" s="1">
        <f>SUM(OSRRefP22_12x_0)</f>
        <v>836.76</v>
      </c>
      <c r="Q60" s="1"/>
      <c r="R60" s="5">
        <f t="shared" si="34"/>
        <v>9.3189428227574071E-4</v>
      </c>
      <c r="S60" s="1"/>
      <c r="T60" s="1">
        <f>SUM(OSRRefT22_12x_0)</f>
        <v>144.66999999999999</v>
      </c>
      <c r="U60" s="1"/>
      <c r="V60" s="5">
        <f t="shared" si="35"/>
        <v>0</v>
      </c>
      <c r="W60" s="1"/>
      <c r="X60" s="1">
        <f t="shared" si="36"/>
        <v>692.09</v>
      </c>
      <c r="Y60" s="1"/>
      <c r="Z60" s="5">
        <f t="shared" si="37"/>
        <v>4.7839220294463267</v>
      </c>
    </row>
    <row r="61" spans="1:26" s="24" customFormat="1" hidden="1" outlineLevel="2" x14ac:dyDescent="0.3">
      <c r="A61" s="28"/>
      <c r="B61" s="11" t="str">
        <f>CONCATENATE("          ", "6373", " - ", "MAINTENANCE CONTRACTS")</f>
        <v xml:space="preserve">          6373 - MAINTENANCE CONTRACTS</v>
      </c>
      <c r="C61" s="11"/>
      <c r="D61" s="6">
        <v>74.900000000000006</v>
      </c>
      <c r="E61" s="2"/>
      <c r="F61" s="7">
        <f t="shared" si="30"/>
        <v>4.3141985284723857E-4</v>
      </c>
      <c r="G61" s="2"/>
      <c r="H61" s="6">
        <v>72.319999999999993</v>
      </c>
      <c r="I61" s="2"/>
      <c r="J61" s="7">
        <f t="shared" si="31"/>
        <v>0</v>
      </c>
      <c r="K61" s="2"/>
      <c r="L61" s="6">
        <f t="shared" si="32"/>
        <v>2.5800000000000125</v>
      </c>
      <c r="M61" s="2"/>
      <c r="N61" s="7">
        <f t="shared" si="33"/>
        <v>3.567477876106212E-2</v>
      </c>
      <c r="O61" s="11"/>
      <c r="P61" s="6">
        <v>146.76</v>
      </c>
      <c r="Q61" s="2"/>
      <c r="R61" s="7">
        <f t="shared" si="34"/>
        <v>1.6344567721543536E-4</v>
      </c>
      <c r="S61" s="2"/>
      <c r="T61" s="6">
        <v>144.66999999999999</v>
      </c>
      <c r="U61" s="2"/>
      <c r="V61" s="7">
        <f t="shared" si="35"/>
        <v>0</v>
      </c>
      <c r="W61" s="2"/>
      <c r="X61" s="6">
        <f t="shared" si="36"/>
        <v>2.0900000000000034</v>
      </c>
      <c r="Y61" s="2"/>
      <c r="Z61" s="7">
        <f t="shared" si="37"/>
        <v>1.4446671735674318E-2</v>
      </c>
    </row>
    <row r="62" spans="1:26" s="24" customFormat="1" hidden="1" outlineLevel="2" x14ac:dyDescent="0.3">
      <c r="A62" s="28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30"/>
        <v>0</v>
      </c>
      <c r="G62" s="2"/>
      <c r="H62" s="6"/>
      <c r="I62" s="2"/>
      <c r="J62" s="7">
        <f t="shared" si="31"/>
        <v>0</v>
      </c>
      <c r="K62" s="2"/>
      <c r="L62" s="6">
        <f t="shared" si="32"/>
        <v>0</v>
      </c>
      <c r="M62" s="2"/>
      <c r="N62" s="7">
        <f t="shared" si="33"/>
        <v>0</v>
      </c>
      <c r="O62" s="11"/>
      <c r="P62" s="6">
        <v>690</v>
      </c>
      <c r="Q62" s="2"/>
      <c r="R62" s="7">
        <f t="shared" si="34"/>
        <v>7.6844860506030538E-4</v>
      </c>
      <c r="S62" s="2"/>
      <c r="T62" s="6"/>
      <c r="U62" s="2"/>
      <c r="V62" s="7">
        <f t="shared" si="35"/>
        <v>0</v>
      </c>
      <c r="W62" s="2"/>
      <c r="X62" s="6">
        <f t="shared" si="36"/>
        <v>690</v>
      </c>
      <c r="Y62" s="2"/>
      <c r="Z62" s="7">
        <f t="shared" si="37"/>
        <v>0</v>
      </c>
    </row>
    <row r="63" spans="1:26" s="29" customFormat="1" outlineLevel="1" collapsed="1" x14ac:dyDescent="0.3">
      <c r="A63" s="27"/>
      <c r="B63" s="14" t="str">
        <f>CONCATENATE("     ","Services                                          ")</f>
        <v xml:space="preserve">     Services                                          </v>
      </c>
      <c r="C63" s="14"/>
      <c r="D63" s="1">
        <f>SUM(OSRRefD22_13x_0)</f>
        <v>4776.87</v>
      </c>
      <c r="E63" s="1"/>
      <c r="F63" s="5">
        <f t="shared" ref="F63:F66" si="38">IF(D$12=0,0,D63/D$12)</f>
        <v>2.7514506708549911E-2</v>
      </c>
      <c r="G63" s="1"/>
      <c r="H63" s="1">
        <f>SUM(OSRRefH22_13x_0)</f>
        <v>669.64</v>
      </c>
      <c r="I63" s="1"/>
      <c r="J63" s="5">
        <f t="shared" ref="J63:J66" si="39">IF(H$12=0,0,H63/H$12)</f>
        <v>0</v>
      </c>
      <c r="K63" s="1"/>
      <c r="L63" s="1">
        <f t="shared" ref="L63:L66" si="40">+D63-H63</f>
        <v>4107.2299999999996</v>
      </c>
      <c r="M63" s="1"/>
      <c r="N63" s="5">
        <f t="shared" ref="N63:N66" si="41">IF(H63=0,0,L63/H63)</f>
        <v>6.1334896362224471</v>
      </c>
      <c r="O63" s="14"/>
      <c r="P63" s="1">
        <f>SUM(OSRRefP22_13x_0)</f>
        <v>27040.97</v>
      </c>
      <c r="Q63" s="1"/>
      <c r="R63" s="5">
        <f t="shared" ref="R63:R66" si="42">IF(P$12=0,0,P63/P$12)</f>
        <v>3.0115356052141398E-2</v>
      </c>
      <c r="S63" s="1"/>
      <c r="T63" s="1">
        <f>SUM(OSRRefT22_13x_0)</f>
        <v>2750.33</v>
      </c>
      <c r="U63" s="1"/>
      <c r="V63" s="5">
        <f t="shared" ref="V63:V66" si="43">IF(T$12=0,0,T63/T$12)</f>
        <v>0</v>
      </c>
      <c r="W63" s="1"/>
      <c r="X63" s="1">
        <f t="shared" ref="X63:X66" si="44">+P63-T63</f>
        <v>24290.639999999999</v>
      </c>
      <c r="Y63" s="1"/>
      <c r="Z63" s="5">
        <f t="shared" ref="Z63:Z66" si="45">IF(T63=0,0,X63/T63)</f>
        <v>8.8319001719793633</v>
      </c>
    </row>
    <row r="64" spans="1:26" s="24" customFormat="1" hidden="1" outlineLevel="2" x14ac:dyDescent="0.3">
      <c r="A64" s="28"/>
      <c r="B64" s="11" t="str">
        <f>CONCATENATE("          ", "6282", " - ", "JANITORIAL/EXTERMINATOR EXPENS")</f>
        <v xml:space="preserve">          6282 - JANITORIAL/EXTERMINATOR EXPENS</v>
      </c>
      <c r="C64" s="11"/>
      <c r="D64" s="6"/>
      <c r="E64" s="2"/>
      <c r="F64" s="7">
        <f t="shared" si="38"/>
        <v>0</v>
      </c>
      <c r="G64" s="2"/>
      <c r="H64" s="6">
        <v>71.77</v>
      </c>
      <c r="I64" s="2"/>
      <c r="J64" s="7">
        <f t="shared" si="39"/>
        <v>0</v>
      </c>
      <c r="K64" s="2"/>
      <c r="L64" s="6">
        <f t="shared" si="40"/>
        <v>-71.77</v>
      </c>
      <c r="M64" s="2"/>
      <c r="N64" s="7">
        <f t="shared" si="41"/>
        <v>-1</v>
      </c>
      <c r="O64" s="11"/>
      <c r="P64" s="6">
        <v>3688.65</v>
      </c>
      <c r="Q64" s="2"/>
      <c r="R64" s="7">
        <f t="shared" si="42"/>
        <v>4.1080260102256457E-3</v>
      </c>
      <c r="S64" s="2"/>
      <c r="T64" s="6">
        <v>2152.46</v>
      </c>
      <c r="U64" s="2"/>
      <c r="V64" s="7">
        <f t="shared" si="43"/>
        <v>0</v>
      </c>
      <c r="W64" s="2"/>
      <c r="X64" s="6">
        <f t="shared" si="44"/>
        <v>1536.19</v>
      </c>
      <c r="Y64" s="2"/>
      <c r="Z64" s="7">
        <f t="shared" si="45"/>
        <v>0.71369038216738057</v>
      </c>
    </row>
    <row r="65" spans="1:26" s="24" customFormat="1" hidden="1" outlineLevel="2" x14ac:dyDescent="0.3">
      <c r="A65" s="28"/>
      <c r="B65" s="11" t="str">
        <f>CONCATENATE("          ", "6285", " - ", "JANITORIAL SERVICES")</f>
        <v xml:space="preserve">          6285 - JANITORIAL SERVICES</v>
      </c>
      <c r="C65" s="11"/>
      <c r="D65" s="6">
        <v>4151.8599999999997</v>
      </c>
      <c r="E65" s="2"/>
      <c r="F65" s="7">
        <f t="shared" si="38"/>
        <v>2.3914483714850943E-2</v>
      </c>
      <c r="G65" s="2"/>
      <c r="H65" s="6"/>
      <c r="I65" s="2"/>
      <c r="J65" s="7">
        <f t="shared" si="39"/>
        <v>0</v>
      </c>
      <c r="K65" s="2"/>
      <c r="L65" s="6">
        <f t="shared" si="40"/>
        <v>4151.8599999999997</v>
      </c>
      <c r="M65" s="2"/>
      <c r="N65" s="7">
        <f t="shared" si="41"/>
        <v>0</v>
      </c>
      <c r="O65" s="11"/>
      <c r="P65" s="6">
        <v>16548.48</v>
      </c>
      <c r="Q65" s="2"/>
      <c r="R65" s="7">
        <f t="shared" si="42"/>
        <v>1.8429936770823711E-2</v>
      </c>
      <c r="S65" s="2"/>
      <c r="T65" s="6"/>
      <c r="U65" s="2"/>
      <c r="V65" s="7">
        <f t="shared" si="43"/>
        <v>0</v>
      </c>
      <c r="W65" s="2"/>
      <c r="X65" s="6">
        <f t="shared" si="44"/>
        <v>16548.48</v>
      </c>
      <c r="Y65" s="2"/>
      <c r="Z65" s="7">
        <f t="shared" si="45"/>
        <v>0</v>
      </c>
    </row>
    <row r="66" spans="1:26" s="24" customFormat="1" hidden="1" outlineLevel="2" x14ac:dyDescent="0.3">
      <c r="A66" s="28"/>
      <c r="B66" s="11" t="str">
        <f>CONCATENATE("          ", "6286", " - ", "LAUNDRY EXPENSE")</f>
        <v xml:space="preserve">          6286 - LAUNDRY EXPENSE</v>
      </c>
      <c r="C66" s="11"/>
      <c r="D66" s="6">
        <v>625.01</v>
      </c>
      <c r="E66" s="2"/>
      <c r="F66" s="7">
        <f t="shared" si="38"/>
        <v>3.600022993698966E-3</v>
      </c>
      <c r="G66" s="2"/>
      <c r="H66" s="6">
        <v>597.87</v>
      </c>
      <c r="I66" s="2"/>
      <c r="J66" s="7">
        <f t="shared" si="39"/>
        <v>0</v>
      </c>
      <c r="K66" s="2"/>
      <c r="L66" s="6">
        <f t="shared" si="40"/>
        <v>27.139999999999986</v>
      </c>
      <c r="M66" s="2"/>
      <c r="N66" s="7">
        <f t="shared" si="41"/>
        <v>4.5394483750648112E-2</v>
      </c>
      <c r="O66" s="11"/>
      <c r="P66" s="6">
        <v>6803.84</v>
      </c>
      <c r="Q66" s="2"/>
      <c r="R66" s="7">
        <f t="shared" si="42"/>
        <v>7.5773932710920403E-3</v>
      </c>
      <c r="S66" s="2"/>
      <c r="T66" s="6">
        <v>597.87</v>
      </c>
      <c r="U66" s="2"/>
      <c r="V66" s="7">
        <f t="shared" si="43"/>
        <v>0</v>
      </c>
      <c r="W66" s="2"/>
      <c r="X66" s="6">
        <f t="shared" si="44"/>
        <v>6205.97</v>
      </c>
      <c r="Y66" s="2"/>
      <c r="Z66" s="7">
        <f t="shared" si="45"/>
        <v>10.380132804790339</v>
      </c>
    </row>
    <row r="67" spans="1:26" s="29" customFormat="1" outlineLevel="1" collapsed="1" x14ac:dyDescent="0.3">
      <c r="A67" s="27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SUM(OSRRefD22_14x_0)</f>
        <v>4479.63</v>
      </c>
      <c r="E67" s="1"/>
      <c r="F67" s="5">
        <f t="shared" ref="F67:F73" si="46">IF(D$12=0,0,D67/D$12)</f>
        <v>2.5802420766489656E-2</v>
      </c>
      <c r="G67" s="1"/>
      <c r="H67" s="1">
        <f>SUM(OSRRefH22_14x_0)</f>
        <v>0</v>
      </c>
      <c r="I67" s="1"/>
      <c r="J67" s="5">
        <f t="shared" ref="J67:J73" si="47">IF(H$12=0,0,H67/H$12)</f>
        <v>0</v>
      </c>
      <c r="K67" s="1"/>
      <c r="L67" s="1">
        <f t="shared" ref="L67:L73" si="48">+D67-H67</f>
        <v>4479.63</v>
      </c>
      <c r="M67" s="1"/>
      <c r="N67" s="5">
        <f t="shared" ref="N67:N73" si="49">IF(H67=0,0,L67/H67)</f>
        <v>0</v>
      </c>
      <c r="O67" s="14"/>
      <c r="P67" s="1">
        <f>SUM(OSRRefP22_14x_0)</f>
        <v>60245.30999999999</v>
      </c>
      <c r="Q67" s="1"/>
      <c r="R67" s="5">
        <f t="shared" ref="R67:R73" si="50">IF(P$12=0,0,P67/P$12)</f>
        <v>6.7094818015834279E-2</v>
      </c>
      <c r="S67" s="1"/>
      <c r="T67" s="1">
        <f>SUM(OSRRefT22_14x_0)</f>
        <v>57.16</v>
      </c>
      <c r="U67" s="1"/>
      <c r="V67" s="5">
        <f t="shared" ref="V67:V73" si="51">IF(T$12=0,0,T67/T$12)</f>
        <v>0</v>
      </c>
      <c r="W67" s="1"/>
      <c r="X67" s="1">
        <f t="shared" ref="X67:X73" si="52">+P67-T67</f>
        <v>60188.149999999987</v>
      </c>
      <c r="Y67" s="1"/>
      <c r="Z67" s="5">
        <f t="shared" ref="Z67:Z73" si="53">IF(T67=0,0,X67/T67)</f>
        <v>1052.9767319804057</v>
      </c>
    </row>
    <row r="68" spans="1:26" s="24" customFormat="1" hidden="1" outlineLevel="2" x14ac:dyDescent="0.3">
      <c r="A68" s="28"/>
      <c r="B68" s="11" t="str">
        <f>CONCATENATE("          ", "6237", " - ", "JANITORIAL SUPPLIES")</f>
        <v xml:space="preserve">          6237 - JANITORIAL SUPPLIES</v>
      </c>
      <c r="C68" s="11"/>
      <c r="D68" s="6">
        <v>1617.46</v>
      </c>
      <c r="E68" s="2"/>
      <c r="F68" s="7">
        <f t="shared" si="46"/>
        <v>9.3164800425406466E-3</v>
      </c>
      <c r="G68" s="2"/>
      <c r="H68" s="6"/>
      <c r="I68" s="2"/>
      <c r="J68" s="7">
        <f t="shared" si="47"/>
        <v>0</v>
      </c>
      <c r="K68" s="2"/>
      <c r="L68" s="6">
        <f t="shared" si="48"/>
        <v>1617.46</v>
      </c>
      <c r="M68" s="2"/>
      <c r="N68" s="7">
        <f t="shared" si="49"/>
        <v>0</v>
      </c>
      <c r="O68" s="11"/>
      <c r="P68" s="6">
        <v>8822.8799999999992</v>
      </c>
      <c r="Q68" s="2"/>
      <c r="R68" s="7">
        <f t="shared" si="50"/>
        <v>9.8259852588615457E-3</v>
      </c>
      <c r="S68" s="2"/>
      <c r="T68" s="6"/>
      <c r="U68" s="2"/>
      <c r="V68" s="7">
        <f t="shared" si="51"/>
        <v>0</v>
      </c>
      <c r="W68" s="2"/>
      <c r="X68" s="6">
        <f t="shared" si="52"/>
        <v>8822.8799999999992</v>
      </c>
      <c r="Y68" s="2"/>
      <c r="Z68" s="7">
        <f t="shared" si="53"/>
        <v>0</v>
      </c>
    </row>
    <row r="69" spans="1:26" s="24" customFormat="1" hidden="1" outlineLevel="2" x14ac:dyDescent="0.3">
      <c r="A69" s="28"/>
      <c r="B69" s="11" t="str">
        <f>CONCATENATE("          ", "6239", " - ", "KITCHEN SUPPLIES")</f>
        <v xml:space="preserve">          6239 - KITCHEN SUPPLIES</v>
      </c>
      <c r="C69" s="11"/>
      <c r="D69" s="6">
        <v>22.84</v>
      </c>
      <c r="E69" s="2"/>
      <c r="F69" s="7">
        <f t="shared" si="46"/>
        <v>1.3155713536756915E-4</v>
      </c>
      <c r="G69" s="2"/>
      <c r="H69" s="6"/>
      <c r="I69" s="2"/>
      <c r="J69" s="7">
        <f t="shared" si="47"/>
        <v>0</v>
      </c>
      <c r="K69" s="2"/>
      <c r="L69" s="6">
        <f t="shared" si="48"/>
        <v>22.84</v>
      </c>
      <c r="M69" s="2"/>
      <c r="N69" s="7">
        <f t="shared" si="49"/>
        <v>0</v>
      </c>
      <c r="O69" s="11"/>
      <c r="P69" s="6">
        <v>9096.75</v>
      </c>
      <c r="Q69" s="2"/>
      <c r="R69" s="7">
        <f t="shared" si="50"/>
        <v>1.0130992533452655E-2</v>
      </c>
      <c r="S69" s="2"/>
      <c r="T69" s="6"/>
      <c r="U69" s="2"/>
      <c r="V69" s="7">
        <f t="shared" si="51"/>
        <v>0</v>
      </c>
      <c r="W69" s="2"/>
      <c r="X69" s="6">
        <f t="shared" si="52"/>
        <v>9096.75</v>
      </c>
      <c r="Y69" s="2"/>
      <c r="Z69" s="7">
        <f t="shared" si="53"/>
        <v>0</v>
      </c>
    </row>
    <row r="70" spans="1:26" s="24" customFormat="1" hidden="1" outlineLevel="2" x14ac:dyDescent="0.3">
      <c r="A70" s="28"/>
      <c r="B70" s="11" t="str">
        <f>CONCATENATE("          ", "6241", " - ", "OFFICE EXPENSE")</f>
        <v xml:space="preserve">          6241 - OFFICE EXPENSE</v>
      </c>
      <c r="C70" s="11"/>
      <c r="D70" s="6">
        <v>84.89</v>
      </c>
      <c r="E70" s="2"/>
      <c r="F70" s="7">
        <f t="shared" si="46"/>
        <v>4.8896169970897305E-4</v>
      </c>
      <c r="G70" s="2"/>
      <c r="H70" s="6"/>
      <c r="I70" s="2"/>
      <c r="J70" s="7">
        <f t="shared" si="47"/>
        <v>0</v>
      </c>
      <c r="K70" s="2"/>
      <c r="L70" s="6">
        <f t="shared" si="48"/>
        <v>84.89</v>
      </c>
      <c r="M70" s="2"/>
      <c r="N70" s="7">
        <f t="shared" si="49"/>
        <v>0</v>
      </c>
      <c r="O70" s="11"/>
      <c r="P70" s="6">
        <v>4774.12</v>
      </c>
      <c r="Q70" s="2"/>
      <c r="R70" s="7">
        <f t="shared" si="50"/>
        <v>5.3169070353485575E-3</v>
      </c>
      <c r="S70" s="2"/>
      <c r="T70" s="6">
        <v>57.16</v>
      </c>
      <c r="U70" s="2"/>
      <c r="V70" s="7">
        <f t="shared" si="51"/>
        <v>0</v>
      </c>
      <c r="W70" s="2"/>
      <c r="X70" s="6">
        <f t="shared" si="52"/>
        <v>4716.96</v>
      </c>
      <c r="Y70" s="2"/>
      <c r="Z70" s="7">
        <f t="shared" si="53"/>
        <v>82.52204338698391</v>
      </c>
    </row>
    <row r="71" spans="1:26" s="24" customFormat="1" hidden="1" outlineLevel="2" x14ac:dyDescent="0.3">
      <c r="A71" s="28"/>
      <c r="B71" s="11" t="str">
        <f>CONCATENATE("          ", "6243", " - ", "PAPER SUPPLIES")</f>
        <v xml:space="preserve">          6243 - PAPER SUPPLIES</v>
      </c>
      <c r="C71" s="11"/>
      <c r="D71" s="6">
        <v>2309.7600000000002</v>
      </c>
      <c r="E71" s="2"/>
      <c r="F71" s="7">
        <f t="shared" si="46"/>
        <v>1.3304089710446432E-2</v>
      </c>
      <c r="G71" s="2"/>
      <c r="H71" s="6"/>
      <c r="I71" s="2"/>
      <c r="J71" s="7">
        <f t="shared" si="47"/>
        <v>0</v>
      </c>
      <c r="K71" s="2"/>
      <c r="L71" s="6">
        <f t="shared" si="48"/>
        <v>2309.7600000000002</v>
      </c>
      <c r="M71" s="2"/>
      <c r="N71" s="7">
        <f t="shared" si="49"/>
        <v>0</v>
      </c>
      <c r="O71" s="11"/>
      <c r="P71" s="6">
        <v>35028.519999999997</v>
      </c>
      <c r="Q71" s="2"/>
      <c r="R71" s="7">
        <f t="shared" si="50"/>
        <v>3.9011039610618845E-2</v>
      </c>
      <c r="S71" s="2"/>
      <c r="T71" s="6"/>
      <c r="U71" s="2"/>
      <c r="V71" s="7">
        <f t="shared" si="51"/>
        <v>0</v>
      </c>
      <c r="W71" s="2"/>
      <c r="X71" s="6">
        <f t="shared" si="52"/>
        <v>35028.519999999997</v>
      </c>
      <c r="Y71" s="2"/>
      <c r="Z71" s="7">
        <f t="shared" si="53"/>
        <v>0</v>
      </c>
    </row>
    <row r="72" spans="1:26" s="24" customFormat="1" hidden="1" outlineLevel="2" x14ac:dyDescent="0.3">
      <c r="A72" s="28"/>
      <c r="B72" s="11" t="str">
        <f>CONCATENATE("          ", "6247", " - ", "STORE SUPPLIES")</f>
        <v xml:space="preserve">          6247 - STORE SUPPLIES</v>
      </c>
      <c r="C72" s="11"/>
      <c r="D72" s="6">
        <v>444.68</v>
      </c>
      <c r="E72" s="2"/>
      <c r="F72" s="7">
        <f t="shared" si="46"/>
        <v>2.5613321784260352E-3</v>
      </c>
      <c r="G72" s="2"/>
      <c r="H72" s="6"/>
      <c r="I72" s="2"/>
      <c r="J72" s="7">
        <f t="shared" si="47"/>
        <v>0</v>
      </c>
      <c r="K72" s="2"/>
      <c r="L72" s="6">
        <f t="shared" si="48"/>
        <v>444.68</v>
      </c>
      <c r="M72" s="2"/>
      <c r="N72" s="7">
        <f t="shared" si="49"/>
        <v>0</v>
      </c>
      <c r="O72" s="11"/>
      <c r="P72" s="6">
        <v>652.62</v>
      </c>
      <c r="Q72" s="2"/>
      <c r="R72" s="7">
        <f t="shared" si="50"/>
        <v>7.2681873715138622E-4</v>
      </c>
      <c r="S72" s="2"/>
      <c r="T72" s="6"/>
      <c r="U72" s="2"/>
      <c r="V72" s="7">
        <f t="shared" si="51"/>
        <v>0</v>
      </c>
      <c r="W72" s="2"/>
      <c r="X72" s="6">
        <f t="shared" si="52"/>
        <v>652.62</v>
      </c>
      <c r="Y72" s="2"/>
      <c r="Z72" s="7">
        <f t="shared" si="53"/>
        <v>0</v>
      </c>
    </row>
    <row r="73" spans="1:26" s="24" customFormat="1" hidden="1" outlineLevel="2" x14ac:dyDescent="0.3">
      <c r="A73" s="28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46"/>
        <v>0</v>
      </c>
      <c r="G73" s="2"/>
      <c r="H73" s="6"/>
      <c r="I73" s="2"/>
      <c r="J73" s="7">
        <f t="shared" si="47"/>
        <v>0</v>
      </c>
      <c r="K73" s="2"/>
      <c r="L73" s="6">
        <f t="shared" si="48"/>
        <v>0</v>
      </c>
      <c r="M73" s="2"/>
      <c r="N73" s="7">
        <f t="shared" si="49"/>
        <v>0</v>
      </c>
      <c r="O73" s="11"/>
      <c r="P73" s="6">
        <v>1870.42</v>
      </c>
      <c r="Q73" s="2"/>
      <c r="R73" s="7">
        <f t="shared" si="50"/>
        <v>2.0830748404012992E-3</v>
      </c>
      <c r="S73" s="2"/>
      <c r="T73" s="6"/>
      <c r="U73" s="2"/>
      <c r="V73" s="7">
        <f t="shared" si="51"/>
        <v>0</v>
      </c>
      <c r="W73" s="2"/>
      <c r="X73" s="6">
        <f t="shared" si="52"/>
        <v>1870.42</v>
      </c>
      <c r="Y73" s="2"/>
      <c r="Z73" s="7">
        <f t="shared" si="53"/>
        <v>0</v>
      </c>
    </row>
    <row r="74" spans="1:26" s="29" customFormat="1" outlineLevel="1" collapsed="1" x14ac:dyDescent="0.3">
      <c r="A74" s="27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SUM(OSRRefD22_15x_0)</f>
        <v>36</v>
      </c>
      <c r="E74" s="1"/>
      <c r="F74" s="5">
        <f t="shared" ref="F74:F77" si="54">IF(D$12=0,0,D74/D$12)</f>
        <v>2.073580067089531E-4</v>
      </c>
      <c r="G74" s="1"/>
      <c r="H74" s="1">
        <f>SUM(OSRRefH22_15x_0)</f>
        <v>50</v>
      </c>
      <c r="I74" s="1"/>
      <c r="J74" s="5">
        <f t="shared" ref="J74:J77" si="55">IF(H$12=0,0,H74/H$12)</f>
        <v>0</v>
      </c>
      <c r="K74" s="1"/>
      <c r="L74" s="1">
        <f t="shared" ref="L74:L77" si="56">+D74-H74</f>
        <v>-14</v>
      </c>
      <c r="M74" s="1"/>
      <c r="N74" s="5">
        <f t="shared" ref="N74:N77" si="57">IF(H74=0,0,L74/H74)</f>
        <v>-0.28000000000000003</v>
      </c>
      <c r="O74" s="14"/>
      <c r="P74" s="1">
        <f>SUM(OSRRefP22_15x_0)</f>
        <v>806.85</v>
      </c>
      <c r="Q74" s="1"/>
      <c r="R74" s="5">
        <f t="shared" ref="R74:R77" si="58">IF(P$12=0,0,P74/P$12)</f>
        <v>8.9858370578682232E-4</v>
      </c>
      <c r="S74" s="1"/>
      <c r="T74" s="1">
        <f>SUM(OSRRefT22_15x_0)</f>
        <v>579.63</v>
      </c>
      <c r="U74" s="1"/>
      <c r="V74" s="5">
        <f t="shared" ref="V74:V77" si="59">IF(T$12=0,0,T74/T$12)</f>
        <v>0</v>
      </c>
      <c r="W74" s="1"/>
      <c r="X74" s="1">
        <f t="shared" ref="X74:X77" si="60">+P74-T74</f>
        <v>227.22000000000003</v>
      </c>
      <c r="Y74" s="1"/>
      <c r="Z74" s="5">
        <f t="shared" ref="Z74:Z77" si="61">IF(T74=0,0,X74/T74)</f>
        <v>0.39200869520211173</v>
      </c>
    </row>
    <row r="75" spans="1:26" s="24" customFormat="1" hidden="1" outlineLevel="2" x14ac:dyDescent="0.3">
      <c r="A75" s="28"/>
      <c r="B75" s="11" t="str">
        <f>CONCATENATE("          ", "6309", " - ", "TELEPHONE")</f>
        <v xml:space="preserve">          6309 - TELEPHONE</v>
      </c>
      <c r="C75" s="11"/>
      <c r="D75" s="6">
        <v>36</v>
      </c>
      <c r="E75" s="2"/>
      <c r="F75" s="7">
        <f t="shared" si="54"/>
        <v>2.073580067089531E-4</v>
      </c>
      <c r="G75" s="2"/>
      <c r="H75" s="6">
        <v>50</v>
      </c>
      <c r="I75" s="2"/>
      <c r="J75" s="7">
        <f t="shared" si="55"/>
        <v>0</v>
      </c>
      <c r="K75" s="2"/>
      <c r="L75" s="6">
        <f t="shared" si="56"/>
        <v>-14</v>
      </c>
      <c r="M75" s="2"/>
      <c r="N75" s="7">
        <f t="shared" si="57"/>
        <v>-0.28000000000000003</v>
      </c>
      <c r="O75" s="11"/>
      <c r="P75" s="6">
        <v>806.85</v>
      </c>
      <c r="Q75" s="2"/>
      <c r="R75" s="7">
        <f t="shared" si="58"/>
        <v>8.9858370578682232E-4</v>
      </c>
      <c r="S75" s="2"/>
      <c r="T75" s="6">
        <v>579.63</v>
      </c>
      <c r="U75" s="2"/>
      <c r="V75" s="7">
        <f t="shared" si="59"/>
        <v>0</v>
      </c>
      <c r="W75" s="2"/>
      <c r="X75" s="6">
        <f t="shared" si="60"/>
        <v>227.22000000000003</v>
      </c>
      <c r="Y75" s="2"/>
      <c r="Z75" s="7">
        <f t="shared" si="61"/>
        <v>0.39200869520211173</v>
      </c>
    </row>
    <row r="76" spans="1:26" s="29" customFormat="1" outlineLevel="1" collapsed="1" x14ac:dyDescent="0.3">
      <c r="A76" s="27"/>
      <c r="B76" s="14" t="str">
        <f>CONCATENATE("     ","Travel                                            ")</f>
        <v xml:space="preserve">     Travel                                            </v>
      </c>
      <c r="C76" s="14"/>
      <c r="D76" s="1">
        <f>SUM(OSRRefD22_16x_0)</f>
        <v>0</v>
      </c>
      <c r="E76" s="1"/>
      <c r="F76" s="5">
        <f t="shared" si="54"/>
        <v>0</v>
      </c>
      <c r="G76" s="1"/>
      <c r="H76" s="1">
        <f>SUM(OSRRefH22_16x_0)</f>
        <v>0</v>
      </c>
      <c r="I76" s="1"/>
      <c r="J76" s="5">
        <f t="shared" si="55"/>
        <v>0</v>
      </c>
      <c r="K76" s="1"/>
      <c r="L76" s="1">
        <f t="shared" si="56"/>
        <v>0</v>
      </c>
      <c r="M76" s="1"/>
      <c r="N76" s="5">
        <f t="shared" si="57"/>
        <v>0</v>
      </c>
      <c r="O76" s="14"/>
      <c r="P76" s="1">
        <f>SUM(OSRRefP22_16x_0)</f>
        <v>104.02</v>
      </c>
      <c r="Q76" s="1"/>
      <c r="R76" s="5">
        <f t="shared" si="58"/>
        <v>1.1584641144691732E-4</v>
      </c>
      <c r="S76" s="1"/>
      <c r="T76" s="1">
        <f>SUM(OSRRefT22_16x_0)</f>
        <v>0</v>
      </c>
      <c r="U76" s="1"/>
      <c r="V76" s="5">
        <f t="shared" si="59"/>
        <v>0</v>
      </c>
      <c r="W76" s="1"/>
      <c r="X76" s="1">
        <f t="shared" si="60"/>
        <v>104.02</v>
      </c>
      <c r="Y76" s="1"/>
      <c r="Z76" s="5">
        <f t="shared" si="61"/>
        <v>0</v>
      </c>
    </row>
    <row r="77" spans="1:26" s="24" customFormat="1" hidden="1" outlineLevel="2" x14ac:dyDescent="0.3">
      <c r="A77" s="28"/>
      <c r="B77" s="11" t="str">
        <f>CONCATENATE("          ", "6298", " - ", "VEHICLE MILEAGE")</f>
        <v xml:space="preserve">          6298 - VEHICLE MILEAGE</v>
      </c>
      <c r="C77" s="11"/>
      <c r="D77" s="6"/>
      <c r="E77" s="2"/>
      <c r="F77" s="7">
        <f t="shared" si="54"/>
        <v>0</v>
      </c>
      <c r="G77" s="2"/>
      <c r="H77" s="6"/>
      <c r="I77" s="2"/>
      <c r="J77" s="7">
        <f t="shared" si="55"/>
        <v>0</v>
      </c>
      <c r="K77" s="2"/>
      <c r="L77" s="6">
        <f t="shared" si="56"/>
        <v>0</v>
      </c>
      <c r="M77" s="2"/>
      <c r="N77" s="7">
        <f t="shared" si="57"/>
        <v>0</v>
      </c>
      <c r="O77" s="11"/>
      <c r="P77" s="6">
        <v>104.02</v>
      </c>
      <c r="Q77" s="2"/>
      <c r="R77" s="7">
        <f t="shared" si="58"/>
        <v>1.1584641144691732E-4</v>
      </c>
      <c r="S77" s="2"/>
      <c r="T77" s="6"/>
      <c r="U77" s="2"/>
      <c r="V77" s="7">
        <f t="shared" si="59"/>
        <v>0</v>
      </c>
      <c r="W77" s="2"/>
      <c r="X77" s="6">
        <f t="shared" si="60"/>
        <v>104.02</v>
      </c>
      <c r="Y77" s="2"/>
      <c r="Z77" s="7">
        <f t="shared" si="61"/>
        <v>0</v>
      </c>
    </row>
    <row r="78" spans="1:26" s="53" customFormat="1" x14ac:dyDescent="0.3">
      <c r="A78" s="37"/>
      <c r="B78" s="37"/>
      <c r="C78" s="37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3">
      <c r="A79" s="10"/>
      <c r="B79" s="25" t="s">
        <v>292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3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3">
      <c r="A81" s="10"/>
      <c r="B81" s="26" t="s">
        <v>276</v>
      </c>
      <c r="C81" s="26"/>
      <c r="D81" s="20">
        <f>+D21-D23+D79</f>
        <v>29309.410000000047</v>
      </c>
      <c r="E81" s="13"/>
      <c r="F81" s="21">
        <f>IF(D$12=0,0,D81/D$12)</f>
        <v>0.16882057876154075</v>
      </c>
      <c r="G81" s="13"/>
      <c r="H81" s="20">
        <f>+H21-H23+H79</f>
        <v>-37830.829999999994</v>
      </c>
      <c r="I81" s="13"/>
      <c r="J81" s="21">
        <f>IF(H$12=0,0,H81/H$12)</f>
        <v>0</v>
      </c>
      <c r="K81" s="15"/>
      <c r="L81" s="20">
        <f>+D81-H81</f>
        <v>67140.240000000049</v>
      </c>
      <c r="M81" s="15"/>
      <c r="N81" s="21">
        <f>IF(H81=0,0,L81/H81)</f>
        <v>-1.7747493248231683</v>
      </c>
      <c r="O81" s="25"/>
      <c r="P81" s="20">
        <f>+P21-P23+P79</f>
        <v>-5822.1800000000512</v>
      </c>
      <c r="Q81" s="13"/>
      <c r="R81" s="21">
        <f>IF(P$12=0,0,P81/P$12)</f>
        <v>-6.4841247817536921E-3</v>
      </c>
      <c r="S81" s="13"/>
      <c r="T81" s="20">
        <f>+T21-T23+T79</f>
        <v>-248870.62999999998</v>
      </c>
      <c r="U81" s="13"/>
      <c r="V81" s="21">
        <f>IF(T$12=0,0,T81/T$12)</f>
        <v>0</v>
      </c>
      <c r="W81" s="15"/>
      <c r="X81" s="20">
        <f>+P81-T81</f>
        <v>243048.44999999992</v>
      </c>
      <c r="Y81" s="15"/>
      <c r="Z81" s="21">
        <f>IF(T81=0,0,X81/T81)</f>
        <v>-0.9766055962489425</v>
      </c>
    </row>
    <row r="82" spans="1:26" x14ac:dyDescent="0.3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3">
      <c r="A83" s="51"/>
      <c r="B83" s="10" t="s">
        <v>127</v>
      </c>
      <c r="C83" s="10"/>
      <c r="D83" s="4">
        <v>21809.85</v>
      </c>
      <c r="E83" s="4"/>
      <c r="F83" s="12">
        <f>IF(D$12=0,0,D83/D$12)</f>
        <v>0.12562352840614613</v>
      </c>
      <c r="G83" s="4"/>
      <c r="H83" s="4"/>
      <c r="I83" s="4"/>
      <c r="J83" s="12">
        <f>IF(H$12=0,0,H83/H$12)</f>
        <v>0</v>
      </c>
      <c r="K83" s="4"/>
      <c r="L83" s="4">
        <f>+D83-H83</f>
        <v>21809.85</v>
      </c>
      <c r="M83" s="4"/>
      <c r="N83" s="12">
        <f>IF(H83=0,0,L83/H83)</f>
        <v>0</v>
      </c>
      <c r="O83" s="10"/>
      <c r="P83" s="4">
        <v>108082.51</v>
      </c>
      <c r="Q83" s="4"/>
      <c r="R83" s="12">
        <f>IF(P$12=0,0,P83/P$12)</f>
        <v>0.12037080295784999</v>
      </c>
      <c r="S83" s="4"/>
      <c r="T83" s="4">
        <v>0</v>
      </c>
      <c r="U83" s="4"/>
      <c r="V83" s="12">
        <f>IF(T$12=0,0,T83/T$12)</f>
        <v>0</v>
      </c>
      <c r="W83" s="4"/>
      <c r="X83" s="4">
        <f>+P83-T83</f>
        <v>108082.51</v>
      </c>
      <c r="Y83" s="4"/>
      <c r="Z83" s="12">
        <f>IF(T83=0,0,X83/T83)</f>
        <v>0</v>
      </c>
    </row>
    <row r="84" spans="1:26" x14ac:dyDescent="0.3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" thickBot="1" x14ac:dyDescent="0.35">
      <c r="A85" s="10"/>
      <c r="B85" s="26" t="s">
        <v>125</v>
      </c>
      <c r="C85" s="26"/>
      <c r="D85" s="32">
        <f>+D81-D83</f>
        <v>7499.5600000000486</v>
      </c>
      <c r="E85" s="13"/>
      <c r="F85" s="35">
        <f>IF(D$12=0,0,D85/D$12)</f>
        <v>4.3197050355394624E-2</v>
      </c>
      <c r="G85" s="13"/>
      <c r="H85" s="32">
        <f>+H81-H83</f>
        <v>-37830.829999999994</v>
      </c>
      <c r="I85" s="13"/>
      <c r="J85" s="35">
        <f>IF(H$12=0,0,H85/H$12)</f>
        <v>0</v>
      </c>
      <c r="K85" s="15"/>
      <c r="L85" s="32">
        <f>D85-H85</f>
        <v>45330.390000000043</v>
      </c>
      <c r="M85" s="15"/>
      <c r="N85" s="35">
        <f>IF(H85=0,0,L85/H85)</f>
        <v>-1.1982393724906393</v>
      </c>
      <c r="O85" s="25"/>
      <c r="P85" s="32">
        <f>+P81-P83</f>
        <v>-113904.69000000005</v>
      </c>
      <c r="Q85" s="13"/>
      <c r="R85" s="35">
        <f>IF(P$12=0,0,P85/P$12)</f>
        <v>-0.12685492773960369</v>
      </c>
      <c r="S85" s="13"/>
      <c r="T85" s="32">
        <f>+T81-T83</f>
        <v>-248870.62999999998</v>
      </c>
      <c r="U85" s="13"/>
      <c r="V85" s="35">
        <f>IF(T$12=0,0,T85/T$12)</f>
        <v>0</v>
      </c>
      <c r="W85" s="15"/>
      <c r="X85" s="32">
        <f>P85-T85</f>
        <v>134965.93999999994</v>
      </c>
      <c r="Y85" s="15"/>
      <c r="Z85" s="35">
        <f>IF(T85=0,0,X85/T85)</f>
        <v>-0.54231365107244656</v>
      </c>
    </row>
    <row r="86" spans="1:26" ht="15" thickTop="1" x14ac:dyDescent="0.3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3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" thickBot="1" x14ac:dyDescent="0.35">
      <c r="A88" s="10"/>
      <c r="B88" s="26" t="s">
        <v>293</v>
      </c>
      <c r="C88" s="26"/>
      <c r="D88" s="31">
        <f>SUM(D85:D87)</f>
        <v>7499.5600000000486</v>
      </c>
      <c r="E88" s="13"/>
      <c r="F88" s="33">
        <f>IF(D$12=0,0,D88/D$12)</f>
        <v>4.3197050355394624E-2</v>
      </c>
      <c r="G88" s="13"/>
      <c r="H88" s="31">
        <f>SUM(H85:H87)</f>
        <v>-37830.829999999994</v>
      </c>
      <c r="I88" s="13"/>
      <c r="J88" s="33">
        <f>IF(H$12=0,0,H88/H$12)</f>
        <v>0</v>
      </c>
      <c r="K88" s="15"/>
      <c r="L88" s="31">
        <f>+D88-H88</f>
        <v>45330.390000000043</v>
      </c>
      <c r="M88" s="15"/>
      <c r="N88" s="33">
        <f>IF(H88=0,0,L88/H88)</f>
        <v>-1.1982393724906393</v>
      </c>
      <c r="O88" s="25"/>
      <c r="P88" s="31">
        <f>SUM(P85:P87)</f>
        <v>-113904.69000000005</v>
      </c>
      <c r="Q88" s="13"/>
      <c r="R88" s="33">
        <f>IF(P$12=0,0,P88/P$12)</f>
        <v>-0.12685492773960369</v>
      </c>
      <c r="S88" s="13"/>
      <c r="T88" s="31">
        <f>SUM(T85:T87)</f>
        <v>-248870.62999999998</v>
      </c>
      <c r="U88" s="13"/>
      <c r="V88" s="33">
        <f>IF(T$12=0,0,T88/T$12)</f>
        <v>0</v>
      </c>
      <c r="W88" s="15"/>
      <c r="X88" s="31">
        <f>+P88-T88</f>
        <v>134965.93999999994</v>
      </c>
      <c r="Y88" s="15"/>
      <c r="Z88" s="33">
        <f>IF(T88=0,0,X88/T88)</f>
        <v>-0.54231365107244656</v>
      </c>
    </row>
    <row r="89" spans="1:26" ht="15" thickTop="1" x14ac:dyDescent="0.3">
      <c r="A89" s="9"/>
      <c r="C89" s="9"/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3">
      <c r="A90" s="9"/>
      <c r="B90" s="60">
        <v>44575.854680405093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3">
      <c r="A91" s="9"/>
      <c r="B91" s="57" t="s">
        <v>56</v>
      </c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3">
      <c r="A92" s="9"/>
      <c r="B92" s="59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3"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outlinePr summaryBelow="0" summaryRight="0"/>
  </sheetPr>
  <dimension ref="A2:Z7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104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-14996</v>
      </c>
      <c r="E12" s="4"/>
      <c r="F12" s="12"/>
      <c r="G12" s="4"/>
      <c r="H12" s="4">
        <f>SUM(OSRRefH13x_0)</f>
        <v>13225</v>
      </c>
      <c r="I12" s="4"/>
      <c r="J12" s="12"/>
      <c r="K12" s="4"/>
      <c r="L12" s="4">
        <f t="shared" ref="L12:L13" si="0">+D12-H12</f>
        <v>-28221</v>
      </c>
      <c r="M12" s="4"/>
      <c r="N12" s="12">
        <f t="shared" ref="N12:N13" si="1">IF(H12=0,0,L12/H12)</f>
        <v>-2.1339130434782607</v>
      </c>
      <c r="O12" s="10"/>
      <c r="P12" s="4">
        <f>SUM(OSRRefP13x_0)</f>
        <v>289548</v>
      </c>
      <c r="Q12" s="4"/>
      <c r="R12" s="12"/>
      <c r="S12" s="4"/>
      <c r="T12" s="4">
        <f>SUM(OSRRefT13x_0)</f>
        <v>335672</v>
      </c>
      <c r="U12" s="4"/>
      <c r="V12" s="12"/>
      <c r="W12" s="4"/>
      <c r="X12" s="4">
        <f t="shared" ref="X12:X13" si="2">+P12-T12</f>
        <v>-46124</v>
      </c>
      <c r="Y12" s="4"/>
      <c r="Z12" s="12">
        <f t="shared" ref="Z12:Z13" si="3">IF(T12=0,0,X12/T12)</f>
        <v>-0.13740794585190305</v>
      </c>
    </row>
    <row r="13" spans="1:26" s="24" customFormat="1" hidden="1" outlineLevel="1" x14ac:dyDescent="0.3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-14996</f>
        <v>-14996</v>
      </c>
      <c r="E13" s="2"/>
      <c r="F13" s="19"/>
      <c r="G13" s="2"/>
      <c r="H13" s="2">
        <f>--13225</f>
        <v>13225</v>
      </c>
      <c r="I13" s="2"/>
      <c r="J13" s="19"/>
      <c r="K13" s="2"/>
      <c r="L13" s="2">
        <f t="shared" si="0"/>
        <v>-28221</v>
      </c>
      <c r="M13" s="2"/>
      <c r="N13" s="19">
        <f t="shared" si="1"/>
        <v>-2.1339130434782607</v>
      </c>
      <c r="O13" s="11"/>
      <c r="P13" s="2">
        <f>--289548</f>
        <v>289548</v>
      </c>
      <c r="Q13" s="2"/>
      <c r="R13" s="19"/>
      <c r="S13" s="2"/>
      <c r="T13" s="2">
        <f>--335672</f>
        <v>335672</v>
      </c>
      <c r="U13" s="2"/>
      <c r="V13" s="19"/>
      <c r="W13" s="2"/>
      <c r="X13" s="2">
        <f t="shared" si="2"/>
        <v>-46124</v>
      </c>
      <c r="Y13" s="2"/>
      <c r="Z13" s="19">
        <f t="shared" si="3"/>
        <v>-0.13740794585190305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">
      <c r="A15" s="10"/>
      <c r="B15" s="25" t="s">
        <v>256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6" t="s">
        <v>107</v>
      </c>
      <c r="C17" s="26"/>
      <c r="D17" s="20">
        <f>D12-D15</f>
        <v>-14996</v>
      </c>
      <c r="E17" s="13"/>
      <c r="F17" s="21">
        <f>IF(D$12=0,0,D17/D$12)</f>
        <v>1</v>
      </c>
      <c r="G17" s="13"/>
      <c r="H17" s="20">
        <f>H12-H15</f>
        <v>13225</v>
      </c>
      <c r="I17" s="13"/>
      <c r="J17" s="21">
        <f>IF(H$12=0,0,H17/H$12)</f>
        <v>1</v>
      </c>
      <c r="K17" s="15"/>
      <c r="L17" s="20">
        <f>+D17-H17</f>
        <v>-28221</v>
      </c>
      <c r="M17" s="15"/>
      <c r="N17" s="21">
        <f>IF(H17=0,0,L17/H17)</f>
        <v>-2.1339130434782607</v>
      </c>
      <c r="O17" s="25"/>
      <c r="P17" s="20">
        <f>P12-P15</f>
        <v>289548</v>
      </c>
      <c r="Q17" s="13"/>
      <c r="R17" s="21">
        <f>IF(P$12=0,0,P17/P$12)</f>
        <v>1</v>
      </c>
      <c r="S17" s="13"/>
      <c r="T17" s="20">
        <f>T12-T15</f>
        <v>335672</v>
      </c>
      <c r="U17" s="13"/>
      <c r="V17" s="21">
        <f>IF(T$12=0,0,T17/T$12)</f>
        <v>1</v>
      </c>
      <c r="W17" s="15"/>
      <c r="X17" s="20">
        <f>+P17-T17</f>
        <v>-46124</v>
      </c>
      <c r="Y17" s="15"/>
      <c r="Z17" s="21">
        <f>IF(T17=0,0,X17/T17)</f>
        <v>-0.13740794585190305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294</v>
      </c>
      <c r="C19" s="10"/>
      <c r="D19" s="22">
        <f>SUM(OSRRefD22x_0)</f>
        <v>16374.92</v>
      </c>
      <c r="E19" s="22"/>
      <c r="F19" s="34">
        <f t="shared" ref="F19:F29" si="4">IF(D$12=0,0,D19/D$12)</f>
        <v>-1.0919525206721792</v>
      </c>
      <c r="G19" s="22"/>
      <c r="H19" s="22">
        <f>SUM(OSRRefH22x_0)</f>
        <v>20530.420000000002</v>
      </c>
      <c r="I19" s="22"/>
      <c r="J19" s="34">
        <f t="shared" ref="J19:J29" si="5">IF(H$12=0,0,H19/H$12)</f>
        <v>1.5523947069943291</v>
      </c>
      <c r="K19" s="4"/>
      <c r="L19" s="22">
        <f t="shared" ref="L19:L29" si="6">+D19-H19</f>
        <v>-4155.5000000000018</v>
      </c>
      <c r="M19" s="4"/>
      <c r="N19" s="34">
        <f t="shared" ref="N19:N29" si="7">IF(H19=0,0,L19/H19)</f>
        <v>-0.20240696488430346</v>
      </c>
      <c r="O19" s="10"/>
      <c r="P19" s="22">
        <f>SUM(OSRRefP22x_0)</f>
        <v>259076.9</v>
      </c>
      <c r="Q19" s="22"/>
      <c r="R19" s="34">
        <f t="shared" ref="R19:R29" si="8">IF(P$12=0,0,P19/P$12)</f>
        <v>0.89476321715225104</v>
      </c>
      <c r="S19" s="22"/>
      <c r="T19" s="22">
        <f>SUM(OSRRefT22x_0)</f>
        <v>285695.19</v>
      </c>
      <c r="U19" s="22"/>
      <c r="V19" s="34">
        <f t="shared" ref="V19:V29" si="9">IF(T$12=0,0,T19/T$12)</f>
        <v>0.85111415310183747</v>
      </c>
      <c r="W19" s="4"/>
      <c r="X19" s="22">
        <f t="shared" ref="X19:X29" si="10">+P19-T19</f>
        <v>-26618.290000000008</v>
      </c>
      <c r="Y19" s="4"/>
      <c r="Z19" s="34">
        <f t="shared" ref="Z19:Z29" si="11">IF(T19=0,0,X19/T19)</f>
        <v>-9.3170242033126308E-2</v>
      </c>
    </row>
    <row r="20" spans="1:26" s="29" customFormat="1" outlineLevel="1" collapsed="1" x14ac:dyDescent="0.3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3619.5699999999997</v>
      </c>
      <c r="E20" s="1"/>
      <c r="F20" s="5">
        <f t="shared" si="4"/>
        <v>-0.2413690317417978</v>
      </c>
      <c r="G20" s="1"/>
      <c r="H20" s="1">
        <f>SUM(OSRRefH22_0x_0)</f>
        <v>3872.88</v>
      </c>
      <c r="I20" s="1"/>
      <c r="J20" s="5">
        <f t="shared" si="5"/>
        <v>0.29284536862003779</v>
      </c>
      <c r="K20" s="1"/>
      <c r="L20" s="1">
        <f t="shared" si="6"/>
        <v>-253.3100000000004</v>
      </c>
      <c r="M20" s="1"/>
      <c r="N20" s="5">
        <f t="shared" si="7"/>
        <v>-6.5406106050277926E-2</v>
      </c>
      <c r="O20" s="14"/>
      <c r="P20" s="1">
        <f>SUM(OSRRefP22_0x_0)</f>
        <v>23492.82</v>
      </c>
      <c r="Q20" s="1"/>
      <c r="R20" s="5">
        <f t="shared" si="8"/>
        <v>8.1136184674043682E-2</v>
      </c>
      <c r="S20" s="1"/>
      <c r="T20" s="1">
        <f>SUM(OSRRefT22_0x_0)</f>
        <v>25245.63</v>
      </c>
      <c r="U20" s="1"/>
      <c r="V20" s="5">
        <f t="shared" si="9"/>
        <v>7.520922209776211E-2</v>
      </c>
      <c r="W20" s="1"/>
      <c r="X20" s="1">
        <f t="shared" si="10"/>
        <v>-1752.8100000000013</v>
      </c>
      <c r="Y20" s="1"/>
      <c r="Z20" s="5">
        <f t="shared" si="11"/>
        <v>-6.9430234064271762E-2</v>
      </c>
    </row>
    <row r="21" spans="1:26" s="24" customFormat="1" hidden="1" outlineLevel="2" x14ac:dyDescent="0.3">
      <c r="A21" s="28"/>
      <c r="B21" s="11" t="str">
        <f>CONCATENATE("          ", "6111", " - ", "F.I.C.A.")</f>
        <v xml:space="preserve">          6111 - F.I.C.A.</v>
      </c>
      <c r="C21" s="11"/>
      <c r="D21" s="6">
        <v>909.69</v>
      </c>
      <c r="E21" s="2"/>
      <c r="F21" s="7">
        <f t="shared" si="4"/>
        <v>-6.0662176580421452E-2</v>
      </c>
      <c r="G21" s="2"/>
      <c r="H21" s="6">
        <v>938.94</v>
      </c>
      <c r="I21" s="2"/>
      <c r="J21" s="7">
        <f t="shared" si="5"/>
        <v>7.0997353497164462E-2</v>
      </c>
      <c r="K21" s="2"/>
      <c r="L21" s="6">
        <f t="shared" si="6"/>
        <v>-29.25</v>
      </c>
      <c r="M21" s="2"/>
      <c r="N21" s="7">
        <f t="shared" si="7"/>
        <v>-3.1152150297143584E-2</v>
      </c>
      <c r="O21" s="11"/>
      <c r="P21" s="6">
        <v>6699.3</v>
      </c>
      <c r="Q21" s="2"/>
      <c r="R21" s="7">
        <f t="shared" si="8"/>
        <v>2.3137096439968502E-2</v>
      </c>
      <c r="S21" s="2"/>
      <c r="T21" s="6">
        <v>6290.87</v>
      </c>
      <c r="U21" s="2"/>
      <c r="V21" s="7">
        <f t="shared" si="9"/>
        <v>1.8741122286041134E-2</v>
      </c>
      <c r="W21" s="2"/>
      <c r="X21" s="6">
        <f t="shared" si="10"/>
        <v>408.43000000000029</v>
      </c>
      <c r="Y21" s="2"/>
      <c r="Z21" s="7">
        <f t="shared" si="11"/>
        <v>6.4924247361652726E-2</v>
      </c>
    </row>
    <row r="22" spans="1:26" s="24" customFormat="1" hidden="1" outlineLevel="2" x14ac:dyDescent="0.3">
      <c r="A22" s="28"/>
      <c r="B22" s="11" t="str">
        <f>CONCATENATE("          ", "6112", " - ", "COMPENSATION INSURANCE")</f>
        <v xml:space="preserve">          6112 - COMPENSATION INSURANCE</v>
      </c>
      <c r="C22" s="11"/>
      <c r="D22" s="6">
        <v>137.25</v>
      </c>
      <c r="E22" s="2"/>
      <c r="F22" s="7">
        <f t="shared" si="4"/>
        <v>-9.1524406508402233E-3</v>
      </c>
      <c r="G22" s="2"/>
      <c r="H22" s="6">
        <v>171.99</v>
      </c>
      <c r="I22" s="2"/>
      <c r="J22" s="7">
        <f t="shared" si="5"/>
        <v>1.300491493383743E-2</v>
      </c>
      <c r="K22" s="2"/>
      <c r="L22" s="6">
        <f t="shared" si="6"/>
        <v>-34.740000000000009</v>
      </c>
      <c r="M22" s="2"/>
      <c r="N22" s="7">
        <f t="shared" si="7"/>
        <v>-0.20198848770277347</v>
      </c>
      <c r="O22" s="11"/>
      <c r="P22" s="6">
        <v>1032.5999999999999</v>
      </c>
      <c r="Q22" s="2"/>
      <c r="R22" s="7">
        <f t="shared" si="8"/>
        <v>3.5662480832193621E-3</v>
      </c>
      <c r="S22" s="2"/>
      <c r="T22" s="6">
        <v>667.52</v>
      </c>
      <c r="U22" s="2"/>
      <c r="V22" s="7">
        <f t="shared" si="9"/>
        <v>1.9886079267856715E-3</v>
      </c>
      <c r="W22" s="2"/>
      <c r="X22" s="6">
        <f t="shared" si="10"/>
        <v>365.07999999999993</v>
      </c>
      <c r="Y22" s="2"/>
      <c r="Z22" s="7">
        <f t="shared" si="11"/>
        <v>0.54691994247363362</v>
      </c>
    </row>
    <row r="23" spans="1:26" s="24" customFormat="1" hidden="1" outlineLevel="2" x14ac:dyDescent="0.3">
      <c r="A23" s="28"/>
      <c r="B23" s="11" t="str">
        <f>CONCATENATE("          ", "6113", " - ", "GROUP INSURANCE")</f>
        <v xml:space="preserve">          6113 - GROUP INSURANCE</v>
      </c>
      <c r="C23" s="11"/>
      <c r="D23" s="6">
        <v>1054.3499999999999</v>
      </c>
      <c r="E23" s="2"/>
      <c r="F23" s="7">
        <f t="shared" si="4"/>
        <v>-7.0308748999733259E-2</v>
      </c>
      <c r="G23" s="2"/>
      <c r="H23" s="6">
        <v>1230.45</v>
      </c>
      <c r="I23" s="2"/>
      <c r="J23" s="7">
        <f t="shared" si="5"/>
        <v>9.3039697542533079E-2</v>
      </c>
      <c r="K23" s="2"/>
      <c r="L23" s="6">
        <f t="shared" si="6"/>
        <v>-176.10000000000014</v>
      </c>
      <c r="M23" s="2"/>
      <c r="N23" s="7">
        <f t="shared" si="7"/>
        <v>-0.14311837132756319</v>
      </c>
      <c r="O23" s="11"/>
      <c r="P23" s="6">
        <v>6326.1</v>
      </c>
      <c r="Q23" s="2"/>
      <c r="R23" s="7">
        <f t="shared" si="8"/>
        <v>2.1848190973517347E-2</v>
      </c>
      <c r="S23" s="2"/>
      <c r="T23" s="6">
        <v>7403</v>
      </c>
      <c r="U23" s="2"/>
      <c r="V23" s="7">
        <f t="shared" si="9"/>
        <v>2.2054267260897542E-2</v>
      </c>
      <c r="W23" s="2"/>
      <c r="X23" s="6">
        <f t="shared" si="10"/>
        <v>-1076.8999999999996</v>
      </c>
      <c r="Y23" s="2"/>
      <c r="Z23" s="7">
        <f t="shared" si="11"/>
        <v>-0.14546805349182759</v>
      </c>
    </row>
    <row r="24" spans="1:26" s="24" customFormat="1" hidden="1" outlineLevel="2" x14ac:dyDescent="0.3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6">
        <v>27.14</v>
      </c>
      <c r="E24" s="2"/>
      <c r="F24" s="7">
        <f t="shared" si="4"/>
        <v>-1.8098159509202455E-3</v>
      </c>
      <c r="G24" s="2"/>
      <c r="H24" s="6"/>
      <c r="I24" s="2"/>
      <c r="J24" s="7">
        <f t="shared" si="5"/>
        <v>0</v>
      </c>
      <c r="K24" s="2"/>
      <c r="L24" s="6">
        <f t="shared" si="6"/>
        <v>27.14</v>
      </c>
      <c r="M24" s="2"/>
      <c r="N24" s="7">
        <f t="shared" si="7"/>
        <v>0</v>
      </c>
      <c r="O24" s="11"/>
      <c r="P24" s="6">
        <v>204.29</v>
      </c>
      <c r="Q24" s="2"/>
      <c r="R24" s="7">
        <f t="shared" si="8"/>
        <v>7.0554795750618203E-4</v>
      </c>
      <c r="S24" s="2"/>
      <c r="T24" s="6">
        <v>214.6</v>
      </c>
      <c r="U24" s="2"/>
      <c r="V24" s="7">
        <f t="shared" si="9"/>
        <v>6.3931456898400822E-4</v>
      </c>
      <c r="W24" s="2"/>
      <c r="X24" s="6">
        <f t="shared" si="10"/>
        <v>-10.310000000000002</v>
      </c>
      <c r="Y24" s="2"/>
      <c r="Z24" s="7">
        <f t="shared" si="11"/>
        <v>-4.8042870456663569E-2</v>
      </c>
    </row>
    <row r="25" spans="1:26" s="24" customFormat="1" hidden="1" outlineLevel="2" x14ac:dyDescent="0.3">
      <c r="A25" s="28"/>
      <c r="B25" s="11" t="str">
        <f>CONCATENATE("          ", "6115", " - ", "P.E.R.S.")</f>
        <v xml:space="preserve">          6115 - P.E.R.S.</v>
      </c>
      <c r="C25" s="11"/>
      <c r="D25" s="6">
        <v>610.04</v>
      </c>
      <c r="E25" s="2"/>
      <c r="F25" s="7">
        <f t="shared" si="4"/>
        <v>-4.0680181381701784E-2</v>
      </c>
      <c r="G25" s="2"/>
      <c r="H25" s="6">
        <v>640.35</v>
      </c>
      <c r="I25" s="2"/>
      <c r="J25" s="7">
        <f t="shared" si="5"/>
        <v>4.8419659735349715E-2</v>
      </c>
      <c r="K25" s="2"/>
      <c r="L25" s="6">
        <f t="shared" si="6"/>
        <v>-30.310000000000059</v>
      </c>
      <c r="M25" s="2"/>
      <c r="N25" s="7">
        <f t="shared" si="7"/>
        <v>-4.7333489497930911E-2</v>
      </c>
      <c r="O25" s="11"/>
      <c r="P25" s="6">
        <v>3859.69</v>
      </c>
      <c r="Q25" s="2"/>
      <c r="R25" s="7">
        <f t="shared" si="8"/>
        <v>1.3330052357467502E-2</v>
      </c>
      <c r="S25" s="2"/>
      <c r="T25" s="6">
        <v>4819.7</v>
      </c>
      <c r="U25" s="2"/>
      <c r="V25" s="7">
        <f t="shared" si="9"/>
        <v>1.4358361734073738E-2</v>
      </c>
      <c r="W25" s="2"/>
      <c r="X25" s="6">
        <f t="shared" si="10"/>
        <v>-960.00999999999976</v>
      </c>
      <c r="Y25" s="2"/>
      <c r="Z25" s="7">
        <f t="shared" si="11"/>
        <v>-0.19918459655165255</v>
      </c>
    </row>
    <row r="26" spans="1:26" s="24" customFormat="1" hidden="1" outlineLevel="2" x14ac:dyDescent="0.3">
      <c r="A26" s="28"/>
      <c r="B26" s="11" t="str">
        <f>CONCATENATE("          ", "6117", " - ", "RETIREMENT STAFF HOURLY")</f>
        <v xml:space="preserve">          6117 - RETIREMENT STAFF HOURLY</v>
      </c>
      <c r="C26" s="11"/>
      <c r="D26" s="6"/>
      <c r="E26" s="2"/>
      <c r="F26" s="7">
        <f t="shared" si="4"/>
        <v>0</v>
      </c>
      <c r="G26" s="2"/>
      <c r="H26" s="6">
        <v>71.87</v>
      </c>
      <c r="I26" s="2"/>
      <c r="J26" s="7">
        <f t="shared" si="5"/>
        <v>5.434404536862004E-3</v>
      </c>
      <c r="K26" s="2"/>
      <c r="L26" s="6">
        <f t="shared" si="6"/>
        <v>-71.87</v>
      </c>
      <c r="M26" s="2"/>
      <c r="N26" s="7">
        <f t="shared" si="7"/>
        <v>-1</v>
      </c>
      <c r="O26" s="11"/>
      <c r="P26" s="6">
        <v>215.15</v>
      </c>
      <c r="Q26" s="2"/>
      <c r="R26" s="7">
        <f t="shared" si="8"/>
        <v>7.4305469214085401E-4</v>
      </c>
      <c r="S26" s="2"/>
      <c r="T26" s="6">
        <v>524.61</v>
      </c>
      <c r="U26" s="2"/>
      <c r="V26" s="7">
        <f t="shared" si="9"/>
        <v>1.5628649395838796E-3</v>
      </c>
      <c r="W26" s="2"/>
      <c r="X26" s="6">
        <f t="shared" si="10"/>
        <v>-309.46000000000004</v>
      </c>
      <c r="Y26" s="2"/>
      <c r="Z26" s="7">
        <f t="shared" si="11"/>
        <v>-0.5898858199424335</v>
      </c>
    </row>
    <row r="27" spans="1:26" s="24" customFormat="1" hidden="1" outlineLevel="2" x14ac:dyDescent="0.3">
      <c r="A27" s="28"/>
      <c r="B27" s="11" t="str">
        <f>CONCATENATE("          ", "6118", " - ", "VACATION")</f>
        <v xml:space="preserve">          6118 - VACATION</v>
      </c>
      <c r="C27" s="11"/>
      <c r="D27" s="6">
        <v>529.76</v>
      </c>
      <c r="E27" s="2"/>
      <c r="F27" s="7">
        <f t="shared" si="4"/>
        <v>-3.5326753801013605E-2</v>
      </c>
      <c r="G27" s="2"/>
      <c r="H27" s="6">
        <v>520.02</v>
      </c>
      <c r="I27" s="2"/>
      <c r="J27" s="7">
        <f t="shared" si="5"/>
        <v>3.9320982986767485E-2</v>
      </c>
      <c r="K27" s="2"/>
      <c r="L27" s="6">
        <f t="shared" si="6"/>
        <v>9.7400000000000091</v>
      </c>
      <c r="M27" s="2"/>
      <c r="N27" s="7">
        <f t="shared" si="7"/>
        <v>1.8730048844275239E-2</v>
      </c>
      <c r="O27" s="11"/>
      <c r="P27" s="6">
        <v>3044.41</v>
      </c>
      <c r="Q27" s="2"/>
      <c r="R27" s="7">
        <f t="shared" si="8"/>
        <v>1.0514353405998314E-2</v>
      </c>
      <c r="S27" s="2"/>
      <c r="T27" s="6">
        <v>3380.13</v>
      </c>
      <c r="U27" s="2"/>
      <c r="V27" s="7">
        <f t="shared" si="9"/>
        <v>1.0069740699254034E-2</v>
      </c>
      <c r="W27" s="2"/>
      <c r="X27" s="6">
        <f t="shared" si="10"/>
        <v>-335.72000000000025</v>
      </c>
      <c r="Y27" s="2"/>
      <c r="Z27" s="7">
        <f t="shared" si="11"/>
        <v>-9.9321623724531377E-2</v>
      </c>
    </row>
    <row r="28" spans="1:26" s="24" customFormat="1" hidden="1" outlineLevel="2" x14ac:dyDescent="0.3">
      <c r="A28" s="28"/>
      <c r="B28" s="11" t="str">
        <f>CONCATENATE("          ", "6119", " - ", "SICK LEAVE")</f>
        <v xml:space="preserve">          6119 - SICK LEAVE</v>
      </c>
      <c r="C28" s="11"/>
      <c r="D28" s="6">
        <v>277.58999999999997</v>
      </c>
      <c r="E28" s="2"/>
      <c r="F28" s="7">
        <f t="shared" si="4"/>
        <v>-1.8510936249666578E-2</v>
      </c>
      <c r="G28" s="2"/>
      <c r="H28" s="6">
        <v>299.26</v>
      </c>
      <c r="I28" s="2"/>
      <c r="J28" s="7">
        <f t="shared" si="5"/>
        <v>2.2628355387523627E-2</v>
      </c>
      <c r="K28" s="2"/>
      <c r="L28" s="6">
        <f t="shared" si="6"/>
        <v>-21.670000000000016</v>
      </c>
      <c r="M28" s="2"/>
      <c r="N28" s="7">
        <f t="shared" si="7"/>
        <v>-7.2411949475372647E-2</v>
      </c>
      <c r="O28" s="11"/>
      <c r="P28" s="6">
        <v>1756.28</v>
      </c>
      <c r="Q28" s="2"/>
      <c r="R28" s="7">
        <f t="shared" si="8"/>
        <v>6.065591888046196E-3</v>
      </c>
      <c r="S28" s="2"/>
      <c r="T28" s="6">
        <v>1945.2</v>
      </c>
      <c r="U28" s="2"/>
      <c r="V28" s="7">
        <f t="shared" si="9"/>
        <v>5.7949426821420911E-3</v>
      </c>
      <c r="W28" s="2"/>
      <c r="X28" s="6">
        <f t="shared" si="10"/>
        <v>-188.92000000000007</v>
      </c>
      <c r="Y28" s="2"/>
      <c r="Z28" s="7">
        <f t="shared" si="11"/>
        <v>-9.7121118651038493E-2</v>
      </c>
    </row>
    <row r="29" spans="1:26" s="24" customFormat="1" hidden="1" outlineLevel="2" x14ac:dyDescent="0.3">
      <c r="A29" s="28"/>
      <c r="B29" s="11" t="str">
        <f>CONCATENATE("          ", "6156", " - ", "EMPLOYEE MEALS")</f>
        <v xml:space="preserve">          6156 - EMPLOYEE MEALS</v>
      </c>
      <c r="C29" s="11"/>
      <c r="D29" s="6">
        <v>73.75</v>
      </c>
      <c r="E29" s="2"/>
      <c r="F29" s="7">
        <f t="shared" si="4"/>
        <v>-4.9179781275006671E-3</v>
      </c>
      <c r="G29" s="2"/>
      <c r="H29" s="6"/>
      <c r="I29" s="2"/>
      <c r="J29" s="7">
        <f t="shared" si="5"/>
        <v>0</v>
      </c>
      <c r="K29" s="2"/>
      <c r="L29" s="6">
        <f t="shared" si="6"/>
        <v>73.75</v>
      </c>
      <c r="M29" s="2"/>
      <c r="N29" s="7">
        <f t="shared" si="7"/>
        <v>0</v>
      </c>
      <c r="O29" s="11"/>
      <c r="P29" s="6">
        <v>355</v>
      </c>
      <c r="Q29" s="2"/>
      <c r="R29" s="7">
        <f t="shared" si="8"/>
        <v>1.2260488761794246E-3</v>
      </c>
      <c r="S29" s="2"/>
      <c r="T29" s="6"/>
      <c r="U29" s="2"/>
      <c r="V29" s="7">
        <f t="shared" si="9"/>
        <v>0</v>
      </c>
      <c r="W29" s="2"/>
      <c r="X29" s="6">
        <f t="shared" si="10"/>
        <v>355</v>
      </c>
      <c r="Y29" s="2"/>
      <c r="Z29" s="7">
        <f t="shared" si="11"/>
        <v>0</v>
      </c>
    </row>
    <row r="30" spans="1:26" s="29" customFormat="1" outlineLevel="1" collapsed="1" x14ac:dyDescent="0.3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11517.15</v>
      </c>
      <c r="E30" s="1"/>
      <c r="F30" s="5">
        <f t="shared" ref="F30:F36" si="12">IF(D$12=0,0,D30/D$12)</f>
        <v>-0.76801480394771937</v>
      </c>
      <c r="G30" s="1"/>
      <c r="H30" s="1">
        <f>SUM(OSRRefH22_1x_0)</f>
        <v>12559.970000000001</v>
      </c>
      <c r="I30" s="1"/>
      <c r="J30" s="5">
        <f t="shared" ref="J30:J36" si="13">IF(H$12=0,0,H30/H$12)</f>
        <v>0.94971417769376187</v>
      </c>
      <c r="K30" s="1"/>
      <c r="L30" s="1">
        <f t="shared" ref="L30:L36" si="14">+D30-H30</f>
        <v>-1042.8200000000015</v>
      </c>
      <c r="M30" s="1"/>
      <c r="N30" s="5">
        <f t="shared" ref="N30:N36" si="15">IF(H30=0,0,L30/H30)</f>
        <v>-8.3027268377233496E-2</v>
      </c>
      <c r="O30" s="14"/>
      <c r="P30" s="1">
        <f>SUM(OSRRefP22_1x_0)</f>
        <v>88963.21</v>
      </c>
      <c r="Q30" s="1"/>
      <c r="R30" s="5">
        <f t="shared" ref="R30:R36" si="16">IF(P$12=0,0,P30/P$12)</f>
        <v>0.30724857363891311</v>
      </c>
      <c r="S30" s="1"/>
      <c r="T30" s="1">
        <f>SUM(OSRRefT22_1x_0)</f>
        <v>85215.37</v>
      </c>
      <c r="U30" s="1"/>
      <c r="V30" s="5">
        <f t="shared" ref="V30:V36" si="17">IF(T$12=0,0,T30/T$12)</f>
        <v>0.2538649932076551</v>
      </c>
      <c r="W30" s="1"/>
      <c r="X30" s="1">
        <f t="shared" ref="X30:X36" si="18">+P30-T30</f>
        <v>3747.8400000000111</v>
      </c>
      <c r="Y30" s="1"/>
      <c r="Z30" s="5">
        <f t="shared" ref="Z30:Z36" si="19">IF(T30=0,0,X30/T30)</f>
        <v>4.3980798299649598E-2</v>
      </c>
    </row>
    <row r="31" spans="1:26" s="24" customFormat="1" hidden="1" outlineLevel="2" x14ac:dyDescent="0.3">
      <c r="A31" s="28"/>
      <c r="B31" s="11" t="str">
        <f>CONCATENATE("          ", "6001", " - ", "ADMINISTRATIVE SALARIES")</f>
        <v xml:space="preserve">          6001 - ADMINISTRATIVE SALARIES</v>
      </c>
      <c r="C31" s="11"/>
      <c r="D31" s="6">
        <v>4658.26</v>
      </c>
      <c r="E31" s="2"/>
      <c r="F31" s="7">
        <f t="shared" si="12"/>
        <v>-0.31063350226727127</v>
      </c>
      <c r="G31" s="2"/>
      <c r="H31" s="6">
        <v>3785.15</v>
      </c>
      <c r="I31" s="2"/>
      <c r="J31" s="7">
        <f t="shared" si="13"/>
        <v>0.2862117202268431</v>
      </c>
      <c r="K31" s="2"/>
      <c r="L31" s="6">
        <f t="shared" si="14"/>
        <v>873.11000000000013</v>
      </c>
      <c r="M31" s="2"/>
      <c r="N31" s="7">
        <f t="shared" si="15"/>
        <v>0.23066721266000029</v>
      </c>
      <c r="O31" s="11"/>
      <c r="P31" s="6">
        <v>28334.79</v>
      </c>
      <c r="Q31" s="2"/>
      <c r="R31" s="7">
        <f t="shared" si="16"/>
        <v>9.7858697003605624E-2</v>
      </c>
      <c r="S31" s="2"/>
      <c r="T31" s="6">
        <v>25654.89</v>
      </c>
      <c r="U31" s="2"/>
      <c r="V31" s="7">
        <f t="shared" si="17"/>
        <v>7.6428448008770467E-2</v>
      </c>
      <c r="W31" s="2"/>
      <c r="X31" s="6">
        <f t="shared" si="18"/>
        <v>2679.9000000000015</v>
      </c>
      <c r="Y31" s="2"/>
      <c r="Z31" s="7">
        <f t="shared" si="19"/>
        <v>0.10445961764014586</v>
      </c>
    </row>
    <row r="32" spans="1:26" s="24" customFormat="1" hidden="1" outlineLevel="2" x14ac:dyDescent="0.3">
      <c r="A32" s="28"/>
      <c r="B32" s="11" t="str">
        <f>CONCATENATE("          ", "6002", " - ", "STAFF SALARIES")</f>
        <v xml:space="preserve">          6002 - STAFF SALARIES</v>
      </c>
      <c r="C32" s="11"/>
      <c r="D32" s="6">
        <v>1360</v>
      </c>
      <c r="E32" s="2"/>
      <c r="F32" s="7">
        <f t="shared" si="12"/>
        <v>-9.0690850893571623E-2</v>
      </c>
      <c r="G32" s="2"/>
      <c r="H32" s="6">
        <v>1939.95</v>
      </c>
      <c r="I32" s="2"/>
      <c r="J32" s="7">
        <f t="shared" si="13"/>
        <v>0.14668809073724007</v>
      </c>
      <c r="K32" s="2"/>
      <c r="L32" s="6">
        <f t="shared" si="14"/>
        <v>-579.95000000000005</v>
      </c>
      <c r="M32" s="2"/>
      <c r="N32" s="7">
        <f t="shared" si="15"/>
        <v>-0.29895100389185292</v>
      </c>
      <c r="O32" s="11"/>
      <c r="P32" s="6">
        <v>11552.57</v>
      </c>
      <c r="Q32" s="2"/>
      <c r="R32" s="7">
        <f t="shared" si="16"/>
        <v>3.9898635114039814E-2</v>
      </c>
      <c r="S32" s="2"/>
      <c r="T32" s="6">
        <v>13693.79</v>
      </c>
      <c r="U32" s="2"/>
      <c r="V32" s="7">
        <f t="shared" si="17"/>
        <v>4.0795151219047171E-2</v>
      </c>
      <c r="W32" s="2"/>
      <c r="X32" s="6">
        <f t="shared" si="18"/>
        <v>-2141.2200000000012</v>
      </c>
      <c r="Y32" s="2"/>
      <c r="Z32" s="7">
        <f t="shared" si="19"/>
        <v>-0.15636430820101674</v>
      </c>
    </row>
    <row r="33" spans="1:26" s="24" customFormat="1" hidden="1" outlineLevel="2" x14ac:dyDescent="0.3">
      <c r="A33" s="28"/>
      <c r="B33" s="11" t="str">
        <f>CONCATENATE("          ", "6004", " - ", "STAFF HOURLY")</f>
        <v xml:space="preserve">          6004 - STAFF HOURLY</v>
      </c>
      <c r="C33" s="11"/>
      <c r="D33" s="6">
        <v>1000.06</v>
      </c>
      <c r="E33" s="2"/>
      <c r="F33" s="7">
        <f t="shared" si="12"/>
        <v>-6.6688450253400908E-2</v>
      </c>
      <c r="G33" s="2"/>
      <c r="H33" s="6"/>
      <c r="I33" s="2"/>
      <c r="J33" s="7">
        <f t="shared" si="13"/>
        <v>0</v>
      </c>
      <c r="K33" s="2"/>
      <c r="L33" s="6">
        <f t="shared" si="14"/>
        <v>1000.06</v>
      </c>
      <c r="M33" s="2"/>
      <c r="N33" s="7">
        <f t="shared" si="15"/>
        <v>0</v>
      </c>
      <c r="O33" s="11"/>
      <c r="P33" s="6">
        <v>8152.38</v>
      </c>
      <c r="Q33" s="2"/>
      <c r="R33" s="7">
        <f t="shared" si="16"/>
        <v>2.8155538977993288E-2</v>
      </c>
      <c r="S33" s="2"/>
      <c r="T33" s="6"/>
      <c r="U33" s="2"/>
      <c r="V33" s="7">
        <f t="shared" si="17"/>
        <v>0</v>
      </c>
      <c r="W33" s="2"/>
      <c r="X33" s="6">
        <f t="shared" si="18"/>
        <v>8152.38</v>
      </c>
      <c r="Y33" s="2"/>
      <c r="Z33" s="7">
        <f t="shared" si="19"/>
        <v>0</v>
      </c>
    </row>
    <row r="34" spans="1:26" s="24" customFormat="1" hidden="1" outlineLevel="2" x14ac:dyDescent="0.3">
      <c r="A34" s="28"/>
      <c r="B34" s="11" t="str">
        <f>CONCATENATE("          ", "6005", " - ", "TEMPORARY WAGES-HOURLY")</f>
        <v xml:space="preserve">          6005 - TEMPORARY WAGES-HOURLY</v>
      </c>
      <c r="C34" s="11"/>
      <c r="D34" s="6">
        <v>4211.55</v>
      </c>
      <c r="E34" s="2"/>
      <c r="F34" s="7">
        <f t="shared" si="12"/>
        <v>-0.28084489197119233</v>
      </c>
      <c r="G34" s="2"/>
      <c r="H34" s="6">
        <v>5819.39</v>
      </c>
      <c r="I34" s="2"/>
      <c r="J34" s="7">
        <f t="shared" si="13"/>
        <v>0.44002948960302463</v>
      </c>
      <c r="K34" s="2"/>
      <c r="L34" s="6">
        <f t="shared" si="14"/>
        <v>-1607.8400000000001</v>
      </c>
      <c r="M34" s="2"/>
      <c r="N34" s="7">
        <f t="shared" si="15"/>
        <v>-0.27629012662839231</v>
      </c>
      <c r="O34" s="11"/>
      <c r="P34" s="6">
        <v>37027.67</v>
      </c>
      <c r="Q34" s="2"/>
      <c r="R34" s="7">
        <f t="shared" si="16"/>
        <v>0.12788093856631716</v>
      </c>
      <c r="S34" s="2"/>
      <c r="T34" s="6">
        <v>39166.15</v>
      </c>
      <c r="U34" s="2"/>
      <c r="V34" s="7">
        <f t="shared" si="17"/>
        <v>0.11667982435234396</v>
      </c>
      <c r="W34" s="2"/>
      <c r="X34" s="6">
        <f t="shared" si="18"/>
        <v>-2138.4800000000032</v>
      </c>
      <c r="Y34" s="2"/>
      <c r="Z34" s="7">
        <f t="shared" si="19"/>
        <v>-5.4600209619786552E-2</v>
      </c>
    </row>
    <row r="35" spans="1:26" s="24" customFormat="1" hidden="1" outlineLevel="2" x14ac:dyDescent="0.3">
      <c r="A35" s="28"/>
      <c r="B35" s="11" t="str">
        <f>CONCATENATE("          ", "6007", " - ", "STUDENT HOURLY")</f>
        <v xml:space="preserve">          6007 - STUDENT HOURLY</v>
      </c>
      <c r="C35" s="11"/>
      <c r="D35" s="6">
        <v>287.27999999999997</v>
      </c>
      <c r="E35" s="2"/>
      <c r="F35" s="7">
        <f t="shared" si="12"/>
        <v>-1.9157108562283275E-2</v>
      </c>
      <c r="G35" s="2"/>
      <c r="H35" s="6">
        <v>612</v>
      </c>
      <c r="I35" s="2"/>
      <c r="J35" s="7">
        <f t="shared" si="13"/>
        <v>4.6275992438563326E-2</v>
      </c>
      <c r="K35" s="2"/>
      <c r="L35" s="6">
        <f t="shared" si="14"/>
        <v>-324.72000000000003</v>
      </c>
      <c r="M35" s="2"/>
      <c r="N35" s="7">
        <f t="shared" si="15"/>
        <v>-0.53058823529411769</v>
      </c>
      <c r="O35" s="11"/>
      <c r="P35" s="6">
        <v>3731.58</v>
      </c>
      <c r="Q35" s="2"/>
      <c r="R35" s="7">
        <f t="shared" si="16"/>
        <v>1.2887604127813005E-2</v>
      </c>
      <c r="S35" s="2"/>
      <c r="T35" s="6">
        <v>3927.98</v>
      </c>
      <c r="U35" s="2"/>
      <c r="V35" s="7">
        <f t="shared" si="17"/>
        <v>1.1701839891322481E-2</v>
      </c>
      <c r="W35" s="2"/>
      <c r="X35" s="6">
        <f t="shared" si="18"/>
        <v>-196.40000000000009</v>
      </c>
      <c r="Y35" s="2"/>
      <c r="Z35" s="7">
        <f t="shared" si="19"/>
        <v>-5.0000254583780997E-2</v>
      </c>
    </row>
    <row r="36" spans="1:26" s="24" customFormat="1" hidden="1" outlineLevel="2" x14ac:dyDescent="0.3">
      <c r="A36" s="28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12"/>
        <v>0</v>
      </c>
      <c r="G36" s="2"/>
      <c r="H36" s="6">
        <v>403.48</v>
      </c>
      <c r="I36" s="2"/>
      <c r="J36" s="7">
        <f t="shared" si="13"/>
        <v>3.0508884688090737E-2</v>
      </c>
      <c r="K36" s="2"/>
      <c r="L36" s="6">
        <f t="shared" si="14"/>
        <v>-403.48</v>
      </c>
      <c r="M36" s="2"/>
      <c r="N36" s="7">
        <f t="shared" si="15"/>
        <v>-1</v>
      </c>
      <c r="O36" s="11"/>
      <c r="P36" s="6">
        <v>164.22</v>
      </c>
      <c r="Q36" s="2"/>
      <c r="R36" s="7">
        <f t="shared" si="16"/>
        <v>5.6715984914418338E-4</v>
      </c>
      <c r="S36" s="2"/>
      <c r="T36" s="6">
        <v>2772.56</v>
      </c>
      <c r="U36" s="2"/>
      <c r="V36" s="7">
        <f t="shared" si="17"/>
        <v>8.2597297361710238E-3</v>
      </c>
      <c r="W36" s="2"/>
      <c r="X36" s="6">
        <f t="shared" si="18"/>
        <v>-2608.34</v>
      </c>
      <c r="Y36" s="2"/>
      <c r="Z36" s="7">
        <f t="shared" si="19"/>
        <v>-0.94076954150676639</v>
      </c>
    </row>
    <row r="37" spans="1:26" s="29" customFormat="1" outlineLevel="1" collapsed="1" x14ac:dyDescent="0.3">
      <c r="A37" s="27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0</v>
      </c>
      <c r="E37" s="1"/>
      <c r="F37" s="5">
        <f t="shared" ref="F37:F43" si="20">IF(D$12=0,0,D37/D$12)</f>
        <v>0</v>
      </c>
      <c r="G37" s="1"/>
      <c r="H37" s="1">
        <f>SUM(OSRRefH22_2x_0)</f>
        <v>0</v>
      </c>
      <c r="I37" s="1"/>
      <c r="J37" s="5">
        <f t="shared" ref="J37:J43" si="21">IF(H$12=0,0,H37/H$12)</f>
        <v>0</v>
      </c>
      <c r="K37" s="1"/>
      <c r="L37" s="1">
        <f t="shared" ref="L37:L43" si="22">+D37-H37</f>
        <v>0</v>
      </c>
      <c r="M37" s="1"/>
      <c r="N37" s="5">
        <f t="shared" ref="N37:N43" si="23">IF(H37=0,0,L37/H37)</f>
        <v>0</v>
      </c>
      <c r="O37" s="14"/>
      <c r="P37" s="1">
        <f>SUM(OSRRefP22_2x_0)</f>
        <v>112.46</v>
      </c>
      <c r="Q37" s="1"/>
      <c r="R37" s="5">
        <f t="shared" ref="R37:R43" si="24">IF(P$12=0,0,P37/P$12)</f>
        <v>3.8839846933841712E-4</v>
      </c>
      <c r="S37" s="1"/>
      <c r="T37" s="1">
        <f>SUM(OSRRefT22_2x_0)</f>
        <v>0</v>
      </c>
      <c r="U37" s="1"/>
      <c r="V37" s="5">
        <f t="shared" ref="V37:V43" si="25">IF(T$12=0,0,T37/T$12)</f>
        <v>0</v>
      </c>
      <c r="W37" s="1"/>
      <c r="X37" s="1">
        <f t="shared" ref="X37:X43" si="26">+P37-T37</f>
        <v>112.46</v>
      </c>
      <c r="Y37" s="1"/>
      <c r="Z37" s="5">
        <f t="shared" ref="Z37:Z43" si="27">IF(T37=0,0,X37/T37)</f>
        <v>0</v>
      </c>
    </row>
    <row r="38" spans="1:26" s="24" customFormat="1" hidden="1" outlineLevel="2" x14ac:dyDescent="0.3">
      <c r="A38" s="28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20"/>
        <v>0</v>
      </c>
      <c r="G38" s="2"/>
      <c r="H38" s="6"/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>
        <v>112.46</v>
      </c>
      <c r="Q38" s="2"/>
      <c r="R38" s="7">
        <f t="shared" si="24"/>
        <v>3.8839846933841712E-4</v>
      </c>
      <c r="S38" s="2"/>
      <c r="T38" s="6"/>
      <c r="U38" s="2"/>
      <c r="V38" s="7">
        <f t="shared" si="25"/>
        <v>0</v>
      </c>
      <c r="W38" s="2"/>
      <c r="X38" s="6">
        <f t="shared" si="26"/>
        <v>112.46</v>
      </c>
      <c r="Y38" s="2"/>
      <c r="Z38" s="7">
        <f t="shared" si="27"/>
        <v>0</v>
      </c>
    </row>
    <row r="39" spans="1:26" s="29" customFormat="1" outlineLevel="1" collapsed="1" x14ac:dyDescent="0.3">
      <c r="A39" s="27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SUM(OSRRefD22_3x_0)</f>
        <v>278</v>
      </c>
      <c r="E39" s="1"/>
      <c r="F39" s="5">
        <f t="shared" si="20"/>
        <v>-1.8538276873833023E-2</v>
      </c>
      <c r="G39" s="1"/>
      <c r="H39" s="1">
        <f>SUM(OSRRefH22_3x_0)</f>
        <v>45.41</v>
      </c>
      <c r="I39" s="1"/>
      <c r="J39" s="5">
        <f t="shared" si="21"/>
        <v>3.4336483931947069E-3</v>
      </c>
      <c r="K39" s="1"/>
      <c r="L39" s="1">
        <f t="shared" si="22"/>
        <v>232.59</v>
      </c>
      <c r="M39" s="1"/>
      <c r="N39" s="5">
        <f t="shared" si="23"/>
        <v>5.1219995595683772</v>
      </c>
      <c r="O39" s="14"/>
      <c r="P39" s="1">
        <f>SUM(OSRRefP22_3x_0)</f>
        <v>1810.5</v>
      </c>
      <c r="Q39" s="1"/>
      <c r="R39" s="5">
        <f t="shared" si="24"/>
        <v>6.2528492685150648E-3</v>
      </c>
      <c r="S39" s="1"/>
      <c r="T39" s="1">
        <f>SUM(OSRRefT22_3x_0)</f>
        <v>619.58000000000004</v>
      </c>
      <c r="U39" s="1"/>
      <c r="V39" s="5">
        <f t="shared" si="25"/>
        <v>1.8457899377964204E-3</v>
      </c>
      <c r="W39" s="1"/>
      <c r="X39" s="1">
        <f t="shared" si="26"/>
        <v>1190.92</v>
      </c>
      <c r="Y39" s="1"/>
      <c r="Z39" s="5">
        <f t="shared" si="27"/>
        <v>1.9221408050614932</v>
      </c>
    </row>
    <row r="40" spans="1:26" s="24" customFormat="1" hidden="1" outlineLevel="2" x14ac:dyDescent="0.3">
      <c r="A40" s="28"/>
      <c r="B40" s="11" t="str">
        <f>CONCATENATE("          ", "6381", " - ", "BANK/CREDIT CARD FEES")</f>
        <v xml:space="preserve">          6381 - BANK/CREDIT CARD FEES</v>
      </c>
      <c r="C40" s="11"/>
      <c r="D40" s="6">
        <v>278</v>
      </c>
      <c r="E40" s="2"/>
      <c r="F40" s="7">
        <f t="shared" si="20"/>
        <v>-1.8538276873833023E-2</v>
      </c>
      <c r="G40" s="2"/>
      <c r="H40" s="6">
        <v>45.41</v>
      </c>
      <c r="I40" s="2"/>
      <c r="J40" s="7">
        <f t="shared" si="21"/>
        <v>3.4336483931947069E-3</v>
      </c>
      <c r="K40" s="2"/>
      <c r="L40" s="6">
        <f t="shared" si="22"/>
        <v>232.59</v>
      </c>
      <c r="M40" s="2"/>
      <c r="N40" s="7">
        <f t="shared" si="23"/>
        <v>5.1219995595683772</v>
      </c>
      <c r="O40" s="11"/>
      <c r="P40" s="6">
        <v>1810.5</v>
      </c>
      <c r="Q40" s="2"/>
      <c r="R40" s="7">
        <f t="shared" si="24"/>
        <v>6.2528492685150648E-3</v>
      </c>
      <c r="S40" s="2"/>
      <c r="T40" s="6">
        <v>619.58000000000004</v>
      </c>
      <c r="U40" s="2"/>
      <c r="V40" s="7">
        <f t="shared" si="25"/>
        <v>1.8457899377964204E-3</v>
      </c>
      <c r="W40" s="2"/>
      <c r="X40" s="6">
        <f t="shared" si="26"/>
        <v>1190.92</v>
      </c>
      <c r="Y40" s="2"/>
      <c r="Z40" s="7">
        <f t="shared" si="27"/>
        <v>1.9221408050614932</v>
      </c>
    </row>
    <row r="41" spans="1:26" s="29" customFormat="1" outlineLevel="1" collapsed="1" x14ac:dyDescent="0.3">
      <c r="A41" s="27"/>
      <c r="B41" s="14" t="str">
        <f>CONCATENATE("     ","Freight out/Postage                               ")</f>
        <v xml:space="preserve">     Freight out/Postage                               </v>
      </c>
      <c r="C41" s="14"/>
      <c r="D41" s="1">
        <f>SUM(OSRRefD22_4x_0)</f>
        <v>0</v>
      </c>
      <c r="E41" s="1"/>
      <c r="F41" s="5">
        <f t="shared" si="20"/>
        <v>0</v>
      </c>
      <c r="G41" s="1"/>
      <c r="H41" s="1">
        <f>SUM(OSRRefH22_4x_0)</f>
        <v>0</v>
      </c>
      <c r="I41" s="1"/>
      <c r="J41" s="5">
        <f t="shared" si="21"/>
        <v>0</v>
      </c>
      <c r="K41" s="1"/>
      <c r="L41" s="1">
        <f t="shared" si="22"/>
        <v>0</v>
      </c>
      <c r="M41" s="1"/>
      <c r="N41" s="5">
        <f t="shared" si="23"/>
        <v>0</v>
      </c>
      <c r="O41" s="14"/>
      <c r="P41" s="1">
        <f>SUM(OSRRefP22_4x_0)</f>
        <v>0.62</v>
      </c>
      <c r="Q41" s="1"/>
      <c r="R41" s="5">
        <f t="shared" si="24"/>
        <v>2.1412684598063188E-6</v>
      </c>
      <c r="S41" s="1"/>
      <c r="T41" s="1">
        <f>SUM(OSRRefT22_4x_0)</f>
        <v>2.12</v>
      </c>
      <c r="U41" s="1"/>
      <c r="V41" s="5">
        <f t="shared" si="25"/>
        <v>6.3156891250983107E-6</v>
      </c>
      <c r="W41" s="1"/>
      <c r="X41" s="1">
        <f t="shared" si="26"/>
        <v>-1.5</v>
      </c>
      <c r="Y41" s="1"/>
      <c r="Z41" s="5">
        <f t="shared" si="27"/>
        <v>-0.70754716981132071</v>
      </c>
    </row>
    <row r="42" spans="1:26" s="24" customFormat="1" hidden="1" outlineLevel="2" x14ac:dyDescent="0.3">
      <c r="A42" s="28"/>
      <c r="B42" s="11" t="str">
        <f>CONCATENATE("          ", "6305", " - ", "FREIGHT OUT")</f>
        <v xml:space="preserve">          6305 - FREIGHT OUT</v>
      </c>
      <c r="C42" s="11"/>
      <c r="D42" s="6"/>
      <c r="E42" s="2"/>
      <c r="F42" s="7">
        <f t="shared" si="20"/>
        <v>0</v>
      </c>
      <c r="G42" s="2"/>
      <c r="H42" s="6"/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0.62</v>
      </c>
      <c r="Q42" s="2"/>
      <c r="R42" s="7">
        <f t="shared" si="24"/>
        <v>2.1412684598063188E-6</v>
      </c>
      <c r="S42" s="2"/>
      <c r="T42" s="6">
        <v>1.62</v>
      </c>
      <c r="U42" s="2"/>
      <c r="V42" s="7">
        <f t="shared" si="25"/>
        <v>4.8261398031411622E-6</v>
      </c>
      <c r="W42" s="2"/>
      <c r="X42" s="6">
        <f t="shared" si="26"/>
        <v>-1</v>
      </c>
      <c r="Y42" s="2"/>
      <c r="Z42" s="7">
        <f t="shared" si="27"/>
        <v>-0.61728395061728392</v>
      </c>
    </row>
    <row r="43" spans="1:26" s="24" customFormat="1" hidden="1" outlineLevel="2" x14ac:dyDescent="0.3">
      <c r="A43" s="28"/>
      <c r="B43" s="11" t="str">
        <f>CONCATENATE("          ", "6307", " - ", "POSTAGE")</f>
        <v xml:space="preserve">          6307 - POSTAGE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0.5</v>
      </c>
      <c r="U43" s="2"/>
      <c r="V43" s="7">
        <f t="shared" si="25"/>
        <v>1.4895493219571487E-6</v>
      </c>
      <c r="W43" s="2"/>
      <c r="X43" s="6">
        <f t="shared" si="26"/>
        <v>-0.5</v>
      </c>
      <c r="Y43" s="2"/>
      <c r="Z43" s="7">
        <f t="shared" si="27"/>
        <v>-1</v>
      </c>
    </row>
    <row r="44" spans="1:26" s="29" customFormat="1" outlineLevel="1" collapsed="1" x14ac:dyDescent="0.3">
      <c r="A44" s="27"/>
      <c r="B44" s="14" t="str">
        <f>CONCATENATE("     ","Insurance                                         ")</f>
        <v xml:space="preserve">     Insurance                                         </v>
      </c>
      <c r="C44" s="14"/>
      <c r="D44" s="1">
        <f>SUM(OSRRefD22_5x_0)</f>
        <v>39.43</v>
      </c>
      <c r="E44" s="1"/>
      <c r="F44" s="5">
        <f t="shared" ref="F44:F50" si="28">IF(D$12=0,0,D44/D$12)</f>
        <v>-2.6293678314217124E-3</v>
      </c>
      <c r="G44" s="1"/>
      <c r="H44" s="1">
        <f>SUM(OSRRefH22_5x_0)</f>
        <v>29.01</v>
      </c>
      <c r="I44" s="1"/>
      <c r="J44" s="5">
        <f t="shared" ref="J44:J50" si="29">IF(H$12=0,0,H44/H$12)</f>
        <v>2.1935727788279773E-3</v>
      </c>
      <c r="K44" s="1"/>
      <c r="L44" s="1">
        <f t="shared" ref="L44:L50" si="30">+D44-H44</f>
        <v>10.419999999999998</v>
      </c>
      <c r="M44" s="1"/>
      <c r="N44" s="5">
        <f t="shared" ref="N44:N50" si="31">IF(H44=0,0,L44/H44)</f>
        <v>0.35918648741813158</v>
      </c>
      <c r="O44" s="14"/>
      <c r="P44" s="1">
        <f>SUM(OSRRefP22_5x_0)</f>
        <v>236.58</v>
      </c>
      <c r="Q44" s="1"/>
      <c r="R44" s="5">
        <f t="shared" ref="R44:R50" si="32">IF(P$12=0,0,P44/P$12)</f>
        <v>8.1706660035641766E-4</v>
      </c>
      <c r="S44" s="1"/>
      <c r="T44" s="1">
        <f>SUM(OSRRefT22_5x_0)</f>
        <v>174.06</v>
      </c>
      <c r="U44" s="1"/>
      <c r="V44" s="5">
        <f t="shared" ref="V44:V50" si="33">IF(T$12=0,0,T44/T$12)</f>
        <v>5.1854190995972256E-4</v>
      </c>
      <c r="W44" s="1"/>
      <c r="X44" s="1">
        <f t="shared" ref="X44:X50" si="34">+P44-T44</f>
        <v>62.52000000000001</v>
      </c>
      <c r="Y44" s="1"/>
      <c r="Z44" s="5">
        <f t="shared" ref="Z44:Z50" si="35">IF(T44=0,0,X44/T44)</f>
        <v>0.35918648741813175</v>
      </c>
    </row>
    <row r="45" spans="1:26" s="24" customFormat="1" hidden="1" outlineLevel="2" x14ac:dyDescent="0.3">
      <c r="A45" s="28"/>
      <c r="B45" s="11" t="str">
        <f>CONCATENATE("          ", "6314", " - ", "LIABILITY INSURANCE")</f>
        <v xml:space="preserve">          6314 - LIABILITY INSURANCE</v>
      </c>
      <c r="C45" s="11"/>
      <c r="D45" s="6">
        <v>39.43</v>
      </c>
      <c r="E45" s="2"/>
      <c r="F45" s="7">
        <f t="shared" si="28"/>
        <v>-2.6293678314217124E-3</v>
      </c>
      <c r="G45" s="2"/>
      <c r="H45" s="6">
        <v>29.01</v>
      </c>
      <c r="I45" s="2"/>
      <c r="J45" s="7">
        <f t="shared" si="29"/>
        <v>2.1935727788279773E-3</v>
      </c>
      <c r="K45" s="2"/>
      <c r="L45" s="6">
        <f t="shared" si="30"/>
        <v>10.419999999999998</v>
      </c>
      <c r="M45" s="2"/>
      <c r="N45" s="7">
        <f t="shared" si="31"/>
        <v>0.35918648741813158</v>
      </c>
      <c r="O45" s="11"/>
      <c r="P45" s="6">
        <v>236.58</v>
      </c>
      <c r="Q45" s="2"/>
      <c r="R45" s="7">
        <f t="shared" si="32"/>
        <v>8.1706660035641766E-4</v>
      </c>
      <c r="S45" s="2"/>
      <c r="T45" s="6">
        <v>174.06</v>
      </c>
      <c r="U45" s="2"/>
      <c r="V45" s="7">
        <f t="shared" si="33"/>
        <v>5.1854190995972256E-4</v>
      </c>
      <c r="W45" s="2"/>
      <c r="X45" s="6">
        <f t="shared" si="34"/>
        <v>62.52000000000001</v>
      </c>
      <c r="Y45" s="2"/>
      <c r="Z45" s="7">
        <f t="shared" si="35"/>
        <v>0.35918648741813175</v>
      </c>
    </row>
    <row r="46" spans="1:26" s="29" customFormat="1" outlineLevel="1" collapsed="1" x14ac:dyDescent="0.3">
      <c r="A46" s="27"/>
      <c r="B46" s="14" t="str">
        <f>CONCATENATE("     ","Rent                                              ")</f>
        <v xml:space="preserve">     Rent                                              </v>
      </c>
      <c r="C46" s="14"/>
      <c r="D46" s="1">
        <f>SUM(OSRRefD22_6x_0)</f>
        <v>800</v>
      </c>
      <c r="E46" s="1"/>
      <c r="F46" s="5">
        <f t="shared" si="28"/>
        <v>-5.3347559349159773E-2</v>
      </c>
      <c r="G46" s="1"/>
      <c r="H46" s="1">
        <f>SUM(OSRRefH22_6x_0)</f>
        <v>800</v>
      </c>
      <c r="I46" s="1"/>
      <c r="J46" s="5">
        <f t="shared" si="29"/>
        <v>6.0491493383742913E-2</v>
      </c>
      <c r="K46" s="1"/>
      <c r="L46" s="1">
        <f t="shared" si="30"/>
        <v>0</v>
      </c>
      <c r="M46" s="1"/>
      <c r="N46" s="5">
        <f t="shared" si="31"/>
        <v>0</v>
      </c>
      <c r="O46" s="14"/>
      <c r="P46" s="1">
        <f>SUM(OSRRefP22_6x_0)</f>
        <v>4800</v>
      </c>
      <c r="Q46" s="1"/>
      <c r="R46" s="5">
        <f t="shared" si="32"/>
        <v>1.6577562269468275E-2</v>
      </c>
      <c r="S46" s="1"/>
      <c r="T46" s="1">
        <f>SUM(OSRRefT22_6x_0)</f>
        <v>4800</v>
      </c>
      <c r="U46" s="1"/>
      <c r="V46" s="5">
        <f t="shared" si="33"/>
        <v>1.4299673490788627E-2</v>
      </c>
      <c r="W46" s="1"/>
      <c r="X46" s="1">
        <f t="shared" si="34"/>
        <v>0</v>
      </c>
      <c r="Y46" s="1"/>
      <c r="Z46" s="5">
        <f t="shared" si="35"/>
        <v>0</v>
      </c>
    </row>
    <row r="47" spans="1:26" s="24" customFormat="1" hidden="1" outlineLevel="2" x14ac:dyDescent="0.3">
      <c r="A47" s="28"/>
      <c r="B47" s="11" t="str">
        <f>CONCATENATE("          ", "6273", " - ", "RENT")</f>
        <v xml:space="preserve">          6273 - RENT</v>
      </c>
      <c r="C47" s="11"/>
      <c r="D47" s="6">
        <v>800</v>
      </c>
      <c r="E47" s="2"/>
      <c r="F47" s="7">
        <f t="shared" si="28"/>
        <v>-5.3347559349159773E-2</v>
      </c>
      <c r="G47" s="2"/>
      <c r="H47" s="6">
        <v>800</v>
      </c>
      <c r="I47" s="2"/>
      <c r="J47" s="7">
        <f t="shared" si="29"/>
        <v>6.0491493383742913E-2</v>
      </c>
      <c r="K47" s="2"/>
      <c r="L47" s="6">
        <f t="shared" si="30"/>
        <v>0</v>
      </c>
      <c r="M47" s="2"/>
      <c r="N47" s="7">
        <f t="shared" si="31"/>
        <v>0</v>
      </c>
      <c r="O47" s="11"/>
      <c r="P47" s="6">
        <v>4800</v>
      </c>
      <c r="Q47" s="2"/>
      <c r="R47" s="7">
        <f t="shared" si="32"/>
        <v>1.6577562269468275E-2</v>
      </c>
      <c r="S47" s="2"/>
      <c r="T47" s="6">
        <v>4800</v>
      </c>
      <c r="U47" s="2"/>
      <c r="V47" s="7">
        <f t="shared" si="33"/>
        <v>1.4299673490788627E-2</v>
      </c>
      <c r="W47" s="2"/>
      <c r="X47" s="6">
        <f t="shared" si="34"/>
        <v>0</v>
      </c>
      <c r="Y47" s="2"/>
      <c r="Z47" s="7">
        <f t="shared" si="35"/>
        <v>0</v>
      </c>
    </row>
    <row r="48" spans="1:26" s="29" customFormat="1" outlineLevel="1" collapsed="1" x14ac:dyDescent="0.3">
      <c r="A48" s="27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SUM(OSRRefD22_7x_0)</f>
        <v>0</v>
      </c>
      <c r="E48" s="1"/>
      <c r="F48" s="5">
        <f t="shared" si="28"/>
        <v>0</v>
      </c>
      <c r="G48" s="1"/>
      <c r="H48" s="1">
        <f>SUM(OSRRefH22_7x_0)</f>
        <v>3087</v>
      </c>
      <c r="I48" s="1"/>
      <c r="J48" s="5">
        <f t="shared" si="29"/>
        <v>0.23342155009451795</v>
      </c>
      <c r="K48" s="1"/>
      <c r="L48" s="1">
        <f t="shared" si="30"/>
        <v>-3087</v>
      </c>
      <c r="M48" s="1"/>
      <c r="N48" s="5">
        <f t="shared" si="31"/>
        <v>-1</v>
      </c>
      <c r="O48" s="14"/>
      <c r="P48" s="1">
        <f>SUM(OSRRefP22_7x_0)</f>
        <v>122000.62</v>
      </c>
      <c r="Q48" s="1"/>
      <c r="R48" s="5">
        <f t="shared" si="32"/>
        <v>0.42134851561744513</v>
      </c>
      <c r="S48" s="1"/>
      <c r="T48" s="1">
        <f>SUM(OSRRefT22_7x_0)</f>
        <v>126914.9</v>
      </c>
      <c r="U48" s="1"/>
      <c r="V48" s="5">
        <f t="shared" si="33"/>
        <v>0.37809200648251862</v>
      </c>
      <c r="W48" s="1"/>
      <c r="X48" s="1">
        <f t="shared" si="34"/>
        <v>-4914.2799999999988</v>
      </c>
      <c r="Y48" s="1"/>
      <c r="Z48" s="5">
        <f t="shared" si="35"/>
        <v>-3.8721064272201289E-2</v>
      </c>
    </row>
    <row r="49" spans="1:26" s="24" customFormat="1" hidden="1" outlineLevel="2" x14ac:dyDescent="0.3">
      <c r="A49" s="28"/>
      <c r="B49" s="11" t="str">
        <f>CONCATENATE("          ", "6373", " - ", "MAINTENANCE CONTRACTS")</f>
        <v xml:space="preserve">          6373 - MAINTENANCE CONTRACTS</v>
      </c>
      <c r="C49" s="11"/>
      <c r="D49" s="6"/>
      <c r="E49" s="2"/>
      <c r="F49" s="7">
        <f t="shared" si="28"/>
        <v>0</v>
      </c>
      <c r="G49" s="2"/>
      <c r="H49" s="6">
        <v>3087</v>
      </c>
      <c r="I49" s="2"/>
      <c r="J49" s="7">
        <f t="shared" si="29"/>
        <v>0.23342155009451795</v>
      </c>
      <c r="K49" s="2"/>
      <c r="L49" s="6">
        <f t="shared" si="30"/>
        <v>-3087</v>
      </c>
      <c r="M49" s="2"/>
      <c r="N49" s="7">
        <f t="shared" si="31"/>
        <v>-1</v>
      </c>
      <c r="O49" s="11"/>
      <c r="P49" s="6">
        <v>122000.62</v>
      </c>
      <c r="Q49" s="2"/>
      <c r="R49" s="7">
        <f t="shared" si="32"/>
        <v>0.42134851561744513</v>
      </c>
      <c r="S49" s="2"/>
      <c r="T49" s="6">
        <v>120352.9</v>
      </c>
      <c r="U49" s="2"/>
      <c r="V49" s="7">
        <f t="shared" si="33"/>
        <v>0.35854316118115304</v>
      </c>
      <c r="W49" s="2"/>
      <c r="X49" s="6">
        <f t="shared" si="34"/>
        <v>1647.7200000000012</v>
      </c>
      <c r="Y49" s="2"/>
      <c r="Z49" s="7">
        <f t="shared" si="35"/>
        <v>1.3690737821855569E-2</v>
      </c>
    </row>
    <row r="50" spans="1:26" s="24" customFormat="1" hidden="1" outlineLevel="2" x14ac:dyDescent="0.3">
      <c r="A50" s="28"/>
      <c r="B50" s="11" t="str">
        <f>CONCATENATE("          ", "6375", " - ", "OUTSIDE REPAIRS &amp; MAINTENANCE")</f>
        <v xml:space="preserve">          6375 - OUTSIDE REPAIRS &amp; MAINTENANCE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/>
      <c r="Q50" s="2"/>
      <c r="R50" s="7">
        <f t="shared" si="32"/>
        <v>0</v>
      </c>
      <c r="S50" s="2"/>
      <c r="T50" s="6">
        <v>6562</v>
      </c>
      <c r="U50" s="2"/>
      <c r="V50" s="7">
        <f t="shared" si="33"/>
        <v>1.9548845301365619E-2</v>
      </c>
      <c r="W50" s="2"/>
      <c r="X50" s="6">
        <f t="shared" si="34"/>
        <v>-6562</v>
      </c>
      <c r="Y50" s="2"/>
      <c r="Z50" s="7">
        <f t="shared" si="35"/>
        <v>-1</v>
      </c>
    </row>
    <row r="51" spans="1:26" s="29" customFormat="1" outlineLevel="1" collapsed="1" x14ac:dyDescent="0.3">
      <c r="A51" s="27"/>
      <c r="B51" s="14" t="str">
        <f>CONCATENATE("     ","Supplies                                          ")</f>
        <v xml:space="preserve">     Supplies                                          </v>
      </c>
      <c r="C51" s="14"/>
      <c r="D51" s="1">
        <f>SUM(OSRRefD22_8x_0)</f>
        <v>30.62</v>
      </c>
      <c r="E51" s="1"/>
      <c r="F51" s="5">
        <f t="shared" ref="F51:F53" si="36">IF(D$12=0,0,D51/D$12)</f>
        <v>-2.0418778340890904E-3</v>
      </c>
      <c r="G51" s="1"/>
      <c r="H51" s="1">
        <f>SUM(OSRRefH22_8x_0)</f>
        <v>0</v>
      </c>
      <c r="I51" s="1"/>
      <c r="J51" s="5">
        <f t="shared" ref="J51:J53" si="37">IF(H$12=0,0,H51/H$12)</f>
        <v>0</v>
      </c>
      <c r="K51" s="1"/>
      <c r="L51" s="1">
        <f t="shared" ref="L51:L53" si="38">+D51-H51</f>
        <v>30.62</v>
      </c>
      <c r="M51" s="1"/>
      <c r="N51" s="5">
        <f t="shared" ref="N51:N53" si="39">IF(H51=0,0,L51/H51)</f>
        <v>0</v>
      </c>
      <c r="O51" s="14"/>
      <c r="P51" s="1">
        <f>SUM(OSRRefP22_8x_0)</f>
        <v>15555.09</v>
      </c>
      <c r="Q51" s="1"/>
      <c r="R51" s="5">
        <f t="shared" ref="R51:R53" si="40">IF(P$12=0,0,P51/P$12)</f>
        <v>5.3721973558788182E-2</v>
      </c>
      <c r="S51" s="1"/>
      <c r="T51" s="1">
        <f>SUM(OSRRefT22_8x_0)</f>
        <v>41271.699999999997</v>
      </c>
      <c r="U51" s="1"/>
      <c r="V51" s="5">
        <f t="shared" ref="V51:V53" si="41">IF(T$12=0,0,T51/T$12)</f>
        <v>0.1229524655020377</v>
      </c>
      <c r="W51" s="1"/>
      <c r="X51" s="1">
        <f t="shared" ref="X51:X53" si="42">+P51-T51</f>
        <v>-25716.609999999997</v>
      </c>
      <c r="Y51" s="1"/>
      <c r="Z51" s="5">
        <f t="shared" ref="Z51:Z53" si="43">IF(T51=0,0,X51/T51)</f>
        <v>-0.62310517860907111</v>
      </c>
    </row>
    <row r="52" spans="1:26" s="24" customFormat="1" hidden="1" outlineLevel="2" x14ac:dyDescent="0.3">
      <c r="A52" s="28"/>
      <c r="B52" s="11" t="str">
        <f>CONCATENATE("          ", "6241", " - ", "OFFICE EXPENSE")</f>
        <v xml:space="preserve">          6241 - OFFICE EXPENSE</v>
      </c>
      <c r="C52" s="11"/>
      <c r="D52" s="6">
        <v>30.62</v>
      </c>
      <c r="E52" s="2"/>
      <c r="F52" s="7">
        <f t="shared" si="36"/>
        <v>-2.0418778340890904E-3</v>
      </c>
      <c r="G52" s="2"/>
      <c r="H52" s="6"/>
      <c r="I52" s="2"/>
      <c r="J52" s="7">
        <f t="shared" si="37"/>
        <v>0</v>
      </c>
      <c r="K52" s="2"/>
      <c r="L52" s="6">
        <f t="shared" si="38"/>
        <v>30.62</v>
      </c>
      <c r="M52" s="2"/>
      <c r="N52" s="7">
        <f t="shared" si="39"/>
        <v>0</v>
      </c>
      <c r="O52" s="11"/>
      <c r="P52" s="6">
        <v>15538.55</v>
      </c>
      <c r="Q52" s="2"/>
      <c r="R52" s="7">
        <f t="shared" si="40"/>
        <v>5.3664850042134636E-2</v>
      </c>
      <c r="S52" s="2"/>
      <c r="T52" s="6">
        <v>41271.699999999997</v>
      </c>
      <c r="U52" s="2"/>
      <c r="V52" s="7">
        <f t="shared" si="41"/>
        <v>0.1229524655020377</v>
      </c>
      <c r="W52" s="2"/>
      <c r="X52" s="6">
        <f t="shared" si="42"/>
        <v>-25733.149999999998</v>
      </c>
      <c r="Y52" s="2"/>
      <c r="Z52" s="7">
        <f t="shared" si="43"/>
        <v>-0.62350593748258487</v>
      </c>
    </row>
    <row r="53" spans="1:26" s="24" customFormat="1" hidden="1" outlineLevel="2" x14ac:dyDescent="0.3">
      <c r="A53" s="28"/>
      <c r="B53" s="11" t="str">
        <f>CONCATENATE("          ", "6247", " - ", "STORE SUPPLIES")</f>
        <v xml:space="preserve">          6247 - STORE SUPPLIES</v>
      </c>
      <c r="C53" s="11"/>
      <c r="D53" s="6"/>
      <c r="E53" s="2"/>
      <c r="F53" s="7">
        <f t="shared" si="36"/>
        <v>0</v>
      </c>
      <c r="G53" s="2"/>
      <c r="H53" s="6"/>
      <c r="I53" s="2"/>
      <c r="J53" s="7">
        <f t="shared" si="37"/>
        <v>0</v>
      </c>
      <c r="K53" s="2"/>
      <c r="L53" s="6">
        <f t="shared" si="38"/>
        <v>0</v>
      </c>
      <c r="M53" s="2"/>
      <c r="N53" s="7">
        <f t="shared" si="39"/>
        <v>0</v>
      </c>
      <c r="O53" s="11"/>
      <c r="P53" s="6">
        <v>16.54</v>
      </c>
      <c r="Q53" s="2"/>
      <c r="R53" s="7">
        <f t="shared" si="40"/>
        <v>5.7123516653542758E-5</v>
      </c>
      <c r="S53" s="2"/>
      <c r="T53" s="6"/>
      <c r="U53" s="2"/>
      <c r="V53" s="7">
        <f t="shared" si="41"/>
        <v>0</v>
      </c>
      <c r="W53" s="2"/>
      <c r="X53" s="6">
        <f t="shared" si="42"/>
        <v>16.54</v>
      </c>
      <c r="Y53" s="2"/>
      <c r="Z53" s="7">
        <f t="shared" si="43"/>
        <v>0</v>
      </c>
    </row>
    <row r="54" spans="1:26" s="29" customFormat="1" outlineLevel="1" collapsed="1" x14ac:dyDescent="0.3">
      <c r="A54" s="27"/>
      <c r="B54" s="14" t="str">
        <f>CONCATENATE("     ","Telephone/Data Lines                              ")</f>
        <v xml:space="preserve">     Telephone/Data Lines                              </v>
      </c>
      <c r="C54" s="14"/>
      <c r="D54" s="1">
        <f>SUM(OSRRefD22_9x_0)</f>
        <v>90.15</v>
      </c>
      <c r="E54" s="1"/>
      <c r="F54" s="5">
        <f t="shared" ref="F54:F57" si="44">IF(D$12=0,0,D54/D$12)</f>
        <v>-6.0116030941584422E-3</v>
      </c>
      <c r="G54" s="1"/>
      <c r="H54" s="1">
        <f>SUM(OSRRefH22_9x_0)</f>
        <v>136.15</v>
      </c>
      <c r="I54" s="1"/>
      <c r="J54" s="5">
        <f t="shared" ref="J54:J57" si="45">IF(H$12=0,0,H54/H$12)</f>
        <v>1.0294896030245746E-2</v>
      </c>
      <c r="K54" s="1"/>
      <c r="L54" s="1">
        <f t="shared" ref="L54:L57" si="46">+D54-H54</f>
        <v>-46</v>
      </c>
      <c r="M54" s="1"/>
      <c r="N54" s="5">
        <f t="shared" ref="N54:N57" si="47">IF(H54=0,0,L54/H54)</f>
        <v>-0.33786265148733013</v>
      </c>
      <c r="O54" s="14"/>
      <c r="P54" s="1">
        <f>SUM(OSRRefP22_9x_0)</f>
        <v>105</v>
      </c>
      <c r="Q54" s="1"/>
      <c r="R54" s="5">
        <f t="shared" ref="R54:R57" si="48">IF(P$12=0,0,P54/P$12)</f>
        <v>3.6263417464461851E-4</v>
      </c>
      <c r="S54" s="1"/>
      <c r="T54" s="1">
        <f>SUM(OSRRefT22_9x_0)</f>
        <v>1451.83</v>
      </c>
      <c r="U54" s="1"/>
      <c r="V54" s="5">
        <f t="shared" ref="V54:V57" si="49">IF(T$12=0,0,T54/T$12)</f>
        <v>4.3251447841940937E-3</v>
      </c>
      <c r="W54" s="1"/>
      <c r="X54" s="1">
        <f t="shared" ref="X54:X57" si="50">+P54-T54</f>
        <v>-1346.83</v>
      </c>
      <c r="Y54" s="1"/>
      <c r="Z54" s="5">
        <f t="shared" ref="Z54:Z57" si="51">IF(T54=0,0,X54/T54)</f>
        <v>-0.92767748290089058</v>
      </c>
    </row>
    <row r="55" spans="1:26" s="24" customFormat="1" hidden="1" outlineLevel="2" x14ac:dyDescent="0.3">
      <c r="A55" s="28"/>
      <c r="B55" s="11" t="str">
        <f>CONCATENATE("          ", "6309", " - ", "TELEPHONE")</f>
        <v xml:space="preserve">          6309 - TELEPHONE</v>
      </c>
      <c r="C55" s="11"/>
      <c r="D55" s="6">
        <v>90.15</v>
      </c>
      <c r="E55" s="2"/>
      <c r="F55" s="7">
        <f t="shared" si="44"/>
        <v>-6.0116030941584422E-3</v>
      </c>
      <c r="G55" s="2"/>
      <c r="H55" s="6">
        <v>136.15</v>
      </c>
      <c r="I55" s="2"/>
      <c r="J55" s="7">
        <f t="shared" si="45"/>
        <v>1.0294896030245746E-2</v>
      </c>
      <c r="K55" s="2"/>
      <c r="L55" s="6">
        <f t="shared" si="46"/>
        <v>-46</v>
      </c>
      <c r="M55" s="2"/>
      <c r="N55" s="7">
        <f t="shared" si="47"/>
        <v>-0.33786265148733013</v>
      </c>
      <c r="O55" s="11"/>
      <c r="P55" s="6">
        <v>105</v>
      </c>
      <c r="Q55" s="2"/>
      <c r="R55" s="7">
        <f t="shared" si="48"/>
        <v>3.6263417464461851E-4</v>
      </c>
      <c r="S55" s="2"/>
      <c r="T55" s="6">
        <v>1451.83</v>
      </c>
      <c r="U55" s="2"/>
      <c r="V55" s="7">
        <f t="shared" si="49"/>
        <v>4.3251447841940937E-3</v>
      </c>
      <c r="W55" s="2"/>
      <c r="X55" s="6">
        <f t="shared" si="50"/>
        <v>-1346.83</v>
      </c>
      <c r="Y55" s="2"/>
      <c r="Z55" s="7">
        <f t="shared" si="51"/>
        <v>-0.92767748290089058</v>
      </c>
    </row>
    <row r="56" spans="1:26" s="29" customFormat="1" outlineLevel="1" collapsed="1" x14ac:dyDescent="0.3">
      <c r="A56" s="27"/>
      <c r="B56" s="14" t="str">
        <f>CONCATENATE("     ","Training                                          ")</f>
        <v xml:space="preserve">     Training                                          </v>
      </c>
      <c r="C56" s="14"/>
      <c r="D56" s="1">
        <f>SUM(OSRRefD22_10x_0)</f>
        <v>0</v>
      </c>
      <c r="E56" s="1"/>
      <c r="F56" s="5">
        <f t="shared" si="44"/>
        <v>0</v>
      </c>
      <c r="G56" s="1"/>
      <c r="H56" s="1">
        <f>SUM(OSRRefH22_10x_0)</f>
        <v>0</v>
      </c>
      <c r="I56" s="1"/>
      <c r="J56" s="5">
        <f t="shared" si="45"/>
        <v>0</v>
      </c>
      <c r="K56" s="1"/>
      <c r="L56" s="1">
        <f t="shared" si="46"/>
        <v>0</v>
      </c>
      <c r="M56" s="1"/>
      <c r="N56" s="5">
        <f t="shared" si="47"/>
        <v>0</v>
      </c>
      <c r="O56" s="14"/>
      <c r="P56" s="1">
        <f>SUM(OSRRefP22_10x_0)</f>
        <v>2000</v>
      </c>
      <c r="Q56" s="1"/>
      <c r="R56" s="5">
        <f t="shared" si="48"/>
        <v>6.9073176122784481E-3</v>
      </c>
      <c r="S56" s="1"/>
      <c r="T56" s="1">
        <f>SUM(OSRRefT22_10x_0)</f>
        <v>0</v>
      </c>
      <c r="U56" s="1"/>
      <c r="V56" s="5">
        <f t="shared" si="49"/>
        <v>0</v>
      </c>
      <c r="W56" s="1"/>
      <c r="X56" s="1">
        <f t="shared" si="50"/>
        <v>2000</v>
      </c>
      <c r="Y56" s="1"/>
      <c r="Z56" s="5">
        <f t="shared" si="51"/>
        <v>0</v>
      </c>
    </row>
    <row r="57" spans="1:26" s="24" customFormat="1" hidden="1" outlineLevel="2" x14ac:dyDescent="0.3">
      <c r="A57" s="28"/>
      <c r="B57" s="11" t="str">
        <f>CONCATENATE("          ", "6376", " - ", "TRAINING")</f>
        <v xml:space="preserve">          6376 - TRAINING</v>
      </c>
      <c r="C57" s="11"/>
      <c r="D57" s="6"/>
      <c r="E57" s="2"/>
      <c r="F57" s="7">
        <f t="shared" si="44"/>
        <v>0</v>
      </c>
      <c r="G57" s="2"/>
      <c r="H57" s="6"/>
      <c r="I57" s="2"/>
      <c r="J57" s="7">
        <f t="shared" si="45"/>
        <v>0</v>
      </c>
      <c r="K57" s="2"/>
      <c r="L57" s="6">
        <f t="shared" si="46"/>
        <v>0</v>
      </c>
      <c r="M57" s="2"/>
      <c r="N57" s="7">
        <f t="shared" si="47"/>
        <v>0</v>
      </c>
      <c r="O57" s="11"/>
      <c r="P57" s="6">
        <v>2000</v>
      </c>
      <c r="Q57" s="2"/>
      <c r="R57" s="7">
        <f t="shared" si="48"/>
        <v>6.9073176122784481E-3</v>
      </c>
      <c r="S57" s="2"/>
      <c r="T57" s="6"/>
      <c r="U57" s="2"/>
      <c r="V57" s="7">
        <f t="shared" si="49"/>
        <v>0</v>
      </c>
      <c r="W57" s="2"/>
      <c r="X57" s="6">
        <f t="shared" si="50"/>
        <v>2000</v>
      </c>
      <c r="Y57" s="2"/>
      <c r="Z57" s="7">
        <f t="shared" si="51"/>
        <v>0</v>
      </c>
    </row>
    <row r="58" spans="1:26" s="53" customFormat="1" x14ac:dyDescent="0.3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collapsed="1" x14ac:dyDescent="0.3">
      <c r="A59" s="10"/>
      <c r="B59" s="25" t="s">
        <v>292</v>
      </c>
      <c r="C59" s="10"/>
      <c r="D59" s="4">
        <f>SUM(OSRRefD25x_0)</f>
        <v>713.07</v>
      </c>
      <c r="E59" s="4"/>
      <c r="F59" s="12">
        <f t="shared" ref="F59:F60" si="52">IF(D$12=0,0,D59/D$12)</f>
        <v>-4.7550680181381706E-2</v>
      </c>
      <c r="G59" s="4"/>
      <c r="H59" s="4">
        <f>SUM(OSRRefH25x_0)</f>
        <v>140</v>
      </c>
      <c r="I59" s="4"/>
      <c r="J59" s="12">
        <f t="shared" ref="J59:J60" si="53">IF(H$12=0,0,H59/H$12)</f>
        <v>1.058601134215501E-2</v>
      </c>
      <c r="K59" s="4"/>
      <c r="L59" s="4">
        <f t="shared" ref="L59:L60" si="54">+D59-H59</f>
        <v>573.07000000000005</v>
      </c>
      <c r="M59" s="4"/>
      <c r="N59" s="12">
        <f t="shared" ref="N59:N60" si="55">IF(H59=0,0,L59/H59)</f>
        <v>4.0933571428571431</v>
      </c>
      <c r="O59" s="10"/>
      <c r="P59" s="4">
        <f>SUM(OSRRefP25x_0)</f>
        <v>5730.4</v>
      </c>
      <c r="Q59" s="4"/>
      <c r="R59" s="12">
        <f t="shared" ref="R59:R60" si="56">IF(P$12=0,0,P59/P$12)</f>
        <v>1.9790846422700209E-2</v>
      </c>
      <c r="S59" s="4"/>
      <c r="T59" s="4">
        <f>SUM(OSRRefT25x_0)</f>
        <v>1260.2</v>
      </c>
      <c r="U59" s="4"/>
      <c r="V59" s="12">
        <f t="shared" ref="V59:V60" si="57">IF(T$12=0,0,T59/T$12)</f>
        <v>3.7542601110607974E-3</v>
      </c>
      <c r="W59" s="4"/>
      <c r="X59" s="4">
        <f t="shared" ref="X59:X60" si="58">+P59-T59</f>
        <v>4470.2</v>
      </c>
      <c r="Y59" s="4"/>
      <c r="Z59" s="12">
        <f t="shared" ref="Z59:Z60" si="59">IF(T59=0,0,X59/T59)</f>
        <v>3.5472147278209807</v>
      </c>
    </row>
    <row r="60" spans="1:26" s="24" customFormat="1" hidden="1" outlineLevel="1" x14ac:dyDescent="0.3">
      <c r="A60" s="44"/>
      <c r="B60" s="11" t="str">
        <f>CONCATENATE("          ", "9150", " - ", "MISC. INCOME")</f>
        <v xml:space="preserve">          9150 - MISC. INCOME</v>
      </c>
      <c r="C60" s="11"/>
      <c r="D60" s="2">
        <f>--713.07</f>
        <v>713.07</v>
      </c>
      <c r="E60" s="2"/>
      <c r="F60" s="19">
        <f t="shared" si="52"/>
        <v>-4.7550680181381706E-2</v>
      </c>
      <c r="G60" s="2"/>
      <c r="H60" s="2">
        <f>--140</f>
        <v>140</v>
      </c>
      <c r="I60" s="2"/>
      <c r="J60" s="19">
        <f t="shared" si="53"/>
        <v>1.058601134215501E-2</v>
      </c>
      <c r="K60" s="2"/>
      <c r="L60" s="2">
        <f t="shared" si="54"/>
        <v>573.07000000000005</v>
      </c>
      <c r="M60" s="2"/>
      <c r="N60" s="19">
        <f t="shared" si="55"/>
        <v>4.0933571428571431</v>
      </c>
      <c r="O60" s="11"/>
      <c r="P60" s="2">
        <f>--5730.4</f>
        <v>5730.4</v>
      </c>
      <c r="Q60" s="2"/>
      <c r="R60" s="19">
        <f t="shared" si="56"/>
        <v>1.9790846422700209E-2</v>
      </c>
      <c r="S60" s="2"/>
      <c r="T60" s="2">
        <f>--1260.2</f>
        <v>1260.2</v>
      </c>
      <c r="U60" s="2"/>
      <c r="V60" s="19">
        <f t="shared" si="57"/>
        <v>3.7542601110607974E-3</v>
      </c>
      <c r="W60" s="2"/>
      <c r="X60" s="2">
        <f t="shared" si="58"/>
        <v>4470.2</v>
      </c>
      <c r="Y60" s="2"/>
      <c r="Z60" s="19">
        <f t="shared" si="59"/>
        <v>3.5472147278209807</v>
      </c>
    </row>
    <row r="61" spans="1:26" x14ac:dyDescent="0.3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3">
      <c r="A62" s="10"/>
      <c r="B62" s="26" t="s">
        <v>276</v>
      </c>
      <c r="C62" s="26"/>
      <c r="D62" s="20">
        <f>+D17-D19+D59</f>
        <v>-30657.85</v>
      </c>
      <c r="E62" s="13"/>
      <c r="F62" s="21">
        <f>IF(D$12=0,0,D62/D$12)</f>
        <v>2.0444018404907975</v>
      </c>
      <c r="G62" s="13"/>
      <c r="H62" s="20">
        <f>+H17-H19+H59</f>
        <v>-7165.4200000000019</v>
      </c>
      <c r="I62" s="13"/>
      <c r="J62" s="21">
        <f>IF(H$12=0,0,H62/H$12)</f>
        <v>-0.54180869565217404</v>
      </c>
      <c r="K62" s="15"/>
      <c r="L62" s="20">
        <f>+D62-H62</f>
        <v>-23492.429999999997</v>
      </c>
      <c r="M62" s="15"/>
      <c r="N62" s="21">
        <f>IF(H62=0,0,L62/H62)</f>
        <v>3.2785838094626678</v>
      </c>
      <c r="O62" s="25"/>
      <c r="P62" s="20">
        <f>+P17-P19+P59</f>
        <v>36201.500000000007</v>
      </c>
      <c r="Q62" s="13"/>
      <c r="R62" s="21">
        <f>IF(P$12=0,0,P62/P$12)</f>
        <v>0.12502762927044914</v>
      </c>
      <c r="S62" s="13"/>
      <c r="T62" s="20">
        <f>+T17-T19+T59</f>
        <v>51237.009999999995</v>
      </c>
      <c r="U62" s="13"/>
      <c r="V62" s="21">
        <f>IF(T$12=0,0,T62/T$12)</f>
        <v>0.15264010700922329</v>
      </c>
      <c r="W62" s="15"/>
      <c r="X62" s="20">
        <f>+P62-T62</f>
        <v>-15035.509999999987</v>
      </c>
      <c r="Y62" s="15"/>
      <c r="Z62" s="21">
        <f>IF(T62=0,0,X62/T62)</f>
        <v>-0.29345018376365034</v>
      </c>
    </row>
    <row r="63" spans="1:26" x14ac:dyDescent="0.3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3">
      <c r="A64" s="51"/>
      <c r="B64" s="10" t="s">
        <v>127</v>
      </c>
      <c r="C64" s="10"/>
      <c r="D64" s="4">
        <v>-1421.65</v>
      </c>
      <c r="E64" s="4"/>
      <c r="F64" s="12">
        <f>IF(D$12=0,0,D64/D$12)</f>
        <v>9.4801947185916252E-2</v>
      </c>
      <c r="G64" s="4"/>
      <c r="H64" s="4">
        <v>10869.59</v>
      </c>
      <c r="I64" s="4"/>
      <c r="J64" s="12">
        <f>IF(H$12=0,0,H64/H$12)</f>
        <v>0.82189716446124761</v>
      </c>
      <c r="K64" s="4"/>
      <c r="L64" s="4">
        <f>+D64-H64</f>
        <v>-12291.24</v>
      </c>
      <c r="M64" s="4"/>
      <c r="N64" s="12">
        <f>IF(H64=0,0,L64/H64)</f>
        <v>-1.1307915017953758</v>
      </c>
      <c r="O64" s="10"/>
      <c r="P64" s="4">
        <v>34853.120000000003</v>
      </c>
      <c r="Q64" s="4"/>
      <c r="R64" s="12">
        <f>IF(P$12=0,0,P64/P$12)</f>
        <v>0.12037078480942712</v>
      </c>
      <c r="S64" s="4"/>
      <c r="T64" s="4">
        <v>62106.43</v>
      </c>
      <c r="U64" s="4"/>
      <c r="V64" s="12">
        <f>IF(T$12=0,0,T64/T$12)</f>
        <v>0.18502118139135823</v>
      </c>
      <c r="W64" s="4"/>
      <c r="X64" s="4">
        <f>+P64-T64</f>
        <v>-27253.309999999998</v>
      </c>
      <c r="Y64" s="4"/>
      <c r="Z64" s="12">
        <f>IF(T64=0,0,X64/T64)</f>
        <v>-0.43881623851185775</v>
      </c>
    </row>
    <row r="65" spans="1:26" x14ac:dyDescent="0.3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" thickBot="1" x14ac:dyDescent="0.35">
      <c r="A66" s="10"/>
      <c r="B66" s="26" t="s">
        <v>125</v>
      </c>
      <c r="C66" s="26"/>
      <c r="D66" s="32">
        <f>+D62-D64</f>
        <v>-29236.199999999997</v>
      </c>
      <c r="E66" s="13"/>
      <c r="F66" s="35">
        <f>IF(D$12=0,0,D66/D$12)</f>
        <v>1.949599893304881</v>
      </c>
      <c r="G66" s="13"/>
      <c r="H66" s="32">
        <f>+H62-H64</f>
        <v>-18035.010000000002</v>
      </c>
      <c r="I66" s="13"/>
      <c r="J66" s="35">
        <f>IF(H$12=0,0,H66/H$12)</f>
        <v>-1.3637058601134218</v>
      </c>
      <c r="K66" s="15"/>
      <c r="L66" s="32">
        <f>D66-H66</f>
        <v>-11201.189999999995</v>
      </c>
      <c r="M66" s="15"/>
      <c r="N66" s="35">
        <f>IF(H66=0,0,L66/H66)</f>
        <v>0.62108033208742297</v>
      </c>
      <c r="O66" s="25"/>
      <c r="P66" s="32">
        <f>+P62-P64</f>
        <v>1348.3800000000047</v>
      </c>
      <c r="Q66" s="13"/>
      <c r="R66" s="35">
        <f>IF(P$12=0,0,P66/P$12)</f>
        <v>4.6568444610220229E-3</v>
      </c>
      <c r="S66" s="13"/>
      <c r="T66" s="32">
        <f>+T62-T64</f>
        <v>-10869.420000000006</v>
      </c>
      <c r="U66" s="13"/>
      <c r="V66" s="35">
        <f>IF(T$12=0,0,T66/T$12)</f>
        <v>-3.2381074382134958E-2</v>
      </c>
      <c r="W66" s="15"/>
      <c r="X66" s="32">
        <f>P66-T66</f>
        <v>12217.80000000001</v>
      </c>
      <c r="Y66" s="15"/>
      <c r="Z66" s="35">
        <f>IF(T66=0,0,X66/T66)</f>
        <v>-1.1240526173429681</v>
      </c>
    </row>
    <row r="67" spans="1:26" ht="15" thickTop="1" x14ac:dyDescent="0.3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3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" thickBot="1" x14ac:dyDescent="0.35">
      <c r="A69" s="10"/>
      <c r="B69" s="26" t="s">
        <v>293</v>
      </c>
      <c r="C69" s="26"/>
      <c r="D69" s="31">
        <f>SUM(D66:D68)</f>
        <v>-29236.199999999997</v>
      </c>
      <c r="E69" s="13"/>
      <c r="F69" s="33">
        <f>IF(D$12=0,0,D69/D$12)</f>
        <v>1.949599893304881</v>
      </c>
      <c r="G69" s="13"/>
      <c r="H69" s="31">
        <f>SUM(H66:H68)</f>
        <v>-18035.010000000002</v>
      </c>
      <c r="I69" s="13"/>
      <c r="J69" s="33">
        <f>IF(H$12=0,0,H69/H$12)</f>
        <v>-1.3637058601134218</v>
      </c>
      <c r="K69" s="15"/>
      <c r="L69" s="31">
        <f>+D69-H69</f>
        <v>-11201.189999999995</v>
      </c>
      <c r="M69" s="15"/>
      <c r="N69" s="33">
        <f>IF(H69=0,0,L69/H69)</f>
        <v>0.62108033208742297</v>
      </c>
      <c r="O69" s="25"/>
      <c r="P69" s="31">
        <f>SUM(P66:P68)</f>
        <v>1348.3800000000047</v>
      </c>
      <c r="Q69" s="13"/>
      <c r="R69" s="33">
        <f>IF(P$12=0,0,P69/P$12)</f>
        <v>4.6568444610220229E-3</v>
      </c>
      <c r="S69" s="13"/>
      <c r="T69" s="31">
        <f>SUM(T66:T68)</f>
        <v>-10869.420000000006</v>
      </c>
      <c r="U69" s="13"/>
      <c r="V69" s="33">
        <f>IF(T$12=0,0,T69/T$12)</f>
        <v>-3.2381074382134958E-2</v>
      </c>
      <c r="W69" s="15"/>
      <c r="X69" s="31">
        <f>+P69-T69</f>
        <v>12217.80000000001</v>
      </c>
      <c r="Y69" s="15"/>
      <c r="Z69" s="33">
        <f>IF(T69=0,0,X69/T69)</f>
        <v>-1.1240526173429681</v>
      </c>
    </row>
    <row r="70" spans="1:26" ht="15" thickTop="1" x14ac:dyDescent="0.3">
      <c r="A70" s="9"/>
      <c r="C70" s="9"/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3">
      <c r="A71" s="9"/>
      <c r="B71" s="60">
        <v>44575.854608831018</v>
      </c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3">
      <c r="A72" s="9"/>
      <c r="B72" s="57" t="s">
        <v>56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3">
      <c r="A73" s="9"/>
      <c r="B73" s="59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3"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92D050"/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str">
        <f>CONCATENATE("Period ",RIGHT(202206,2),", ",2022)</f>
        <v>Period 06,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44555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","501", " - ", "ID Card Services")</f>
        <v>Department 501 - ID Card Services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-14996</v>
      </c>
      <c r="E12" s="4"/>
      <c r="F12" s="12"/>
      <c r="G12" s="4"/>
      <c r="H12" s="4">
        <f>SUM(OSRRefH13x_0)</f>
        <v>13225</v>
      </c>
      <c r="I12" s="4"/>
      <c r="J12" s="12"/>
      <c r="K12" s="4"/>
      <c r="L12" s="4">
        <f t="shared" ref="L12:L13" si="0">+D12-H12</f>
        <v>-28221</v>
      </c>
      <c r="M12" s="4"/>
      <c r="N12" s="12">
        <f t="shared" ref="N12:N13" si="1">IF(H12=0,0,L12/H12)</f>
        <v>-2.1339130434782607</v>
      </c>
      <c r="O12" s="10"/>
      <c r="P12" s="4">
        <f>SUM(OSRRefP13x_0)</f>
        <v>289548</v>
      </c>
      <c r="Q12" s="4"/>
      <c r="R12" s="12"/>
      <c r="S12" s="4"/>
      <c r="T12" s="4">
        <f>SUM(OSRRefT13x_0)</f>
        <v>335672</v>
      </c>
      <c r="U12" s="4"/>
      <c r="V12" s="12"/>
      <c r="W12" s="4"/>
      <c r="X12" s="4">
        <f t="shared" ref="X12:X13" si="2">+P12-T12</f>
        <v>-46124</v>
      </c>
      <c r="Y12" s="4"/>
      <c r="Z12" s="12">
        <f t="shared" ref="Z12:Z13" si="3">IF(T12=0,0,X12/T12)</f>
        <v>-0.13740794585190305</v>
      </c>
    </row>
    <row r="13" spans="1:26" s="24" customFormat="1" hidden="1" outlineLevel="1" x14ac:dyDescent="0.3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-14996</f>
        <v>-14996</v>
      </c>
      <c r="E13" s="2"/>
      <c r="F13" s="19"/>
      <c r="G13" s="2"/>
      <c r="H13" s="2">
        <f>--13225</f>
        <v>13225</v>
      </c>
      <c r="I13" s="2"/>
      <c r="J13" s="19"/>
      <c r="K13" s="2"/>
      <c r="L13" s="2">
        <f t="shared" si="0"/>
        <v>-28221</v>
      </c>
      <c r="M13" s="2"/>
      <c r="N13" s="19">
        <f t="shared" si="1"/>
        <v>-2.1339130434782607</v>
      </c>
      <c r="O13" s="11"/>
      <c r="P13" s="2">
        <f>--289548</f>
        <v>289548</v>
      </c>
      <c r="Q13" s="2"/>
      <c r="R13" s="19"/>
      <c r="S13" s="2"/>
      <c r="T13" s="2">
        <f>--335672</f>
        <v>335672</v>
      </c>
      <c r="U13" s="2"/>
      <c r="V13" s="19"/>
      <c r="W13" s="2"/>
      <c r="X13" s="2">
        <f t="shared" si="2"/>
        <v>-46124</v>
      </c>
      <c r="Y13" s="2"/>
      <c r="Z13" s="19">
        <f t="shared" si="3"/>
        <v>-0.13740794585190305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">
      <c r="A15" s="10"/>
      <c r="B15" s="25" t="s">
        <v>256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6" t="s">
        <v>107</v>
      </c>
      <c r="C17" s="26"/>
      <c r="D17" s="20">
        <f>D12-D15</f>
        <v>-14996</v>
      </c>
      <c r="E17" s="13"/>
      <c r="F17" s="21">
        <f>IF(D$12=0,0,D17/D$12)</f>
        <v>1</v>
      </c>
      <c r="G17" s="13"/>
      <c r="H17" s="20">
        <f>H12-H15</f>
        <v>13225</v>
      </c>
      <c r="I17" s="13"/>
      <c r="J17" s="21">
        <f>IF(H$12=0,0,H17/H$12)</f>
        <v>1</v>
      </c>
      <c r="K17" s="15"/>
      <c r="L17" s="20">
        <f>+D17-H17</f>
        <v>-28221</v>
      </c>
      <c r="M17" s="15"/>
      <c r="N17" s="21">
        <f>IF(H17=0,0,L17/H17)</f>
        <v>-2.1339130434782607</v>
      </c>
      <c r="O17" s="25"/>
      <c r="P17" s="20">
        <f>P12-P15</f>
        <v>289548</v>
      </c>
      <c r="Q17" s="13"/>
      <c r="R17" s="21">
        <f>IF(P$12=0,0,P17/P$12)</f>
        <v>1</v>
      </c>
      <c r="S17" s="13"/>
      <c r="T17" s="20">
        <f>T12-T15</f>
        <v>335672</v>
      </c>
      <c r="U17" s="13"/>
      <c r="V17" s="21">
        <f>IF(T$12=0,0,T17/T$12)</f>
        <v>1</v>
      </c>
      <c r="W17" s="15"/>
      <c r="X17" s="20">
        <f>+P17-T17</f>
        <v>-46124</v>
      </c>
      <c r="Y17" s="15"/>
      <c r="Z17" s="21">
        <f>IF(T17=0,0,X17/T17)</f>
        <v>-0.13740794585190305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294</v>
      </c>
      <c r="C19" s="10"/>
      <c r="D19" s="22">
        <f>SUM(OSRRefD22x_0)</f>
        <v>16374.92</v>
      </c>
      <c r="E19" s="22"/>
      <c r="F19" s="34">
        <f t="shared" ref="F19:F29" si="4">IF(D$12=0,0,D19/D$12)</f>
        <v>-1.0919525206721792</v>
      </c>
      <c r="G19" s="22"/>
      <c r="H19" s="22">
        <f>SUM(OSRRefH22x_0)</f>
        <v>20530.420000000002</v>
      </c>
      <c r="I19" s="22"/>
      <c r="J19" s="34">
        <f t="shared" ref="J19:J29" si="5">IF(H$12=0,0,H19/H$12)</f>
        <v>1.5523947069943291</v>
      </c>
      <c r="K19" s="4"/>
      <c r="L19" s="22">
        <f t="shared" ref="L19:L29" si="6">+D19-H19</f>
        <v>-4155.5000000000018</v>
      </c>
      <c r="M19" s="4"/>
      <c r="N19" s="34">
        <f t="shared" ref="N19:N29" si="7">IF(H19=0,0,L19/H19)</f>
        <v>-0.20240696488430346</v>
      </c>
      <c r="O19" s="10"/>
      <c r="P19" s="22">
        <f>SUM(OSRRefP22x_0)</f>
        <v>259076.9</v>
      </c>
      <c r="Q19" s="22"/>
      <c r="R19" s="34">
        <f t="shared" ref="R19:R29" si="8">IF(P$12=0,0,P19/P$12)</f>
        <v>0.89476321715225104</v>
      </c>
      <c r="S19" s="22"/>
      <c r="T19" s="22">
        <f>SUM(OSRRefT22x_0)</f>
        <v>285695.19</v>
      </c>
      <c r="U19" s="22"/>
      <c r="V19" s="34">
        <f t="shared" ref="V19:V29" si="9">IF(T$12=0,0,T19/T$12)</f>
        <v>0.85111415310183747</v>
      </c>
      <c r="W19" s="4"/>
      <c r="X19" s="22">
        <f t="shared" ref="X19:X29" si="10">+P19-T19</f>
        <v>-26618.290000000008</v>
      </c>
      <c r="Y19" s="4"/>
      <c r="Z19" s="34">
        <f t="shared" ref="Z19:Z29" si="11">IF(T19=0,0,X19/T19)</f>
        <v>-9.3170242033126308E-2</v>
      </c>
    </row>
    <row r="20" spans="1:26" s="29" customFormat="1" outlineLevel="1" collapsed="1" x14ac:dyDescent="0.3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3619.5699999999997</v>
      </c>
      <c r="E20" s="1"/>
      <c r="F20" s="5">
        <f t="shared" si="4"/>
        <v>-0.2413690317417978</v>
      </c>
      <c r="G20" s="1"/>
      <c r="H20" s="1">
        <f>SUM(OSRRefH22_0x_0)</f>
        <v>3872.88</v>
      </c>
      <c r="I20" s="1"/>
      <c r="J20" s="5">
        <f t="shared" si="5"/>
        <v>0.29284536862003779</v>
      </c>
      <c r="K20" s="1"/>
      <c r="L20" s="1">
        <f t="shared" si="6"/>
        <v>-253.3100000000004</v>
      </c>
      <c r="M20" s="1"/>
      <c r="N20" s="5">
        <f t="shared" si="7"/>
        <v>-6.5406106050277926E-2</v>
      </c>
      <c r="O20" s="14"/>
      <c r="P20" s="1">
        <f>SUM(OSRRefP22_0x_0)</f>
        <v>23492.82</v>
      </c>
      <c r="Q20" s="1"/>
      <c r="R20" s="5">
        <f t="shared" si="8"/>
        <v>8.1136184674043682E-2</v>
      </c>
      <c r="S20" s="1"/>
      <c r="T20" s="1">
        <f>SUM(OSRRefT22_0x_0)</f>
        <v>25245.63</v>
      </c>
      <c r="U20" s="1"/>
      <c r="V20" s="5">
        <f t="shared" si="9"/>
        <v>7.520922209776211E-2</v>
      </c>
      <c r="W20" s="1"/>
      <c r="X20" s="1">
        <f t="shared" si="10"/>
        <v>-1752.8100000000013</v>
      </c>
      <c r="Y20" s="1"/>
      <c r="Z20" s="5">
        <f t="shared" si="11"/>
        <v>-6.9430234064271762E-2</v>
      </c>
    </row>
    <row r="21" spans="1:26" s="24" customFormat="1" hidden="1" outlineLevel="2" x14ac:dyDescent="0.3">
      <c r="A21" s="28"/>
      <c r="B21" s="11" t="str">
        <f>CONCATENATE("          ", "6111", " - ", "F.I.C.A.")</f>
        <v xml:space="preserve">          6111 - F.I.C.A.</v>
      </c>
      <c r="C21" s="11"/>
      <c r="D21" s="6">
        <v>909.69</v>
      </c>
      <c r="E21" s="2"/>
      <c r="F21" s="7">
        <f t="shared" si="4"/>
        <v>-6.0662176580421452E-2</v>
      </c>
      <c r="G21" s="2"/>
      <c r="H21" s="6">
        <v>938.94</v>
      </c>
      <c r="I21" s="2"/>
      <c r="J21" s="7">
        <f t="shared" si="5"/>
        <v>7.0997353497164462E-2</v>
      </c>
      <c r="K21" s="2"/>
      <c r="L21" s="6">
        <f t="shared" si="6"/>
        <v>-29.25</v>
      </c>
      <c r="M21" s="2"/>
      <c r="N21" s="7">
        <f t="shared" si="7"/>
        <v>-3.1152150297143584E-2</v>
      </c>
      <c r="O21" s="11"/>
      <c r="P21" s="6">
        <v>6699.3</v>
      </c>
      <c r="Q21" s="2"/>
      <c r="R21" s="7">
        <f t="shared" si="8"/>
        <v>2.3137096439968502E-2</v>
      </c>
      <c r="S21" s="2"/>
      <c r="T21" s="6">
        <v>6290.87</v>
      </c>
      <c r="U21" s="2"/>
      <c r="V21" s="7">
        <f t="shared" si="9"/>
        <v>1.8741122286041134E-2</v>
      </c>
      <c r="W21" s="2"/>
      <c r="X21" s="6">
        <f t="shared" si="10"/>
        <v>408.43000000000029</v>
      </c>
      <c r="Y21" s="2"/>
      <c r="Z21" s="7">
        <f t="shared" si="11"/>
        <v>6.4924247361652726E-2</v>
      </c>
    </row>
    <row r="22" spans="1:26" s="24" customFormat="1" hidden="1" outlineLevel="2" x14ac:dyDescent="0.3">
      <c r="A22" s="28"/>
      <c r="B22" s="11" t="str">
        <f>CONCATENATE("          ", "6112", " - ", "COMPENSATION INSURANCE")</f>
        <v xml:space="preserve">          6112 - COMPENSATION INSURANCE</v>
      </c>
      <c r="C22" s="11"/>
      <c r="D22" s="6">
        <v>137.25</v>
      </c>
      <c r="E22" s="2"/>
      <c r="F22" s="7">
        <f t="shared" si="4"/>
        <v>-9.1524406508402233E-3</v>
      </c>
      <c r="G22" s="2"/>
      <c r="H22" s="6">
        <v>171.99</v>
      </c>
      <c r="I22" s="2"/>
      <c r="J22" s="7">
        <f t="shared" si="5"/>
        <v>1.300491493383743E-2</v>
      </c>
      <c r="K22" s="2"/>
      <c r="L22" s="6">
        <f t="shared" si="6"/>
        <v>-34.740000000000009</v>
      </c>
      <c r="M22" s="2"/>
      <c r="N22" s="7">
        <f t="shared" si="7"/>
        <v>-0.20198848770277347</v>
      </c>
      <c r="O22" s="11"/>
      <c r="P22" s="6">
        <v>1032.5999999999999</v>
      </c>
      <c r="Q22" s="2"/>
      <c r="R22" s="7">
        <f t="shared" si="8"/>
        <v>3.5662480832193621E-3</v>
      </c>
      <c r="S22" s="2"/>
      <c r="T22" s="6">
        <v>667.52</v>
      </c>
      <c r="U22" s="2"/>
      <c r="V22" s="7">
        <f t="shared" si="9"/>
        <v>1.9886079267856715E-3</v>
      </c>
      <c r="W22" s="2"/>
      <c r="X22" s="6">
        <f t="shared" si="10"/>
        <v>365.07999999999993</v>
      </c>
      <c r="Y22" s="2"/>
      <c r="Z22" s="7">
        <f t="shared" si="11"/>
        <v>0.54691994247363362</v>
      </c>
    </row>
    <row r="23" spans="1:26" s="24" customFormat="1" hidden="1" outlineLevel="2" x14ac:dyDescent="0.3">
      <c r="A23" s="28"/>
      <c r="B23" s="11" t="str">
        <f>CONCATENATE("          ", "6113", " - ", "GROUP INSURANCE")</f>
        <v xml:space="preserve">          6113 - GROUP INSURANCE</v>
      </c>
      <c r="C23" s="11"/>
      <c r="D23" s="6">
        <v>1054.3499999999999</v>
      </c>
      <c r="E23" s="2"/>
      <c r="F23" s="7">
        <f t="shared" si="4"/>
        <v>-7.0308748999733259E-2</v>
      </c>
      <c r="G23" s="2"/>
      <c r="H23" s="6">
        <v>1230.45</v>
      </c>
      <c r="I23" s="2"/>
      <c r="J23" s="7">
        <f t="shared" si="5"/>
        <v>9.3039697542533079E-2</v>
      </c>
      <c r="K23" s="2"/>
      <c r="L23" s="6">
        <f t="shared" si="6"/>
        <v>-176.10000000000014</v>
      </c>
      <c r="M23" s="2"/>
      <c r="N23" s="7">
        <f t="shared" si="7"/>
        <v>-0.14311837132756319</v>
      </c>
      <c r="O23" s="11"/>
      <c r="P23" s="6">
        <v>6326.1</v>
      </c>
      <c r="Q23" s="2"/>
      <c r="R23" s="7">
        <f t="shared" si="8"/>
        <v>2.1848190973517347E-2</v>
      </c>
      <c r="S23" s="2"/>
      <c r="T23" s="6">
        <v>7403</v>
      </c>
      <c r="U23" s="2"/>
      <c r="V23" s="7">
        <f t="shared" si="9"/>
        <v>2.2054267260897542E-2</v>
      </c>
      <c r="W23" s="2"/>
      <c r="X23" s="6">
        <f t="shared" si="10"/>
        <v>-1076.8999999999996</v>
      </c>
      <c r="Y23" s="2"/>
      <c r="Z23" s="7">
        <f t="shared" si="11"/>
        <v>-0.14546805349182759</v>
      </c>
    </row>
    <row r="24" spans="1:26" s="24" customFormat="1" hidden="1" outlineLevel="2" x14ac:dyDescent="0.3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6">
        <v>27.14</v>
      </c>
      <c r="E24" s="2"/>
      <c r="F24" s="7">
        <f t="shared" si="4"/>
        <v>-1.8098159509202455E-3</v>
      </c>
      <c r="G24" s="2"/>
      <c r="H24" s="6"/>
      <c r="I24" s="2"/>
      <c r="J24" s="7">
        <f t="shared" si="5"/>
        <v>0</v>
      </c>
      <c r="K24" s="2"/>
      <c r="L24" s="6">
        <f t="shared" si="6"/>
        <v>27.14</v>
      </c>
      <c r="M24" s="2"/>
      <c r="N24" s="7">
        <f t="shared" si="7"/>
        <v>0</v>
      </c>
      <c r="O24" s="11"/>
      <c r="P24" s="6">
        <v>204.29</v>
      </c>
      <c r="Q24" s="2"/>
      <c r="R24" s="7">
        <f t="shared" si="8"/>
        <v>7.0554795750618203E-4</v>
      </c>
      <c r="S24" s="2"/>
      <c r="T24" s="6">
        <v>214.6</v>
      </c>
      <c r="U24" s="2"/>
      <c r="V24" s="7">
        <f t="shared" si="9"/>
        <v>6.3931456898400822E-4</v>
      </c>
      <c r="W24" s="2"/>
      <c r="X24" s="6">
        <f t="shared" si="10"/>
        <v>-10.310000000000002</v>
      </c>
      <c r="Y24" s="2"/>
      <c r="Z24" s="7">
        <f t="shared" si="11"/>
        <v>-4.8042870456663569E-2</v>
      </c>
    </row>
    <row r="25" spans="1:26" s="24" customFormat="1" hidden="1" outlineLevel="2" x14ac:dyDescent="0.3">
      <c r="A25" s="28"/>
      <c r="B25" s="11" t="str">
        <f>CONCATENATE("          ", "6115", " - ", "P.E.R.S.")</f>
        <v xml:space="preserve">          6115 - P.E.R.S.</v>
      </c>
      <c r="C25" s="11"/>
      <c r="D25" s="6">
        <v>610.04</v>
      </c>
      <c r="E25" s="2"/>
      <c r="F25" s="7">
        <f t="shared" si="4"/>
        <v>-4.0680181381701784E-2</v>
      </c>
      <c r="G25" s="2"/>
      <c r="H25" s="6">
        <v>640.35</v>
      </c>
      <c r="I25" s="2"/>
      <c r="J25" s="7">
        <f t="shared" si="5"/>
        <v>4.8419659735349715E-2</v>
      </c>
      <c r="K25" s="2"/>
      <c r="L25" s="6">
        <f t="shared" si="6"/>
        <v>-30.310000000000059</v>
      </c>
      <c r="M25" s="2"/>
      <c r="N25" s="7">
        <f t="shared" si="7"/>
        <v>-4.7333489497930911E-2</v>
      </c>
      <c r="O25" s="11"/>
      <c r="P25" s="6">
        <v>3859.69</v>
      </c>
      <c r="Q25" s="2"/>
      <c r="R25" s="7">
        <f t="shared" si="8"/>
        <v>1.3330052357467502E-2</v>
      </c>
      <c r="S25" s="2"/>
      <c r="T25" s="6">
        <v>4819.7</v>
      </c>
      <c r="U25" s="2"/>
      <c r="V25" s="7">
        <f t="shared" si="9"/>
        <v>1.4358361734073738E-2</v>
      </c>
      <c r="W25" s="2"/>
      <c r="X25" s="6">
        <f t="shared" si="10"/>
        <v>-960.00999999999976</v>
      </c>
      <c r="Y25" s="2"/>
      <c r="Z25" s="7">
        <f t="shared" si="11"/>
        <v>-0.19918459655165255</v>
      </c>
    </row>
    <row r="26" spans="1:26" s="24" customFormat="1" hidden="1" outlineLevel="2" x14ac:dyDescent="0.3">
      <c r="A26" s="28"/>
      <c r="B26" s="11" t="str">
        <f>CONCATENATE("          ", "6117", " - ", "RETIREMENT STAFF HOURLY")</f>
        <v xml:space="preserve">          6117 - RETIREMENT STAFF HOURLY</v>
      </c>
      <c r="C26" s="11"/>
      <c r="D26" s="6"/>
      <c r="E26" s="2"/>
      <c r="F26" s="7">
        <f t="shared" si="4"/>
        <v>0</v>
      </c>
      <c r="G26" s="2"/>
      <c r="H26" s="6">
        <v>71.87</v>
      </c>
      <c r="I26" s="2"/>
      <c r="J26" s="7">
        <f t="shared" si="5"/>
        <v>5.434404536862004E-3</v>
      </c>
      <c r="K26" s="2"/>
      <c r="L26" s="6">
        <f t="shared" si="6"/>
        <v>-71.87</v>
      </c>
      <c r="M26" s="2"/>
      <c r="N26" s="7">
        <f t="shared" si="7"/>
        <v>-1</v>
      </c>
      <c r="O26" s="11"/>
      <c r="P26" s="6">
        <v>215.15</v>
      </c>
      <c r="Q26" s="2"/>
      <c r="R26" s="7">
        <f t="shared" si="8"/>
        <v>7.4305469214085401E-4</v>
      </c>
      <c r="S26" s="2"/>
      <c r="T26" s="6">
        <v>524.61</v>
      </c>
      <c r="U26" s="2"/>
      <c r="V26" s="7">
        <f t="shared" si="9"/>
        <v>1.5628649395838796E-3</v>
      </c>
      <c r="W26" s="2"/>
      <c r="X26" s="6">
        <f t="shared" si="10"/>
        <v>-309.46000000000004</v>
      </c>
      <c r="Y26" s="2"/>
      <c r="Z26" s="7">
        <f t="shared" si="11"/>
        <v>-0.5898858199424335</v>
      </c>
    </row>
    <row r="27" spans="1:26" s="24" customFormat="1" hidden="1" outlineLevel="2" x14ac:dyDescent="0.3">
      <c r="A27" s="28"/>
      <c r="B27" s="11" t="str">
        <f>CONCATENATE("          ", "6118", " - ", "VACATION")</f>
        <v xml:space="preserve">          6118 - VACATION</v>
      </c>
      <c r="C27" s="11"/>
      <c r="D27" s="6">
        <v>529.76</v>
      </c>
      <c r="E27" s="2"/>
      <c r="F27" s="7">
        <f t="shared" si="4"/>
        <v>-3.5326753801013605E-2</v>
      </c>
      <c r="G27" s="2"/>
      <c r="H27" s="6">
        <v>520.02</v>
      </c>
      <c r="I27" s="2"/>
      <c r="J27" s="7">
        <f t="shared" si="5"/>
        <v>3.9320982986767485E-2</v>
      </c>
      <c r="K27" s="2"/>
      <c r="L27" s="6">
        <f t="shared" si="6"/>
        <v>9.7400000000000091</v>
      </c>
      <c r="M27" s="2"/>
      <c r="N27" s="7">
        <f t="shared" si="7"/>
        <v>1.8730048844275239E-2</v>
      </c>
      <c r="O27" s="11"/>
      <c r="P27" s="6">
        <v>3044.41</v>
      </c>
      <c r="Q27" s="2"/>
      <c r="R27" s="7">
        <f t="shared" si="8"/>
        <v>1.0514353405998314E-2</v>
      </c>
      <c r="S27" s="2"/>
      <c r="T27" s="6">
        <v>3380.13</v>
      </c>
      <c r="U27" s="2"/>
      <c r="V27" s="7">
        <f t="shared" si="9"/>
        <v>1.0069740699254034E-2</v>
      </c>
      <c r="W27" s="2"/>
      <c r="X27" s="6">
        <f t="shared" si="10"/>
        <v>-335.72000000000025</v>
      </c>
      <c r="Y27" s="2"/>
      <c r="Z27" s="7">
        <f t="shared" si="11"/>
        <v>-9.9321623724531377E-2</v>
      </c>
    </row>
    <row r="28" spans="1:26" s="24" customFormat="1" hidden="1" outlineLevel="2" x14ac:dyDescent="0.3">
      <c r="A28" s="28"/>
      <c r="B28" s="11" t="str">
        <f>CONCATENATE("          ", "6119", " - ", "SICK LEAVE")</f>
        <v xml:space="preserve">          6119 - SICK LEAVE</v>
      </c>
      <c r="C28" s="11"/>
      <c r="D28" s="6">
        <v>277.58999999999997</v>
      </c>
      <c r="E28" s="2"/>
      <c r="F28" s="7">
        <f t="shared" si="4"/>
        <v>-1.8510936249666578E-2</v>
      </c>
      <c r="G28" s="2"/>
      <c r="H28" s="6">
        <v>299.26</v>
      </c>
      <c r="I28" s="2"/>
      <c r="J28" s="7">
        <f t="shared" si="5"/>
        <v>2.2628355387523627E-2</v>
      </c>
      <c r="K28" s="2"/>
      <c r="L28" s="6">
        <f t="shared" si="6"/>
        <v>-21.670000000000016</v>
      </c>
      <c r="M28" s="2"/>
      <c r="N28" s="7">
        <f t="shared" si="7"/>
        <v>-7.2411949475372647E-2</v>
      </c>
      <c r="O28" s="11"/>
      <c r="P28" s="6">
        <v>1756.28</v>
      </c>
      <c r="Q28" s="2"/>
      <c r="R28" s="7">
        <f t="shared" si="8"/>
        <v>6.065591888046196E-3</v>
      </c>
      <c r="S28" s="2"/>
      <c r="T28" s="6">
        <v>1945.2</v>
      </c>
      <c r="U28" s="2"/>
      <c r="V28" s="7">
        <f t="shared" si="9"/>
        <v>5.7949426821420911E-3</v>
      </c>
      <c r="W28" s="2"/>
      <c r="X28" s="6">
        <f t="shared" si="10"/>
        <v>-188.92000000000007</v>
      </c>
      <c r="Y28" s="2"/>
      <c r="Z28" s="7">
        <f t="shared" si="11"/>
        <v>-9.7121118651038493E-2</v>
      </c>
    </row>
    <row r="29" spans="1:26" s="24" customFormat="1" hidden="1" outlineLevel="2" x14ac:dyDescent="0.3">
      <c r="A29" s="28"/>
      <c r="B29" s="11" t="str">
        <f>CONCATENATE("          ", "6156", " - ", "EMPLOYEE MEALS")</f>
        <v xml:space="preserve">          6156 - EMPLOYEE MEALS</v>
      </c>
      <c r="C29" s="11"/>
      <c r="D29" s="6">
        <v>73.75</v>
      </c>
      <c r="E29" s="2"/>
      <c r="F29" s="7">
        <f t="shared" si="4"/>
        <v>-4.9179781275006671E-3</v>
      </c>
      <c r="G29" s="2"/>
      <c r="H29" s="6"/>
      <c r="I29" s="2"/>
      <c r="J29" s="7">
        <f t="shared" si="5"/>
        <v>0</v>
      </c>
      <c r="K29" s="2"/>
      <c r="L29" s="6">
        <f t="shared" si="6"/>
        <v>73.75</v>
      </c>
      <c r="M29" s="2"/>
      <c r="N29" s="7">
        <f t="shared" si="7"/>
        <v>0</v>
      </c>
      <c r="O29" s="11"/>
      <c r="P29" s="6">
        <v>355</v>
      </c>
      <c r="Q29" s="2"/>
      <c r="R29" s="7">
        <f t="shared" si="8"/>
        <v>1.2260488761794246E-3</v>
      </c>
      <c r="S29" s="2"/>
      <c r="T29" s="6"/>
      <c r="U29" s="2"/>
      <c r="V29" s="7">
        <f t="shared" si="9"/>
        <v>0</v>
      </c>
      <c r="W29" s="2"/>
      <c r="X29" s="6">
        <f t="shared" si="10"/>
        <v>355</v>
      </c>
      <c r="Y29" s="2"/>
      <c r="Z29" s="7">
        <f t="shared" si="11"/>
        <v>0</v>
      </c>
    </row>
    <row r="30" spans="1:26" s="29" customFormat="1" outlineLevel="1" collapsed="1" x14ac:dyDescent="0.3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11517.15</v>
      </c>
      <c r="E30" s="1"/>
      <c r="F30" s="5">
        <f t="shared" ref="F30:F36" si="12">IF(D$12=0,0,D30/D$12)</f>
        <v>-0.76801480394771937</v>
      </c>
      <c r="G30" s="1"/>
      <c r="H30" s="1">
        <f>SUM(OSRRefH22_1x_0)</f>
        <v>12559.970000000001</v>
      </c>
      <c r="I30" s="1"/>
      <c r="J30" s="5">
        <f t="shared" ref="J30:J36" si="13">IF(H$12=0,0,H30/H$12)</f>
        <v>0.94971417769376187</v>
      </c>
      <c r="K30" s="1"/>
      <c r="L30" s="1">
        <f t="shared" ref="L30:L36" si="14">+D30-H30</f>
        <v>-1042.8200000000015</v>
      </c>
      <c r="M30" s="1"/>
      <c r="N30" s="5">
        <f t="shared" ref="N30:N36" si="15">IF(H30=0,0,L30/H30)</f>
        <v>-8.3027268377233496E-2</v>
      </c>
      <c r="O30" s="14"/>
      <c r="P30" s="1">
        <f>SUM(OSRRefP22_1x_0)</f>
        <v>88963.21</v>
      </c>
      <c r="Q30" s="1"/>
      <c r="R30" s="5">
        <f t="shared" ref="R30:R36" si="16">IF(P$12=0,0,P30/P$12)</f>
        <v>0.30724857363891311</v>
      </c>
      <c r="S30" s="1"/>
      <c r="T30" s="1">
        <f>SUM(OSRRefT22_1x_0)</f>
        <v>85215.37</v>
      </c>
      <c r="U30" s="1"/>
      <c r="V30" s="5">
        <f t="shared" ref="V30:V36" si="17">IF(T$12=0,0,T30/T$12)</f>
        <v>0.2538649932076551</v>
      </c>
      <c r="W30" s="1"/>
      <c r="X30" s="1">
        <f t="shared" ref="X30:X36" si="18">+P30-T30</f>
        <v>3747.8400000000111</v>
      </c>
      <c r="Y30" s="1"/>
      <c r="Z30" s="5">
        <f t="shared" ref="Z30:Z36" si="19">IF(T30=0,0,X30/T30)</f>
        <v>4.3980798299649598E-2</v>
      </c>
    </row>
    <row r="31" spans="1:26" s="24" customFormat="1" hidden="1" outlineLevel="2" x14ac:dyDescent="0.3">
      <c r="A31" s="28"/>
      <c r="B31" s="11" t="str">
        <f>CONCATENATE("          ", "6001", " - ", "ADMINISTRATIVE SALARIES")</f>
        <v xml:space="preserve">          6001 - ADMINISTRATIVE SALARIES</v>
      </c>
      <c r="C31" s="11"/>
      <c r="D31" s="6">
        <v>4658.26</v>
      </c>
      <c r="E31" s="2"/>
      <c r="F31" s="7">
        <f t="shared" si="12"/>
        <v>-0.31063350226727127</v>
      </c>
      <c r="G31" s="2"/>
      <c r="H31" s="6">
        <v>3785.15</v>
      </c>
      <c r="I31" s="2"/>
      <c r="J31" s="7">
        <f t="shared" si="13"/>
        <v>0.2862117202268431</v>
      </c>
      <c r="K31" s="2"/>
      <c r="L31" s="6">
        <f t="shared" si="14"/>
        <v>873.11000000000013</v>
      </c>
      <c r="M31" s="2"/>
      <c r="N31" s="7">
        <f t="shared" si="15"/>
        <v>0.23066721266000029</v>
      </c>
      <c r="O31" s="11"/>
      <c r="P31" s="6">
        <v>28334.79</v>
      </c>
      <c r="Q31" s="2"/>
      <c r="R31" s="7">
        <f t="shared" si="16"/>
        <v>9.7858697003605624E-2</v>
      </c>
      <c r="S31" s="2"/>
      <c r="T31" s="6">
        <v>25654.89</v>
      </c>
      <c r="U31" s="2"/>
      <c r="V31" s="7">
        <f t="shared" si="17"/>
        <v>7.6428448008770467E-2</v>
      </c>
      <c r="W31" s="2"/>
      <c r="X31" s="6">
        <f t="shared" si="18"/>
        <v>2679.9000000000015</v>
      </c>
      <c r="Y31" s="2"/>
      <c r="Z31" s="7">
        <f t="shared" si="19"/>
        <v>0.10445961764014586</v>
      </c>
    </row>
    <row r="32" spans="1:26" s="24" customFormat="1" hidden="1" outlineLevel="2" x14ac:dyDescent="0.3">
      <c r="A32" s="28"/>
      <c r="B32" s="11" t="str">
        <f>CONCATENATE("          ", "6002", " - ", "STAFF SALARIES")</f>
        <v xml:space="preserve">          6002 - STAFF SALARIES</v>
      </c>
      <c r="C32" s="11"/>
      <c r="D32" s="6">
        <v>1360</v>
      </c>
      <c r="E32" s="2"/>
      <c r="F32" s="7">
        <f t="shared" si="12"/>
        <v>-9.0690850893571623E-2</v>
      </c>
      <c r="G32" s="2"/>
      <c r="H32" s="6">
        <v>1939.95</v>
      </c>
      <c r="I32" s="2"/>
      <c r="J32" s="7">
        <f t="shared" si="13"/>
        <v>0.14668809073724007</v>
      </c>
      <c r="K32" s="2"/>
      <c r="L32" s="6">
        <f t="shared" si="14"/>
        <v>-579.95000000000005</v>
      </c>
      <c r="M32" s="2"/>
      <c r="N32" s="7">
        <f t="shared" si="15"/>
        <v>-0.29895100389185292</v>
      </c>
      <c r="O32" s="11"/>
      <c r="P32" s="6">
        <v>11552.57</v>
      </c>
      <c r="Q32" s="2"/>
      <c r="R32" s="7">
        <f t="shared" si="16"/>
        <v>3.9898635114039814E-2</v>
      </c>
      <c r="S32" s="2"/>
      <c r="T32" s="6">
        <v>13693.79</v>
      </c>
      <c r="U32" s="2"/>
      <c r="V32" s="7">
        <f t="shared" si="17"/>
        <v>4.0795151219047171E-2</v>
      </c>
      <c r="W32" s="2"/>
      <c r="X32" s="6">
        <f t="shared" si="18"/>
        <v>-2141.2200000000012</v>
      </c>
      <c r="Y32" s="2"/>
      <c r="Z32" s="7">
        <f t="shared" si="19"/>
        <v>-0.15636430820101674</v>
      </c>
    </row>
    <row r="33" spans="1:26" s="24" customFormat="1" hidden="1" outlineLevel="2" x14ac:dyDescent="0.3">
      <c r="A33" s="28"/>
      <c r="B33" s="11" t="str">
        <f>CONCATENATE("          ", "6004", " - ", "STAFF HOURLY")</f>
        <v xml:space="preserve">          6004 - STAFF HOURLY</v>
      </c>
      <c r="C33" s="11"/>
      <c r="D33" s="6">
        <v>1000.06</v>
      </c>
      <c r="E33" s="2"/>
      <c r="F33" s="7">
        <f t="shared" si="12"/>
        <v>-6.6688450253400908E-2</v>
      </c>
      <c r="G33" s="2"/>
      <c r="H33" s="6"/>
      <c r="I33" s="2"/>
      <c r="J33" s="7">
        <f t="shared" si="13"/>
        <v>0</v>
      </c>
      <c r="K33" s="2"/>
      <c r="L33" s="6">
        <f t="shared" si="14"/>
        <v>1000.06</v>
      </c>
      <c r="M33" s="2"/>
      <c r="N33" s="7">
        <f t="shared" si="15"/>
        <v>0</v>
      </c>
      <c r="O33" s="11"/>
      <c r="P33" s="6">
        <v>8152.38</v>
      </c>
      <c r="Q33" s="2"/>
      <c r="R33" s="7">
        <f t="shared" si="16"/>
        <v>2.8155538977993288E-2</v>
      </c>
      <c r="S33" s="2"/>
      <c r="T33" s="6"/>
      <c r="U33" s="2"/>
      <c r="V33" s="7">
        <f t="shared" si="17"/>
        <v>0</v>
      </c>
      <c r="W33" s="2"/>
      <c r="X33" s="6">
        <f t="shared" si="18"/>
        <v>8152.38</v>
      </c>
      <c r="Y33" s="2"/>
      <c r="Z33" s="7">
        <f t="shared" si="19"/>
        <v>0</v>
      </c>
    </row>
    <row r="34" spans="1:26" s="24" customFormat="1" hidden="1" outlineLevel="2" x14ac:dyDescent="0.3">
      <c r="A34" s="28"/>
      <c r="B34" s="11" t="str">
        <f>CONCATENATE("          ", "6005", " - ", "TEMPORARY WAGES-HOURLY")</f>
        <v xml:space="preserve">          6005 - TEMPORARY WAGES-HOURLY</v>
      </c>
      <c r="C34" s="11"/>
      <c r="D34" s="6">
        <v>4211.55</v>
      </c>
      <c r="E34" s="2"/>
      <c r="F34" s="7">
        <f t="shared" si="12"/>
        <v>-0.28084489197119233</v>
      </c>
      <c r="G34" s="2"/>
      <c r="H34" s="6">
        <v>5819.39</v>
      </c>
      <c r="I34" s="2"/>
      <c r="J34" s="7">
        <f t="shared" si="13"/>
        <v>0.44002948960302463</v>
      </c>
      <c r="K34" s="2"/>
      <c r="L34" s="6">
        <f t="shared" si="14"/>
        <v>-1607.8400000000001</v>
      </c>
      <c r="M34" s="2"/>
      <c r="N34" s="7">
        <f t="shared" si="15"/>
        <v>-0.27629012662839231</v>
      </c>
      <c r="O34" s="11"/>
      <c r="P34" s="6">
        <v>37027.67</v>
      </c>
      <c r="Q34" s="2"/>
      <c r="R34" s="7">
        <f t="shared" si="16"/>
        <v>0.12788093856631716</v>
      </c>
      <c r="S34" s="2"/>
      <c r="T34" s="6">
        <v>39166.15</v>
      </c>
      <c r="U34" s="2"/>
      <c r="V34" s="7">
        <f t="shared" si="17"/>
        <v>0.11667982435234396</v>
      </c>
      <c r="W34" s="2"/>
      <c r="X34" s="6">
        <f t="shared" si="18"/>
        <v>-2138.4800000000032</v>
      </c>
      <c r="Y34" s="2"/>
      <c r="Z34" s="7">
        <f t="shared" si="19"/>
        <v>-5.4600209619786552E-2</v>
      </c>
    </row>
    <row r="35" spans="1:26" s="24" customFormat="1" hidden="1" outlineLevel="2" x14ac:dyDescent="0.3">
      <c r="A35" s="28"/>
      <c r="B35" s="11" t="str">
        <f>CONCATENATE("          ", "6007", " - ", "STUDENT HOURLY")</f>
        <v xml:space="preserve">          6007 - STUDENT HOURLY</v>
      </c>
      <c r="C35" s="11"/>
      <c r="D35" s="6">
        <v>287.27999999999997</v>
      </c>
      <c r="E35" s="2"/>
      <c r="F35" s="7">
        <f t="shared" si="12"/>
        <v>-1.9157108562283275E-2</v>
      </c>
      <c r="G35" s="2"/>
      <c r="H35" s="6">
        <v>612</v>
      </c>
      <c r="I35" s="2"/>
      <c r="J35" s="7">
        <f t="shared" si="13"/>
        <v>4.6275992438563326E-2</v>
      </c>
      <c r="K35" s="2"/>
      <c r="L35" s="6">
        <f t="shared" si="14"/>
        <v>-324.72000000000003</v>
      </c>
      <c r="M35" s="2"/>
      <c r="N35" s="7">
        <f t="shared" si="15"/>
        <v>-0.53058823529411769</v>
      </c>
      <c r="O35" s="11"/>
      <c r="P35" s="6">
        <v>3731.58</v>
      </c>
      <c r="Q35" s="2"/>
      <c r="R35" s="7">
        <f t="shared" si="16"/>
        <v>1.2887604127813005E-2</v>
      </c>
      <c r="S35" s="2"/>
      <c r="T35" s="6">
        <v>3927.98</v>
      </c>
      <c r="U35" s="2"/>
      <c r="V35" s="7">
        <f t="shared" si="17"/>
        <v>1.1701839891322481E-2</v>
      </c>
      <c r="W35" s="2"/>
      <c r="X35" s="6">
        <f t="shared" si="18"/>
        <v>-196.40000000000009</v>
      </c>
      <c r="Y35" s="2"/>
      <c r="Z35" s="7">
        <f t="shared" si="19"/>
        <v>-5.0000254583780997E-2</v>
      </c>
    </row>
    <row r="36" spans="1:26" s="24" customFormat="1" hidden="1" outlineLevel="2" x14ac:dyDescent="0.3">
      <c r="A36" s="28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12"/>
        <v>0</v>
      </c>
      <c r="G36" s="2"/>
      <c r="H36" s="6">
        <v>403.48</v>
      </c>
      <c r="I36" s="2"/>
      <c r="J36" s="7">
        <f t="shared" si="13"/>
        <v>3.0508884688090737E-2</v>
      </c>
      <c r="K36" s="2"/>
      <c r="L36" s="6">
        <f t="shared" si="14"/>
        <v>-403.48</v>
      </c>
      <c r="M36" s="2"/>
      <c r="N36" s="7">
        <f t="shared" si="15"/>
        <v>-1</v>
      </c>
      <c r="O36" s="11"/>
      <c r="P36" s="6">
        <v>164.22</v>
      </c>
      <c r="Q36" s="2"/>
      <c r="R36" s="7">
        <f t="shared" si="16"/>
        <v>5.6715984914418338E-4</v>
      </c>
      <c r="S36" s="2"/>
      <c r="T36" s="6">
        <v>2772.56</v>
      </c>
      <c r="U36" s="2"/>
      <c r="V36" s="7">
        <f t="shared" si="17"/>
        <v>8.2597297361710238E-3</v>
      </c>
      <c r="W36" s="2"/>
      <c r="X36" s="6">
        <f t="shared" si="18"/>
        <v>-2608.34</v>
      </c>
      <c r="Y36" s="2"/>
      <c r="Z36" s="7">
        <f t="shared" si="19"/>
        <v>-0.94076954150676639</v>
      </c>
    </row>
    <row r="37" spans="1:26" s="29" customFormat="1" outlineLevel="1" collapsed="1" x14ac:dyDescent="0.3">
      <c r="A37" s="27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0</v>
      </c>
      <c r="E37" s="1"/>
      <c r="F37" s="5">
        <f t="shared" ref="F37:F43" si="20">IF(D$12=0,0,D37/D$12)</f>
        <v>0</v>
      </c>
      <c r="G37" s="1"/>
      <c r="H37" s="1">
        <f>SUM(OSRRefH22_2x_0)</f>
        <v>0</v>
      </c>
      <c r="I37" s="1"/>
      <c r="J37" s="5">
        <f t="shared" ref="J37:J43" si="21">IF(H$12=0,0,H37/H$12)</f>
        <v>0</v>
      </c>
      <c r="K37" s="1"/>
      <c r="L37" s="1">
        <f t="shared" ref="L37:L43" si="22">+D37-H37</f>
        <v>0</v>
      </c>
      <c r="M37" s="1"/>
      <c r="N37" s="5">
        <f t="shared" ref="N37:N43" si="23">IF(H37=0,0,L37/H37)</f>
        <v>0</v>
      </c>
      <c r="O37" s="14"/>
      <c r="P37" s="1">
        <f>SUM(OSRRefP22_2x_0)</f>
        <v>112.46</v>
      </c>
      <c r="Q37" s="1"/>
      <c r="R37" s="5">
        <f t="shared" ref="R37:R43" si="24">IF(P$12=0,0,P37/P$12)</f>
        <v>3.8839846933841712E-4</v>
      </c>
      <c r="S37" s="1"/>
      <c r="T37" s="1">
        <f>SUM(OSRRefT22_2x_0)</f>
        <v>0</v>
      </c>
      <c r="U37" s="1"/>
      <c r="V37" s="5">
        <f t="shared" ref="V37:V43" si="25">IF(T$12=0,0,T37/T$12)</f>
        <v>0</v>
      </c>
      <c r="W37" s="1"/>
      <c r="X37" s="1">
        <f t="shared" ref="X37:X43" si="26">+P37-T37</f>
        <v>112.46</v>
      </c>
      <c r="Y37" s="1"/>
      <c r="Z37" s="5">
        <f t="shared" ref="Z37:Z43" si="27">IF(T37=0,0,X37/T37)</f>
        <v>0</v>
      </c>
    </row>
    <row r="38" spans="1:26" s="24" customFormat="1" hidden="1" outlineLevel="2" x14ac:dyDescent="0.3">
      <c r="A38" s="28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20"/>
        <v>0</v>
      </c>
      <c r="G38" s="2"/>
      <c r="H38" s="6"/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>
        <v>112.46</v>
      </c>
      <c r="Q38" s="2"/>
      <c r="R38" s="7">
        <f t="shared" si="24"/>
        <v>3.8839846933841712E-4</v>
      </c>
      <c r="S38" s="2"/>
      <c r="T38" s="6"/>
      <c r="U38" s="2"/>
      <c r="V38" s="7">
        <f t="shared" si="25"/>
        <v>0</v>
      </c>
      <c r="W38" s="2"/>
      <c r="X38" s="6">
        <f t="shared" si="26"/>
        <v>112.46</v>
      </c>
      <c r="Y38" s="2"/>
      <c r="Z38" s="7">
        <f t="shared" si="27"/>
        <v>0</v>
      </c>
    </row>
    <row r="39" spans="1:26" s="29" customFormat="1" outlineLevel="1" collapsed="1" x14ac:dyDescent="0.3">
      <c r="A39" s="27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SUM(OSRRefD22_3x_0)</f>
        <v>278</v>
      </c>
      <c r="E39" s="1"/>
      <c r="F39" s="5">
        <f t="shared" si="20"/>
        <v>-1.8538276873833023E-2</v>
      </c>
      <c r="G39" s="1"/>
      <c r="H39" s="1">
        <f>SUM(OSRRefH22_3x_0)</f>
        <v>45.41</v>
      </c>
      <c r="I39" s="1"/>
      <c r="J39" s="5">
        <f t="shared" si="21"/>
        <v>3.4336483931947069E-3</v>
      </c>
      <c r="K39" s="1"/>
      <c r="L39" s="1">
        <f t="shared" si="22"/>
        <v>232.59</v>
      </c>
      <c r="M39" s="1"/>
      <c r="N39" s="5">
        <f t="shared" si="23"/>
        <v>5.1219995595683772</v>
      </c>
      <c r="O39" s="14"/>
      <c r="P39" s="1">
        <f>SUM(OSRRefP22_3x_0)</f>
        <v>1810.5</v>
      </c>
      <c r="Q39" s="1"/>
      <c r="R39" s="5">
        <f t="shared" si="24"/>
        <v>6.2528492685150648E-3</v>
      </c>
      <c r="S39" s="1"/>
      <c r="T39" s="1">
        <f>SUM(OSRRefT22_3x_0)</f>
        <v>619.58000000000004</v>
      </c>
      <c r="U39" s="1"/>
      <c r="V39" s="5">
        <f t="shared" si="25"/>
        <v>1.8457899377964204E-3</v>
      </c>
      <c r="W39" s="1"/>
      <c r="X39" s="1">
        <f t="shared" si="26"/>
        <v>1190.92</v>
      </c>
      <c r="Y39" s="1"/>
      <c r="Z39" s="5">
        <f t="shared" si="27"/>
        <v>1.9221408050614932</v>
      </c>
    </row>
    <row r="40" spans="1:26" s="24" customFormat="1" hidden="1" outlineLevel="2" x14ac:dyDescent="0.3">
      <c r="A40" s="28"/>
      <c r="B40" s="11" t="str">
        <f>CONCATENATE("          ", "6381", " - ", "BANK/CREDIT CARD FEES")</f>
        <v xml:space="preserve">          6381 - BANK/CREDIT CARD FEES</v>
      </c>
      <c r="C40" s="11"/>
      <c r="D40" s="6">
        <v>278</v>
      </c>
      <c r="E40" s="2"/>
      <c r="F40" s="7">
        <f t="shared" si="20"/>
        <v>-1.8538276873833023E-2</v>
      </c>
      <c r="G40" s="2"/>
      <c r="H40" s="6">
        <v>45.41</v>
      </c>
      <c r="I40" s="2"/>
      <c r="J40" s="7">
        <f t="shared" si="21"/>
        <v>3.4336483931947069E-3</v>
      </c>
      <c r="K40" s="2"/>
      <c r="L40" s="6">
        <f t="shared" si="22"/>
        <v>232.59</v>
      </c>
      <c r="M40" s="2"/>
      <c r="N40" s="7">
        <f t="shared" si="23"/>
        <v>5.1219995595683772</v>
      </c>
      <c r="O40" s="11"/>
      <c r="P40" s="6">
        <v>1810.5</v>
      </c>
      <c r="Q40" s="2"/>
      <c r="R40" s="7">
        <f t="shared" si="24"/>
        <v>6.2528492685150648E-3</v>
      </c>
      <c r="S40" s="2"/>
      <c r="T40" s="6">
        <v>619.58000000000004</v>
      </c>
      <c r="U40" s="2"/>
      <c r="V40" s="7">
        <f t="shared" si="25"/>
        <v>1.8457899377964204E-3</v>
      </c>
      <c r="W40" s="2"/>
      <c r="X40" s="6">
        <f t="shared" si="26"/>
        <v>1190.92</v>
      </c>
      <c r="Y40" s="2"/>
      <c r="Z40" s="7">
        <f t="shared" si="27"/>
        <v>1.9221408050614932</v>
      </c>
    </row>
    <row r="41" spans="1:26" s="29" customFormat="1" outlineLevel="1" collapsed="1" x14ac:dyDescent="0.3">
      <c r="A41" s="27"/>
      <c r="B41" s="14" t="str">
        <f>CONCATENATE("     ","Freight out/Postage                               ")</f>
        <v xml:space="preserve">     Freight out/Postage                               </v>
      </c>
      <c r="C41" s="14"/>
      <c r="D41" s="1">
        <f>SUM(OSRRefD22_4x_0)</f>
        <v>0</v>
      </c>
      <c r="E41" s="1"/>
      <c r="F41" s="5">
        <f t="shared" si="20"/>
        <v>0</v>
      </c>
      <c r="G41" s="1"/>
      <c r="H41" s="1">
        <f>SUM(OSRRefH22_4x_0)</f>
        <v>0</v>
      </c>
      <c r="I41" s="1"/>
      <c r="J41" s="5">
        <f t="shared" si="21"/>
        <v>0</v>
      </c>
      <c r="K41" s="1"/>
      <c r="L41" s="1">
        <f t="shared" si="22"/>
        <v>0</v>
      </c>
      <c r="M41" s="1"/>
      <c r="N41" s="5">
        <f t="shared" si="23"/>
        <v>0</v>
      </c>
      <c r="O41" s="14"/>
      <c r="P41" s="1">
        <f>SUM(OSRRefP22_4x_0)</f>
        <v>0.62</v>
      </c>
      <c r="Q41" s="1"/>
      <c r="R41" s="5">
        <f t="shared" si="24"/>
        <v>2.1412684598063188E-6</v>
      </c>
      <c r="S41" s="1"/>
      <c r="T41" s="1">
        <f>SUM(OSRRefT22_4x_0)</f>
        <v>2.12</v>
      </c>
      <c r="U41" s="1"/>
      <c r="V41" s="5">
        <f t="shared" si="25"/>
        <v>6.3156891250983107E-6</v>
      </c>
      <c r="W41" s="1"/>
      <c r="X41" s="1">
        <f t="shared" si="26"/>
        <v>-1.5</v>
      </c>
      <c r="Y41" s="1"/>
      <c r="Z41" s="5">
        <f t="shared" si="27"/>
        <v>-0.70754716981132071</v>
      </c>
    </row>
    <row r="42" spans="1:26" s="24" customFormat="1" hidden="1" outlineLevel="2" x14ac:dyDescent="0.3">
      <c r="A42" s="28"/>
      <c r="B42" s="11" t="str">
        <f>CONCATENATE("          ", "6305", " - ", "FREIGHT OUT")</f>
        <v xml:space="preserve">          6305 - FREIGHT OUT</v>
      </c>
      <c r="C42" s="11"/>
      <c r="D42" s="6"/>
      <c r="E42" s="2"/>
      <c r="F42" s="7">
        <f t="shared" si="20"/>
        <v>0</v>
      </c>
      <c r="G42" s="2"/>
      <c r="H42" s="6"/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0.62</v>
      </c>
      <c r="Q42" s="2"/>
      <c r="R42" s="7">
        <f t="shared" si="24"/>
        <v>2.1412684598063188E-6</v>
      </c>
      <c r="S42" s="2"/>
      <c r="T42" s="6">
        <v>1.62</v>
      </c>
      <c r="U42" s="2"/>
      <c r="V42" s="7">
        <f t="shared" si="25"/>
        <v>4.8261398031411622E-6</v>
      </c>
      <c r="W42" s="2"/>
      <c r="X42" s="6">
        <f t="shared" si="26"/>
        <v>-1</v>
      </c>
      <c r="Y42" s="2"/>
      <c r="Z42" s="7">
        <f t="shared" si="27"/>
        <v>-0.61728395061728392</v>
      </c>
    </row>
    <row r="43" spans="1:26" s="24" customFormat="1" hidden="1" outlineLevel="2" x14ac:dyDescent="0.3">
      <c r="A43" s="28"/>
      <c r="B43" s="11" t="str">
        <f>CONCATENATE("          ", "6307", " - ", "POSTAGE")</f>
        <v xml:space="preserve">          6307 - POSTAGE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0.5</v>
      </c>
      <c r="U43" s="2"/>
      <c r="V43" s="7">
        <f t="shared" si="25"/>
        <v>1.4895493219571487E-6</v>
      </c>
      <c r="W43" s="2"/>
      <c r="X43" s="6">
        <f t="shared" si="26"/>
        <v>-0.5</v>
      </c>
      <c r="Y43" s="2"/>
      <c r="Z43" s="7">
        <f t="shared" si="27"/>
        <v>-1</v>
      </c>
    </row>
    <row r="44" spans="1:26" s="29" customFormat="1" outlineLevel="1" collapsed="1" x14ac:dyDescent="0.3">
      <c r="A44" s="27"/>
      <c r="B44" s="14" t="str">
        <f>CONCATENATE("     ","Insurance                                         ")</f>
        <v xml:space="preserve">     Insurance                                         </v>
      </c>
      <c r="C44" s="14"/>
      <c r="D44" s="1">
        <f>SUM(OSRRefD22_5x_0)</f>
        <v>39.43</v>
      </c>
      <c r="E44" s="1"/>
      <c r="F44" s="5">
        <f t="shared" ref="F44:F50" si="28">IF(D$12=0,0,D44/D$12)</f>
        <v>-2.6293678314217124E-3</v>
      </c>
      <c r="G44" s="1"/>
      <c r="H44" s="1">
        <f>SUM(OSRRefH22_5x_0)</f>
        <v>29.01</v>
      </c>
      <c r="I44" s="1"/>
      <c r="J44" s="5">
        <f t="shared" ref="J44:J50" si="29">IF(H$12=0,0,H44/H$12)</f>
        <v>2.1935727788279773E-3</v>
      </c>
      <c r="K44" s="1"/>
      <c r="L44" s="1">
        <f t="shared" ref="L44:L50" si="30">+D44-H44</f>
        <v>10.419999999999998</v>
      </c>
      <c r="M44" s="1"/>
      <c r="N44" s="5">
        <f t="shared" ref="N44:N50" si="31">IF(H44=0,0,L44/H44)</f>
        <v>0.35918648741813158</v>
      </c>
      <c r="O44" s="14"/>
      <c r="P44" s="1">
        <f>SUM(OSRRefP22_5x_0)</f>
        <v>236.58</v>
      </c>
      <c r="Q44" s="1"/>
      <c r="R44" s="5">
        <f t="shared" ref="R44:R50" si="32">IF(P$12=0,0,P44/P$12)</f>
        <v>8.1706660035641766E-4</v>
      </c>
      <c r="S44" s="1"/>
      <c r="T44" s="1">
        <f>SUM(OSRRefT22_5x_0)</f>
        <v>174.06</v>
      </c>
      <c r="U44" s="1"/>
      <c r="V44" s="5">
        <f t="shared" ref="V44:V50" si="33">IF(T$12=0,0,T44/T$12)</f>
        <v>5.1854190995972256E-4</v>
      </c>
      <c r="W44" s="1"/>
      <c r="X44" s="1">
        <f t="shared" ref="X44:X50" si="34">+P44-T44</f>
        <v>62.52000000000001</v>
      </c>
      <c r="Y44" s="1"/>
      <c r="Z44" s="5">
        <f t="shared" ref="Z44:Z50" si="35">IF(T44=0,0,X44/T44)</f>
        <v>0.35918648741813175</v>
      </c>
    </row>
    <row r="45" spans="1:26" s="24" customFormat="1" hidden="1" outlineLevel="2" x14ac:dyDescent="0.3">
      <c r="A45" s="28"/>
      <c r="B45" s="11" t="str">
        <f>CONCATENATE("          ", "6314", " - ", "LIABILITY INSURANCE")</f>
        <v xml:space="preserve">          6314 - LIABILITY INSURANCE</v>
      </c>
      <c r="C45" s="11"/>
      <c r="D45" s="6">
        <v>39.43</v>
      </c>
      <c r="E45" s="2"/>
      <c r="F45" s="7">
        <f t="shared" si="28"/>
        <v>-2.6293678314217124E-3</v>
      </c>
      <c r="G45" s="2"/>
      <c r="H45" s="6">
        <v>29.01</v>
      </c>
      <c r="I45" s="2"/>
      <c r="J45" s="7">
        <f t="shared" si="29"/>
        <v>2.1935727788279773E-3</v>
      </c>
      <c r="K45" s="2"/>
      <c r="L45" s="6">
        <f t="shared" si="30"/>
        <v>10.419999999999998</v>
      </c>
      <c r="M45" s="2"/>
      <c r="N45" s="7">
        <f t="shared" si="31"/>
        <v>0.35918648741813158</v>
      </c>
      <c r="O45" s="11"/>
      <c r="P45" s="6">
        <v>236.58</v>
      </c>
      <c r="Q45" s="2"/>
      <c r="R45" s="7">
        <f t="shared" si="32"/>
        <v>8.1706660035641766E-4</v>
      </c>
      <c r="S45" s="2"/>
      <c r="T45" s="6">
        <v>174.06</v>
      </c>
      <c r="U45" s="2"/>
      <c r="V45" s="7">
        <f t="shared" si="33"/>
        <v>5.1854190995972256E-4</v>
      </c>
      <c r="W45" s="2"/>
      <c r="X45" s="6">
        <f t="shared" si="34"/>
        <v>62.52000000000001</v>
      </c>
      <c r="Y45" s="2"/>
      <c r="Z45" s="7">
        <f t="shared" si="35"/>
        <v>0.35918648741813175</v>
      </c>
    </row>
    <row r="46" spans="1:26" s="29" customFormat="1" outlineLevel="1" collapsed="1" x14ac:dyDescent="0.3">
      <c r="A46" s="27"/>
      <c r="B46" s="14" t="str">
        <f>CONCATENATE("     ","Rent                                              ")</f>
        <v xml:space="preserve">     Rent                                              </v>
      </c>
      <c r="C46" s="14"/>
      <c r="D46" s="1">
        <f>SUM(OSRRefD22_6x_0)</f>
        <v>800</v>
      </c>
      <c r="E46" s="1"/>
      <c r="F46" s="5">
        <f t="shared" si="28"/>
        <v>-5.3347559349159773E-2</v>
      </c>
      <c r="G46" s="1"/>
      <c r="H46" s="1">
        <f>SUM(OSRRefH22_6x_0)</f>
        <v>800</v>
      </c>
      <c r="I46" s="1"/>
      <c r="J46" s="5">
        <f t="shared" si="29"/>
        <v>6.0491493383742913E-2</v>
      </c>
      <c r="K46" s="1"/>
      <c r="L46" s="1">
        <f t="shared" si="30"/>
        <v>0</v>
      </c>
      <c r="M46" s="1"/>
      <c r="N46" s="5">
        <f t="shared" si="31"/>
        <v>0</v>
      </c>
      <c r="O46" s="14"/>
      <c r="P46" s="1">
        <f>SUM(OSRRefP22_6x_0)</f>
        <v>4800</v>
      </c>
      <c r="Q46" s="1"/>
      <c r="R46" s="5">
        <f t="shared" si="32"/>
        <v>1.6577562269468275E-2</v>
      </c>
      <c r="S46" s="1"/>
      <c r="T46" s="1">
        <f>SUM(OSRRefT22_6x_0)</f>
        <v>4800</v>
      </c>
      <c r="U46" s="1"/>
      <c r="V46" s="5">
        <f t="shared" si="33"/>
        <v>1.4299673490788627E-2</v>
      </c>
      <c r="W46" s="1"/>
      <c r="X46" s="1">
        <f t="shared" si="34"/>
        <v>0</v>
      </c>
      <c r="Y46" s="1"/>
      <c r="Z46" s="5">
        <f t="shared" si="35"/>
        <v>0</v>
      </c>
    </row>
    <row r="47" spans="1:26" s="24" customFormat="1" hidden="1" outlineLevel="2" x14ac:dyDescent="0.3">
      <c r="A47" s="28"/>
      <c r="B47" s="11" t="str">
        <f>CONCATENATE("          ", "6273", " - ", "RENT")</f>
        <v xml:space="preserve">          6273 - RENT</v>
      </c>
      <c r="C47" s="11"/>
      <c r="D47" s="6">
        <v>800</v>
      </c>
      <c r="E47" s="2"/>
      <c r="F47" s="7">
        <f t="shared" si="28"/>
        <v>-5.3347559349159773E-2</v>
      </c>
      <c r="G47" s="2"/>
      <c r="H47" s="6">
        <v>800</v>
      </c>
      <c r="I47" s="2"/>
      <c r="J47" s="7">
        <f t="shared" si="29"/>
        <v>6.0491493383742913E-2</v>
      </c>
      <c r="K47" s="2"/>
      <c r="L47" s="6">
        <f t="shared" si="30"/>
        <v>0</v>
      </c>
      <c r="M47" s="2"/>
      <c r="N47" s="7">
        <f t="shared" si="31"/>
        <v>0</v>
      </c>
      <c r="O47" s="11"/>
      <c r="P47" s="6">
        <v>4800</v>
      </c>
      <c r="Q47" s="2"/>
      <c r="R47" s="7">
        <f t="shared" si="32"/>
        <v>1.6577562269468275E-2</v>
      </c>
      <c r="S47" s="2"/>
      <c r="T47" s="6">
        <v>4800</v>
      </c>
      <c r="U47" s="2"/>
      <c r="V47" s="7">
        <f t="shared" si="33"/>
        <v>1.4299673490788627E-2</v>
      </c>
      <c r="W47" s="2"/>
      <c r="X47" s="6">
        <f t="shared" si="34"/>
        <v>0</v>
      </c>
      <c r="Y47" s="2"/>
      <c r="Z47" s="7">
        <f t="shared" si="35"/>
        <v>0</v>
      </c>
    </row>
    <row r="48" spans="1:26" s="29" customFormat="1" outlineLevel="1" collapsed="1" x14ac:dyDescent="0.3">
      <c r="A48" s="27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SUM(OSRRefD22_7x_0)</f>
        <v>0</v>
      </c>
      <c r="E48" s="1"/>
      <c r="F48" s="5">
        <f t="shared" si="28"/>
        <v>0</v>
      </c>
      <c r="G48" s="1"/>
      <c r="H48" s="1">
        <f>SUM(OSRRefH22_7x_0)</f>
        <v>3087</v>
      </c>
      <c r="I48" s="1"/>
      <c r="J48" s="5">
        <f t="shared" si="29"/>
        <v>0.23342155009451795</v>
      </c>
      <c r="K48" s="1"/>
      <c r="L48" s="1">
        <f t="shared" si="30"/>
        <v>-3087</v>
      </c>
      <c r="M48" s="1"/>
      <c r="N48" s="5">
        <f t="shared" si="31"/>
        <v>-1</v>
      </c>
      <c r="O48" s="14"/>
      <c r="P48" s="1">
        <f>SUM(OSRRefP22_7x_0)</f>
        <v>122000.62</v>
      </c>
      <c r="Q48" s="1"/>
      <c r="R48" s="5">
        <f t="shared" si="32"/>
        <v>0.42134851561744513</v>
      </c>
      <c r="S48" s="1"/>
      <c r="T48" s="1">
        <f>SUM(OSRRefT22_7x_0)</f>
        <v>126914.9</v>
      </c>
      <c r="U48" s="1"/>
      <c r="V48" s="5">
        <f t="shared" si="33"/>
        <v>0.37809200648251862</v>
      </c>
      <c r="W48" s="1"/>
      <c r="X48" s="1">
        <f t="shared" si="34"/>
        <v>-4914.2799999999988</v>
      </c>
      <c r="Y48" s="1"/>
      <c r="Z48" s="5">
        <f t="shared" si="35"/>
        <v>-3.8721064272201289E-2</v>
      </c>
    </row>
    <row r="49" spans="1:26" s="24" customFormat="1" hidden="1" outlineLevel="2" x14ac:dyDescent="0.3">
      <c r="A49" s="28"/>
      <c r="B49" s="11" t="str">
        <f>CONCATENATE("          ", "6373", " - ", "MAINTENANCE CONTRACTS")</f>
        <v xml:space="preserve">          6373 - MAINTENANCE CONTRACTS</v>
      </c>
      <c r="C49" s="11"/>
      <c r="D49" s="6"/>
      <c r="E49" s="2"/>
      <c r="F49" s="7">
        <f t="shared" si="28"/>
        <v>0</v>
      </c>
      <c r="G49" s="2"/>
      <c r="H49" s="6">
        <v>3087</v>
      </c>
      <c r="I49" s="2"/>
      <c r="J49" s="7">
        <f t="shared" si="29"/>
        <v>0.23342155009451795</v>
      </c>
      <c r="K49" s="2"/>
      <c r="L49" s="6">
        <f t="shared" si="30"/>
        <v>-3087</v>
      </c>
      <c r="M49" s="2"/>
      <c r="N49" s="7">
        <f t="shared" si="31"/>
        <v>-1</v>
      </c>
      <c r="O49" s="11"/>
      <c r="P49" s="6">
        <v>122000.62</v>
      </c>
      <c r="Q49" s="2"/>
      <c r="R49" s="7">
        <f t="shared" si="32"/>
        <v>0.42134851561744513</v>
      </c>
      <c r="S49" s="2"/>
      <c r="T49" s="6">
        <v>120352.9</v>
      </c>
      <c r="U49" s="2"/>
      <c r="V49" s="7">
        <f t="shared" si="33"/>
        <v>0.35854316118115304</v>
      </c>
      <c r="W49" s="2"/>
      <c r="X49" s="6">
        <f t="shared" si="34"/>
        <v>1647.7200000000012</v>
      </c>
      <c r="Y49" s="2"/>
      <c r="Z49" s="7">
        <f t="shared" si="35"/>
        <v>1.3690737821855569E-2</v>
      </c>
    </row>
    <row r="50" spans="1:26" s="24" customFormat="1" hidden="1" outlineLevel="2" x14ac:dyDescent="0.3">
      <c r="A50" s="28"/>
      <c r="B50" s="11" t="str">
        <f>CONCATENATE("          ", "6375", " - ", "OUTSIDE REPAIRS &amp; MAINTENANCE")</f>
        <v xml:space="preserve">          6375 - OUTSIDE REPAIRS &amp; MAINTENANCE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/>
      <c r="Q50" s="2"/>
      <c r="R50" s="7">
        <f t="shared" si="32"/>
        <v>0</v>
      </c>
      <c r="S50" s="2"/>
      <c r="T50" s="6">
        <v>6562</v>
      </c>
      <c r="U50" s="2"/>
      <c r="V50" s="7">
        <f t="shared" si="33"/>
        <v>1.9548845301365619E-2</v>
      </c>
      <c r="W50" s="2"/>
      <c r="X50" s="6">
        <f t="shared" si="34"/>
        <v>-6562</v>
      </c>
      <c r="Y50" s="2"/>
      <c r="Z50" s="7">
        <f t="shared" si="35"/>
        <v>-1</v>
      </c>
    </row>
    <row r="51" spans="1:26" s="29" customFormat="1" outlineLevel="1" collapsed="1" x14ac:dyDescent="0.3">
      <c r="A51" s="27"/>
      <c r="B51" s="14" t="str">
        <f>CONCATENATE("     ","Supplies                                          ")</f>
        <v xml:space="preserve">     Supplies                                          </v>
      </c>
      <c r="C51" s="14"/>
      <c r="D51" s="1">
        <f>SUM(OSRRefD22_8x_0)</f>
        <v>30.62</v>
      </c>
      <c r="E51" s="1"/>
      <c r="F51" s="5">
        <f t="shared" ref="F51:F53" si="36">IF(D$12=0,0,D51/D$12)</f>
        <v>-2.0418778340890904E-3</v>
      </c>
      <c r="G51" s="1"/>
      <c r="H51" s="1">
        <f>SUM(OSRRefH22_8x_0)</f>
        <v>0</v>
      </c>
      <c r="I51" s="1"/>
      <c r="J51" s="5">
        <f t="shared" ref="J51:J53" si="37">IF(H$12=0,0,H51/H$12)</f>
        <v>0</v>
      </c>
      <c r="K51" s="1"/>
      <c r="L51" s="1">
        <f t="shared" ref="L51:L53" si="38">+D51-H51</f>
        <v>30.62</v>
      </c>
      <c r="M51" s="1"/>
      <c r="N51" s="5">
        <f t="shared" ref="N51:N53" si="39">IF(H51=0,0,L51/H51)</f>
        <v>0</v>
      </c>
      <c r="O51" s="14"/>
      <c r="P51" s="1">
        <f>SUM(OSRRefP22_8x_0)</f>
        <v>15555.09</v>
      </c>
      <c r="Q51" s="1"/>
      <c r="R51" s="5">
        <f t="shared" ref="R51:R53" si="40">IF(P$12=0,0,P51/P$12)</f>
        <v>5.3721973558788182E-2</v>
      </c>
      <c r="S51" s="1"/>
      <c r="T51" s="1">
        <f>SUM(OSRRefT22_8x_0)</f>
        <v>41271.699999999997</v>
      </c>
      <c r="U51" s="1"/>
      <c r="V51" s="5">
        <f t="shared" ref="V51:V53" si="41">IF(T$12=0,0,T51/T$12)</f>
        <v>0.1229524655020377</v>
      </c>
      <c r="W51" s="1"/>
      <c r="X51" s="1">
        <f t="shared" ref="X51:X53" si="42">+P51-T51</f>
        <v>-25716.609999999997</v>
      </c>
      <c r="Y51" s="1"/>
      <c r="Z51" s="5">
        <f t="shared" ref="Z51:Z53" si="43">IF(T51=0,0,X51/T51)</f>
        <v>-0.62310517860907111</v>
      </c>
    </row>
    <row r="52" spans="1:26" s="24" customFormat="1" hidden="1" outlineLevel="2" x14ac:dyDescent="0.3">
      <c r="A52" s="28"/>
      <c r="B52" s="11" t="str">
        <f>CONCATENATE("          ", "6241", " - ", "OFFICE EXPENSE")</f>
        <v xml:space="preserve">          6241 - OFFICE EXPENSE</v>
      </c>
      <c r="C52" s="11"/>
      <c r="D52" s="6">
        <v>30.62</v>
      </c>
      <c r="E52" s="2"/>
      <c r="F52" s="7">
        <f t="shared" si="36"/>
        <v>-2.0418778340890904E-3</v>
      </c>
      <c r="G52" s="2"/>
      <c r="H52" s="6"/>
      <c r="I52" s="2"/>
      <c r="J52" s="7">
        <f t="shared" si="37"/>
        <v>0</v>
      </c>
      <c r="K52" s="2"/>
      <c r="L52" s="6">
        <f t="shared" si="38"/>
        <v>30.62</v>
      </c>
      <c r="M52" s="2"/>
      <c r="N52" s="7">
        <f t="shared" si="39"/>
        <v>0</v>
      </c>
      <c r="O52" s="11"/>
      <c r="P52" s="6">
        <v>15538.55</v>
      </c>
      <c r="Q52" s="2"/>
      <c r="R52" s="7">
        <f t="shared" si="40"/>
        <v>5.3664850042134636E-2</v>
      </c>
      <c r="S52" s="2"/>
      <c r="T52" s="6">
        <v>41271.699999999997</v>
      </c>
      <c r="U52" s="2"/>
      <c r="V52" s="7">
        <f t="shared" si="41"/>
        <v>0.1229524655020377</v>
      </c>
      <c r="W52" s="2"/>
      <c r="X52" s="6">
        <f t="shared" si="42"/>
        <v>-25733.149999999998</v>
      </c>
      <c r="Y52" s="2"/>
      <c r="Z52" s="7">
        <f t="shared" si="43"/>
        <v>-0.62350593748258487</v>
      </c>
    </row>
    <row r="53" spans="1:26" s="24" customFormat="1" hidden="1" outlineLevel="2" x14ac:dyDescent="0.3">
      <c r="A53" s="28"/>
      <c r="B53" s="11" t="str">
        <f>CONCATENATE("          ", "6247", " - ", "STORE SUPPLIES")</f>
        <v xml:space="preserve">          6247 - STORE SUPPLIES</v>
      </c>
      <c r="C53" s="11"/>
      <c r="D53" s="6"/>
      <c r="E53" s="2"/>
      <c r="F53" s="7">
        <f t="shared" si="36"/>
        <v>0</v>
      </c>
      <c r="G53" s="2"/>
      <c r="H53" s="6"/>
      <c r="I53" s="2"/>
      <c r="J53" s="7">
        <f t="shared" si="37"/>
        <v>0</v>
      </c>
      <c r="K53" s="2"/>
      <c r="L53" s="6">
        <f t="shared" si="38"/>
        <v>0</v>
      </c>
      <c r="M53" s="2"/>
      <c r="N53" s="7">
        <f t="shared" si="39"/>
        <v>0</v>
      </c>
      <c r="O53" s="11"/>
      <c r="P53" s="6">
        <v>16.54</v>
      </c>
      <c r="Q53" s="2"/>
      <c r="R53" s="7">
        <f t="shared" si="40"/>
        <v>5.7123516653542758E-5</v>
      </c>
      <c r="S53" s="2"/>
      <c r="T53" s="6"/>
      <c r="U53" s="2"/>
      <c r="V53" s="7">
        <f t="shared" si="41"/>
        <v>0</v>
      </c>
      <c r="W53" s="2"/>
      <c r="X53" s="6">
        <f t="shared" si="42"/>
        <v>16.54</v>
      </c>
      <c r="Y53" s="2"/>
      <c r="Z53" s="7">
        <f t="shared" si="43"/>
        <v>0</v>
      </c>
    </row>
    <row r="54" spans="1:26" s="29" customFormat="1" outlineLevel="1" collapsed="1" x14ac:dyDescent="0.3">
      <c r="A54" s="27"/>
      <c r="B54" s="14" t="str">
        <f>CONCATENATE("     ","Telephone/Data Lines                              ")</f>
        <v xml:space="preserve">     Telephone/Data Lines                              </v>
      </c>
      <c r="C54" s="14"/>
      <c r="D54" s="1">
        <f>SUM(OSRRefD22_9x_0)</f>
        <v>90.15</v>
      </c>
      <c r="E54" s="1"/>
      <c r="F54" s="5">
        <f t="shared" ref="F54:F57" si="44">IF(D$12=0,0,D54/D$12)</f>
        <v>-6.0116030941584422E-3</v>
      </c>
      <c r="G54" s="1"/>
      <c r="H54" s="1">
        <f>SUM(OSRRefH22_9x_0)</f>
        <v>136.15</v>
      </c>
      <c r="I54" s="1"/>
      <c r="J54" s="5">
        <f t="shared" ref="J54:J57" si="45">IF(H$12=0,0,H54/H$12)</f>
        <v>1.0294896030245746E-2</v>
      </c>
      <c r="K54" s="1"/>
      <c r="L54" s="1">
        <f t="shared" ref="L54:L57" si="46">+D54-H54</f>
        <v>-46</v>
      </c>
      <c r="M54" s="1"/>
      <c r="N54" s="5">
        <f t="shared" ref="N54:N57" si="47">IF(H54=0,0,L54/H54)</f>
        <v>-0.33786265148733013</v>
      </c>
      <c r="O54" s="14"/>
      <c r="P54" s="1">
        <f>SUM(OSRRefP22_9x_0)</f>
        <v>105</v>
      </c>
      <c r="Q54" s="1"/>
      <c r="R54" s="5">
        <f t="shared" ref="R54:R57" si="48">IF(P$12=0,0,P54/P$12)</f>
        <v>3.6263417464461851E-4</v>
      </c>
      <c r="S54" s="1"/>
      <c r="T54" s="1">
        <f>SUM(OSRRefT22_9x_0)</f>
        <v>1451.83</v>
      </c>
      <c r="U54" s="1"/>
      <c r="V54" s="5">
        <f t="shared" ref="V54:V57" si="49">IF(T$12=0,0,T54/T$12)</f>
        <v>4.3251447841940937E-3</v>
      </c>
      <c r="W54" s="1"/>
      <c r="X54" s="1">
        <f t="shared" ref="X54:X57" si="50">+P54-T54</f>
        <v>-1346.83</v>
      </c>
      <c r="Y54" s="1"/>
      <c r="Z54" s="5">
        <f t="shared" ref="Z54:Z57" si="51">IF(T54=0,0,X54/T54)</f>
        <v>-0.92767748290089058</v>
      </c>
    </row>
    <row r="55" spans="1:26" s="24" customFormat="1" hidden="1" outlineLevel="2" x14ac:dyDescent="0.3">
      <c r="A55" s="28"/>
      <c r="B55" s="11" t="str">
        <f>CONCATENATE("          ", "6309", " - ", "TELEPHONE")</f>
        <v xml:space="preserve">          6309 - TELEPHONE</v>
      </c>
      <c r="C55" s="11"/>
      <c r="D55" s="6">
        <v>90.15</v>
      </c>
      <c r="E55" s="2"/>
      <c r="F55" s="7">
        <f t="shared" si="44"/>
        <v>-6.0116030941584422E-3</v>
      </c>
      <c r="G55" s="2"/>
      <c r="H55" s="6">
        <v>136.15</v>
      </c>
      <c r="I55" s="2"/>
      <c r="J55" s="7">
        <f t="shared" si="45"/>
        <v>1.0294896030245746E-2</v>
      </c>
      <c r="K55" s="2"/>
      <c r="L55" s="6">
        <f t="shared" si="46"/>
        <v>-46</v>
      </c>
      <c r="M55" s="2"/>
      <c r="N55" s="7">
        <f t="shared" si="47"/>
        <v>-0.33786265148733013</v>
      </c>
      <c r="O55" s="11"/>
      <c r="P55" s="6">
        <v>105</v>
      </c>
      <c r="Q55" s="2"/>
      <c r="R55" s="7">
        <f t="shared" si="48"/>
        <v>3.6263417464461851E-4</v>
      </c>
      <c r="S55" s="2"/>
      <c r="T55" s="6">
        <v>1451.83</v>
      </c>
      <c r="U55" s="2"/>
      <c r="V55" s="7">
        <f t="shared" si="49"/>
        <v>4.3251447841940937E-3</v>
      </c>
      <c r="W55" s="2"/>
      <c r="X55" s="6">
        <f t="shared" si="50"/>
        <v>-1346.83</v>
      </c>
      <c r="Y55" s="2"/>
      <c r="Z55" s="7">
        <f t="shared" si="51"/>
        <v>-0.92767748290089058</v>
      </c>
    </row>
    <row r="56" spans="1:26" s="29" customFormat="1" outlineLevel="1" collapsed="1" x14ac:dyDescent="0.3">
      <c r="A56" s="27"/>
      <c r="B56" s="14" t="str">
        <f>CONCATENATE("     ","Training                                          ")</f>
        <v xml:space="preserve">     Training                                          </v>
      </c>
      <c r="C56" s="14"/>
      <c r="D56" s="1">
        <f>SUM(OSRRefD22_10x_0)</f>
        <v>0</v>
      </c>
      <c r="E56" s="1"/>
      <c r="F56" s="5">
        <f t="shared" si="44"/>
        <v>0</v>
      </c>
      <c r="G56" s="1"/>
      <c r="H56" s="1">
        <f>SUM(OSRRefH22_10x_0)</f>
        <v>0</v>
      </c>
      <c r="I56" s="1"/>
      <c r="J56" s="5">
        <f t="shared" si="45"/>
        <v>0</v>
      </c>
      <c r="K56" s="1"/>
      <c r="L56" s="1">
        <f t="shared" si="46"/>
        <v>0</v>
      </c>
      <c r="M56" s="1"/>
      <c r="N56" s="5">
        <f t="shared" si="47"/>
        <v>0</v>
      </c>
      <c r="O56" s="14"/>
      <c r="P56" s="1">
        <f>SUM(OSRRefP22_10x_0)</f>
        <v>2000</v>
      </c>
      <c r="Q56" s="1"/>
      <c r="R56" s="5">
        <f t="shared" si="48"/>
        <v>6.9073176122784481E-3</v>
      </c>
      <c r="S56" s="1"/>
      <c r="T56" s="1">
        <f>SUM(OSRRefT22_10x_0)</f>
        <v>0</v>
      </c>
      <c r="U56" s="1"/>
      <c r="V56" s="5">
        <f t="shared" si="49"/>
        <v>0</v>
      </c>
      <c r="W56" s="1"/>
      <c r="X56" s="1">
        <f t="shared" si="50"/>
        <v>2000</v>
      </c>
      <c r="Y56" s="1"/>
      <c r="Z56" s="5">
        <f t="shared" si="51"/>
        <v>0</v>
      </c>
    </row>
    <row r="57" spans="1:26" s="24" customFormat="1" hidden="1" outlineLevel="2" x14ac:dyDescent="0.3">
      <c r="A57" s="28"/>
      <c r="B57" s="11" t="str">
        <f>CONCATENATE("          ", "6376", " - ", "TRAINING")</f>
        <v xml:space="preserve">          6376 - TRAINING</v>
      </c>
      <c r="C57" s="11"/>
      <c r="D57" s="6"/>
      <c r="E57" s="2"/>
      <c r="F57" s="7">
        <f t="shared" si="44"/>
        <v>0</v>
      </c>
      <c r="G57" s="2"/>
      <c r="H57" s="6"/>
      <c r="I57" s="2"/>
      <c r="J57" s="7">
        <f t="shared" si="45"/>
        <v>0</v>
      </c>
      <c r="K57" s="2"/>
      <c r="L57" s="6">
        <f t="shared" si="46"/>
        <v>0</v>
      </c>
      <c r="M57" s="2"/>
      <c r="N57" s="7">
        <f t="shared" si="47"/>
        <v>0</v>
      </c>
      <c r="O57" s="11"/>
      <c r="P57" s="6">
        <v>2000</v>
      </c>
      <c r="Q57" s="2"/>
      <c r="R57" s="7">
        <f t="shared" si="48"/>
        <v>6.9073176122784481E-3</v>
      </c>
      <c r="S57" s="2"/>
      <c r="T57" s="6"/>
      <c r="U57" s="2"/>
      <c r="V57" s="7">
        <f t="shared" si="49"/>
        <v>0</v>
      </c>
      <c r="W57" s="2"/>
      <c r="X57" s="6">
        <f t="shared" si="50"/>
        <v>2000</v>
      </c>
      <c r="Y57" s="2"/>
      <c r="Z57" s="7">
        <f t="shared" si="51"/>
        <v>0</v>
      </c>
    </row>
    <row r="58" spans="1:26" s="53" customFormat="1" x14ac:dyDescent="0.3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collapsed="1" x14ac:dyDescent="0.3">
      <c r="A59" s="10"/>
      <c r="B59" s="25" t="s">
        <v>292</v>
      </c>
      <c r="C59" s="10"/>
      <c r="D59" s="4">
        <f>SUM(OSRRefD25x_0)</f>
        <v>713.07</v>
      </c>
      <c r="E59" s="4"/>
      <c r="F59" s="12">
        <f t="shared" ref="F59:F60" si="52">IF(D$12=0,0,D59/D$12)</f>
        <v>-4.7550680181381706E-2</v>
      </c>
      <c r="G59" s="4"/>
      <c r="H59" s="4">
        <f>SUM(OSRRefH25x_0)</f>
        <v>140</v>
      </c>
      <c r="I59" s="4"/>
      <c r="J59" s="12">
        <f t="shared" ref="J59:J60" si="53">IF(H$12=0,0,H59/H$12)</f>
        <v>1.058601134215501E-2</v>
      </c>
      <c r="K59" s="4"/>
      <c r="L59" s="4">
        <f t="shared" ref="L59:L60" si="54">+D59-H59</f>
        <v>573.07000000000005</v>
      </c>
      <c r="M59" s="4"/>
      <c r="N59" s="12">
        <f t="shared" ref="N59:N60" si="55">IF(H59=0,0,L59/H59)</f>
        <v>4.0933571428571431</v>
      </c>
      <c r="O59" s="10"/>
      <c r="P59" s="4">
        <f>SUM(OSRRefP25x_0)</f>
        <v>5730.4</v>
      </c>
      <c r="Q59" s="4"/>
      <c r="R59" s="12">
        <f t="shared" ref="R59:R60" si="56">IF(P$12=0,0,P59/P$12)</f>
        <v>1.9790846422700209E-2</v>
      </c>
      <c r="S59" s="4"/>
      <c r="T59" s="4">
        <f>SUM(OSRRefT25x_0)</f>
        <v>1260.2</v>
      </c>
      <c r="U59" s="4"/>
      <c r="V59" s="12">
        <f t="shared" ref="V59:V60" si="57">IF(T$12=0,0,T59/T$12)</f>
        <v>3.7542601110607974E-3</v>
      </c>
      <c r="W59" s="4"/>
      <c r="X59" s="4">
        <f t="shared" ref="X59:X60" si="58">+P59-T59</f>
        <v>4470.2</v>
      </c>
      <c r="Y59" s="4"/>
      <c r="Z59" s="12">
        <f t="shared" ref="Z59:Z60" si="59">IF(T59=0,0,X59/T59)</f>
        <v>3.5472147278209807</v>
      </c>
    </row>
    <row r="60" spans="1:26" s="24" customFormat="1" hidden="1" outlineLevel="1" x14ac:dyDescent="0.3">
      <c r="A60" s="44"/>
      <c r="B60" s="11" t="str">
        <f>CONCATENATE("          ", "9150", " - ", "MISC. INCOME")</f>
        <v xml:space="preserve">          9150 - MISC. INCOME</v>
      </c>
      <c r="C60" s="11"/>
      <c r="D60" s="2">
        <f>--713.07</f>
        <v>713.07</v>
      </c>
      <c r="E60" s="2"/>
      <c r="F60" s="19">
        <f t="shared" si="52"/>
        <v>-4.7550680181381706E-2</v>
      </c>
      <c r="G60" s="2"/>
      <c r="H60" s="2">
        <f>--140</f>
        <v>140</v>
      </c>
      <c r="I60" s="2"/>
      <c r="J60" s="19">
        <f t="shared" si="53"/>
        <v>1.058601134215501E-2</v>
      </c>
      <c r="K60" s="2"/>
      <c r="L60" s="2">
        <f t="shared" si="54"/>
        <v>573.07000000000005</v>
      </c>
      <c r="M60" s="2"/>
      <c r="N60" s="19">
        <f t="shared" si="55"/>
        <v>4.0933571428571431</v>
      </c>
      <c r="O60" s="11"/>
      <c r="P60" s="2">
        <f>--5730.4</f>
        <v>5730.4</v>
      </c>
      <c r="Q60" s="2"/>
      <c r="R60" s="19">
        <f t="shared" si="56"/>
        <v>1.9790846422700209E-2</v>
      </c>
      <c r="S60" s="2"/>
      <c r="T60" s="2">
        <f>--1260.2</f>
        <v>1260.2</v>
      </c>
      <c r="U60" s="2"/>
      <c r="V60" s="19">
        <f t="shared" si="57"/>
        <v>3.7542601110607974E-3</v>
      </c>
      <c r="W60" s="2"/>
      <c r="X60" s="2">
        <f t="shared" si="58"/>
        <v>4470.2</v>
      </c>
      <c r="Y60" s="2"/>
      <c r="Z60" s="19">
        <f t="shared" si="59"/>
        <v>3.5472147278209807</v>
      </c>
    </row>
    <row r="61" spans="1:26" x14ac:dyDescent="0.3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3">
      <c r="A62" s="10"/>
      <c r="B62" s="26" t="s">
        <v>276</v>
      </c>
      <c r="C62" s="26"/>
      <c r="D62" s="20">
        <f>+D17-D19+D59</f>
        <v>-30657.85</v>
      </c>
      <c r="E62" s="13"/>
      <c r="F62" s="21">
        <f>IF(D$12=0,0,D62/D$12)</f>
        <v>2.0444018404907975</v>
      </c>
      <c r="G62" s="13"/>
      <c r="H62" s="20">
        <f>+H17-H19+H59</f>
        <v>-7165.4200000000019</v>
      </c>
      <c r="I62" s="13"/>
      <c r="J62" s="21">
        <f>IF(H$12=0,0,H62/H$12)</f>
        <v>-0.54180869565217404</v>
      </c>
      <c r="K62" s="15"/>
      <c r="L62" s="20">
        <f>+D62-H62</f>
        <v>-23492.429999999997</v>
      </c>
      <c r="M62" s="15"/>
      <c r="N62" s="21">
        <f>IF(H62=0,0,L62/H62)</f>
        <v>3.2785838094626678</v>
      </c>
      <c r="O62" s="25"/>
      <c r="P62" s="20">
        <f>+P17-P19+P59</f>
        <v>36201.500000000007</v>
      </c>
      <c r="Q62" s="13"/>
      <c r="R62" s="21">
        <f>IF(P$12=0,0,P62/P$12)</f>
        <v>0.12502762927044914</v>
      </c>
      <c r="S62" s="13"/>
      <c r="T62" s="20">
        <f>+T17-T19+T59</f>
        <v>51237.009999999995</v>
      </c>
      <c r="U62" s="13"/>
      <c r="V62" s="21">
        <f>IF(T$12=0,0,T62/T$12)</f>
        <v>0.15264010700922329</v>
      </c>
      <c r="W62" s="15"/>
      <c r="X62" s="20">
        <f>+P62-T62</f>
        <v>-15035.509999999987</v>
      </c>
      <c r="Y62" s="15"/>
      <c r="Z62" s="21">
        <f>IF(T62=0,0,X62/T62)</f>
        <v>-0.29345018376365034</v>
      </c>
    </row>
    <row r="63" spans="1:26" x14ac:dyDescent="0.3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3">
      <c r="A64" s="51"/>
      <c r="B64" s="10" t="s">
        <v>127</v>
      </c>
      <c r="C64" s="10"/>
      <c r="D64" s="4">
        <v>-1421.65</v>
      </c>
      <c r="E64" s="4"/>
      <c r="F64" s="12">
        <f>IF(D$12=0,0,D64/D$12)</f>
        <v>9.4801947185916252E-2</v>
      </c>
      <c r="G64" s="4"/>
      <c r="H64" s="4">
        <v>10869.59</v>
      </c>
      <c r="I64" s="4"/>
      <c r="J64" s="12">
        <f>IF(H$12=0,0,H64/H$12)</f>
        <v>0.82189716446124761</v>
      </c>
      <c r="K64" s="4"/>
      <c r="L64" s="4">
        <f>+D64-H64</f>
        <v>-12291.24</v>
      </c>
      <c r="M64" s="4"/>
      <c r="N64" s="12">
        <f>IF(H64=0,0,L64/H64)</f>
        <v>-1.1307915017953758</v>
      </c>
      <c r="O64" s="10"/>
      <c r="P64" s="4">
        <v>34853.120000000003</v>
      </c>
      <c r="Q64" s="4"/>
      <c r="R64" s="12">
        <f>IF(P$12=0,0,P64/P$12)</f>
        <v>0.12037078480942712</v>
      </c>
      <c r="S64" s="4"/>
      <c r="T64" s="4">
        <v>62106.43</v>
      </c>
      <c r="U64" s="4"/>
      <c r="V64" s="12">
        <f>IF(T$12=0,0,T64/T$12)</f>
        <v>0.18502118139135823</v>
      </c>
      <c r="W64" s="4"/>
      <c r="X64" s="4">
        <f>+P64-T64</f>
        <v>-27253.309999999998</v>
      </c>
      <c r="Y64" s="4"/>
      <c r="Z64" s="12">
        <f>IF(T64=0,0,X64/T64)</f>
        <v>-0.43881623851185775</v>
      </c>
    </row>
    <row r="65" spans="1:26" x14ac:dyDescent="0.3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" thickBot="1" x14ac:dyDescent="0.35">
      <c r="A66" s="10"/>
      <c r="B66" s="26" t="s">
        <v>125</v>
      </c>
      <c r="C66" s="26"/>
      <c r="D66" s="32">
        <f>+D62-D64</f>
        <v>-29236.199999999997</v>
      </c>
      <c r="E66" s="13"/>
      <c r="F66" s="35">
        <f>IF(D$12=0,0,D66/D$12)</f>
        <v>1.949599893304881</v>
      </c>
      <c r="G66" s="13"/>
      <c r="H66" s="32">
        <f>+H62-H64</f>
        <v>-18035.010000000002</v>
      </c>
      <c r="I66" s="13"/>
      <c r="J66" s="35">
        <f>IF(H$12=0,0,H66/H$12)</f>
        <v>-1.3637058601134218</v>
      </c>
      <c r="K66" s="15"/>
      <c r="L66" s="32">
        <f>D66-H66</f>
        <v>-11201.189999999995</v>
      </c>
      <c r="M66" s="15"/>
      <c r="N66" s="35">
        <f>IF(H66=0,0,L66/H66)</f>
        <v>0.62108033208742297</v>
      </c>
      <c r="O66" s="25"/>
      <c r="P66" s="32">
        <f>+P62-P64</f>
        <v>1348.3800000000047</v>
      </c>
      <c r="Q66" s="13"/>
      <c r="R66" s="35">
        <f>IF(P$12=0,0,P66/P$12)</f>
        <v>4.6568444610220229E-3</v>
      </c>
      <c r="S66" s="13"/>
      <c r="T66" s="32">
        <f>+T62-T64</f>
        <v>-10869.420000000006</v>
      </c>
      <c r="U66" s="13"/>
      <c r="V66" s="35">
        <f>IF(T$12=0,0,T66/T$12)</f>
        <v>-3.2381074382134958E-2</v>
      </c>
      <c r="W66" s="15"/>
      <c r="X66" s="32">
        <f>P66-T66</f>
        <v>12217.80000000001</v>
      </c>
      <c r="Y66" s="15"/>
      <c r="Z66" s="35">
        <f>IF(T66=0,0,X66/T66)</f>
        <v>-1.1240526173429681</v>
      </c>
    </row>
    <row r="67" spans="1:26" ht="15" thickTop="1" x14ac:dyDescent="0.3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3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" thickBot="1" x14ac:dyDescent="0.35">
      <c r="A69" s="10"/>
      <c r="B69" s="26" t="s">
        <v>293</v>
      </c>
      <c r="C69" s="26"/>
      <c r="D69" s="31">
        <f>SUM(D66:D68)</f>
        <v>-29236.199999999997</v>
      </c>
      <c r="E69" s="13"/>
      <c r="F69" s="33">
        <f>IF(D$12=0,0,D69/D$12)</f>
        <v>1.949599893304881</v>
      </c>
      <c r="G69" s="13"/>
      <c r="H69" s="31">
        <f>SUM(H66:H68)</f>
        <v>-18035.010000000002</v>
      </c>
      <c r="I69" s="13"/>
      <c r="J69" s="33">
        <f>IF(H$12=0,0,H69/H$12)</f>
        <v>-1.3637058601134218</v>
      </c>
      <c r="K69" s="15"/>
      <c r="L69" s="31">
        <f>+D69-H69</f>
        <v>-11201.189999999995</v>
      </c>
      <c r="M69" s="15"/>
      <c r="N69" s="33">
        <f>IF(H69=0,0,L69/H69)</f>
        <v>0.62108033208742297</v>
      </c>
      <c r="O69" s="25"/>
      <c r="P69" s="31">
        <f>SUM(P66:P68)</f>
        <v>1348.3800000000047</v>
      </c>
      <c r="Q69" s="13"/>
      <c r="R69" s="33">
        <f>IF(P$12=0,0,P69/P$12)</f>
        <v>4.6568444610220229E-3</v>
      </c>
      <c r="S69" s="13"/>
      <c r="T69" s="31">
        <f>SUM(T66:T68)</f>
        <v>-10869.420000000006</v>
      </c>
      <c r="U69" s="13"/>
      <c r="V69" s="33">
        <f>IF(T$12=0,0,T69/T$12)</f>
        <v>-3.2381074382134958E-2</v>
      </c>
      <c r="W69" s="15"/>
      <c r="X69" s="31">
        <f>+P69-T69</f>
        <v>12217.80000000001</v>
      </c>
      <c r="Y69" s="15"/>
      <c r="Z69" s="33">
        <f>IF(T69=0,0,X69/T69)</f>
        <v>-1.1240526173429681</v>
      </c>
    </row>
    <row r="70" spans="1:26" ht="15" thickTop="1" x14ac:dyDescent="0.3">
      <c r="A70" s="9"/>
      <c r="C70" s="9"/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3">
      <c r="A71" s="9"/>
      <c r="B71" s="60">
        <v>44575.854680405093</v>
      </c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3">
      <c r="A72" s="9"/>
      <c r="B72" s="57" t="s">
        <v>56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3">
      <c r="A73" s="9"/>
      <c r="B73" s="59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3"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1" t="s">
        <v>23</v>
      </c>
    </row>
    <row r="3" spans="1:26" x14ac:dyDescent="0.3">
      <c r="D3" s="61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55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55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55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8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6"/>
      <c r="C10" s="10"/>
      <c r="D10" s="42" t="s">
        <v>57</v>
      </c>
      <c r="E10" s="30"/>
      <c r="F10" s="36" t="s">
        <v>40</v>
      </c>
      <c r="G10" s="30"/>
      <c r="H10" s="45" t="s">
        <v>237</v>
      </c>
      <c r="I10" s="30"/>
      <c r="J10" s="36" t="s">
        <v>40</v>
      </c>
      <c r="K10" s="10"/>
      <c r="L10" s="42" t="s">
        <v>126</v>
      </c>
      <c r="M10" s="10"/>
      <c r="N10" s="36" t="s">
        <v>257</v>
      </c>
      <c r="O10" s="10"/>
      <c r="P10" s="52" t="s">
        <v>57</v>
      </c>
      <c r="Q10" s="30"/>
      <c r="R10" s="36" t="s">
        <v>40</v>
      </c>
      <c r="S10" s="30"/>
      <c r="T10" s="45" t="s">
        <v>237</v>
      </c>
      <c r="U10" s="30"/>
      <c r="V10" s="36" t="s">
        <v>40</v>
      </c>
      <c r="W10" s="10"/>
      <c r="X10" s="42" t="s">
        <v>126</v>
      </c>
      <c r="Y10" s="10"/>
      <c r="Z10" s="36" t="s">
        <v>257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3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125</v>
      </c>
      <c r="C31" s="26"/>
      <c r="D31" s="32" t="e">
        <f ca="1">+D27-D29</f>
        <v>#NAME?</v>
      </c>
      <c r="E31" s="13"/>
      <c r="F31" s="35" t="e">
        <f ca="1">IF(D$12=0,0,D31/D$12)</f>
        <v>#NAME?</v>
      </c>
      <c r="G31" s="13"/>
      <c r="H31" s="32" t="e">
        <f ca="1">+H27-H29</f>
        <v>#NAME?</v>
      </c>
      <c r="I31" s="13"/>
      <c r="J31" s="35" t="e">
        <f ca="1">IF(H$12=0,0,H31/H$12)</f>
        <v>#NAME?</v>
      </c>
      <c r="K31" s="15"/>
      <c r="L31" s="32" t="e">
        <f ca="1">D31-H31</f>
        <v>#NAME?</v>
      </c>
      <c r="M31" s="15"/>
      <c r="N31" s="35" t="e">
        <f ca="1">IF(H31=0,0,L31/H31)</f>
        <v>#NAME?</v>
      </c>
      <c r="O31" s="25"/>
      <c r="P31" s="32" t="e">
        <f ca="1">+P27-P29</f>
        <v>#NAME?</v>
      </c>
      <c r="Q31" s="13"/>
      <c r="R31" s="35" t="e">
        <f ca="1">IF(P$12=0,0,P31/P$12)</f>
        <v>#NAME?</v>
      </c>
      <c r="S31" s="13"/>
      <c r="T31" s="32" t="e">
        <f ca="1">+T27-T29</f>
        <v>#NAME?</v>
      </c>
      <c r="U31" s="13"/>
      <c r="V31" s="35" t="e">
        <f ca="1">IF(T$12=0,0,T31/T$12)</f>
        <v>#NAME?</v>
      </c>
      <c r="W31" s="15"/>
      <c r="X31" s="32" t="e">
        <f ca="1">P31-T31</f>
        <v>#NAME?</v>
      </c>
      <c r="Y31" s="15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5"/>
      <c r="L36" s="31" t="e">
        <f ca="1">+D36-H36</f>
        <v>#NAME?</v>
      </c>
      <c r="M36" s="15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5"/>
      <c r="X36" s="31" t="e">
        <f ca="1">+P36-T36</f>
        <v>#NAME?</v>
      </c>
      <c r="Y36" s="15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7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98</vt:i4>
      </vt:variant>
      <vt:variant>
        <vt:lpstr>Named Ranges</vt:lpstr>
      </vt:variant>
      <vt:variant>
        <vt:i4>3640</vt:i4>
      </vt:variant>
    </vt:vector>
  </HeadingPairs>
  <TitlesOfParts>
    <vt:vector size="3738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'414'!OSRRefD13x_0</vt:lpstr>
      <vt:lpstr>'415'!OSRRefD13x_0</vt:lpstr>
      <vt:lpstr>'420'!OSRRefD13x_0</vt:lpstr>
      <vt:lpstr>'425'!OSRRefD13x_0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'316'!OSRRefD16x_0</vt:lpstr>
      <vt:lpstr>'317'!OSRRefD16x_0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'415'!OSRRefD16x_0</vt:lpstr>
      <vt:lpstr>'418'!OSRRefD16x_0</vt:lpstr>
      <vt:lpstr>'425'!OSRRefD16x_0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'310'!OSRRefD22_10x_0</vt:lpstr>
      <vt:lpstr>'310 &amp; 491'!OSRRefD22_10x_0</vt:lpstr>
      <vt:lpstr>'311'!OSRRefD22_10x_0</vt:lpstr>
      <vt:lpstr>'315'!OSRRefD22_10x_0</vt:lpstr>
      <vt:lpstr>'316'!OSRRefD22_10x_0</vt:lpstr>
      <vt:lpstr>'317'!OSRRefD22_10x_0</vt:lpstr>
      <vt:lpstr>'321'!OSRRefD22_10x_0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'315'!OSRRefD22_11x_0</vt:lpstr>
      <vt:lpstr>'316'!OSRRefD22_11x_0</vt:lpstr>
      <vt:lpstr>'321'!OSRRefD22_11x_0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'411'!OSRRefD22_11x_0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'Div 2'!OSRRefD22_11x_0</vt:lpstr>
      <vt:lpstr>'Div 3'!OSRRefD22_11x_0</vt:lpstr>
      <vt:lpstr>'Div 4'!OSRRefD22_11x_0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'310'!OSRRefD22_12x_0</vt:lpstr>
      <vt:lpstr>'310 &amp; 491'!OSRRefD22_12x_0</vt:lpstr>
      <vt:lpstr>'311'!OSRRefD22_12x_0</vt:lpstr>
      <vt:lpstr>'315'!OSRRefD22_12x_0</vt:lpstr>
      <vt:lpstr>'316'!OSRRefD22_12x_0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'411'!OSRRefD22_12x_0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'325'!OSRRefD22_13x_0</vt:lpstr>
      <vt:lpstr>'326'!OSRRefD22_13x_0</vt:lpstr>
      <vt:lpstr>'331'!OSRRefD22_13x_0</vt:lpstr>
      <vt:lpstr>'405'!OSRRefD22_13x_0</vt:lpstr>
      <vt:lpstr>'411'!OSRRefD22_13x_0</vt:lpstr>
      <vt:lpstr>'415'!OSRRefD22_13x_0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'315'!OSRRefD22_14x_0</vt:lpstr>
      <vt:lpstr>'325'!OSRRefD22_14x_0</vt:lpstr>
      <vt:lpstr>'326'!OSRRefD22_14x_0</vt:lpstr>
      <vt:lpstr>'331'!OSRRefD22_14x_0</vt:lpstr>
      <vt:lpstr>'405'!OSRRefD22_14x_0</vt:lpstr>
      <vt:lpstr>'411'!OSRRefD22_14x_0</vt:lpstr>
      <vt:lpstr>'415'!OSRRefD22_14x_0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'326'!OSRRefD22_15x_0</vt:lpstr>
      <vt:lpstr>'331'!OSRRefD22_15x_0</vt:lpstr>
      <vt:lpstr>'405'!OSRRefD22_15x_0</vt:lpstr>
      <vt:lpstr>'415'!OSRRefD22_15x_0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'326'!OSRRefD22_16x_0</vt:lpstr>
      <vt:lpstr>'331'!OSRRefD22_16x_0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 &amp; 491'!OSRRefD22_17x_0</vt:lpstr>
      <vt:lpstr>'326'!OSRRefD22_17x_0</vt:lpstr>
      <vt:lpstr>'331'!OSRRefD22_17x_0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 &amp; 491'!OSRRefD22_18x_0</vt:lpstr>
      <vt:lpstr>'331'!OSRRefD22_18x_0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'321'!OSRRefD22_1x_0</vt:lpstr>
      <vt:lpstr>'322'!OSRRefD22_1x_0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 &amp; 491'!OSRRefD22_20x_0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'413'!OSRRefD22_5x_0</vt:lpstr>
      <vt:lpstr>'415'!OSRRefD22_5x_0</vt:lpstr>
      <vt:lpstr>'418'!OSRRefD22_5x_0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'415'!OSRRefD22_6x_0</vt:lpstr>
      <vt:lpstr>'418'!OSRRefD22_6x_0</vt:lpstr>
      <vt:lpstr>'425'!OSRRefD22_6x_0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'415'!OSRRefD22_7x_0</vt:lpstr>
      <vt:lpstr>'418'!OSRRefD22_7x_0</vt:lpstr>
      <vt:lpstr>'425'!OSRRefD22_7x_0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'415'!OSRRefD22_8x_0</vt:lpstr>
      <vt:lpstr>'418'!OSRRefD22_8x_0</vt:lpstr>
      <vt:lpstr>'425'!OSRRefD22_8x_0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'321'!OSRRefD22_9x_0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'405'!OSRRefD25x_0</vt:lpstr>
      <vt:lpstr>'411'!OSRRefD25x_0</vt:lpstr>
      <vt:lpstr>'415'!OSRRefD25x_0</vt:lpstr>
      <vt:lpstr>'418'!OSRRefD25x_0</vt:lpstr>
      <vt:lpstr>'423'!OSRRefD25x_0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'414'!OSRRefH13x_0</vt:lpstr>
      <vt:lpstr>'415'!OSRRefH13x_0</vt:lpstr>
      <vt:lpstr>'420'!OSRRefH13x_0</vt:lpstr>
      <vt:lpstr>'425'!OSRRefH13x_0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'316'!OSRRefH16x_0</vt:lpstr>
      <vt:lpstr>'317'!OSRRefH16x_0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'415'!OSRRefH16x_0</vt:lpstr>
      <vt:lpstr>'418'!OSRRefH16x_0</vt:lpstr>
      <vt:lpstr>'425'!OSRRefH16x_0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'310'!OSRRefH22_10x_0</vt:lpstr>
      <vt:lpstr>'310 &amp; 491'!OSRRefH22_10x_0</vt:lpstr>
      <vt:lpstr>'311'!OSRRefH22_10x_0</vt:lpstr>
      <vt:lpstr>'315'!OSRRefH22_10x_0</vt:lpstr>
      <vt:lpstr>'316'!OSRRefH22_10x_0</vt:lpstr>
      <vt:lpstr>'317'!OSRRefH22_10x_0</vt:lpstr>
      <vt:lpstr>'321'!OSRRefH22_10x_0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'315'!OSRRefH22_11x_0</vt:lpstr>
      <vt:lpstr>'316'!OSRRefH22_11x_0</vt:lpstr>
      <vt:lpstr>'321'!OSRRefH22_11x_0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'411'!OSRRefH22_11x_0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'Div 2'!OSRRefH22_11x_0</vt:lpstr>
      <vt:lpstr>'Div 3'!OSRRefH22_11x_0</vt:lpstr>
      <vt:lpstr>'Div 4'!OSRRefH22_11x_0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'310'!OSRRefH22_12x_0</vt:lpstr>
      <vt:lpstr>'310 &amp; 491'!OSRRefH22_12x_0</vt:lpstr>
      <vt:lpstr>'311'!OSRRefH22_12x_0</vt:lpstr>
      <vt:lpstr>'315'!OSRRefH22_12x_0</vt:lpstr>
      <vt:lpstr>'316'!OSRRefH22_12x_0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'411'!OSRRefH22_12x_0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'325'!OSRRefH22_13x_0</vt:lpstr>
      <vt:lpstr>'326'!OSRRefH22_13x_0</vt:lpstr>
      <vt:lpstr>'331'!OSRRefH22_13x_0</vt:lpstr>
      <vt:lpstr>'405'!OSRRefH22_13x_0</vt:lpstr>
      <vt:lpstr>'411'!OSRRefH22_13x_0</vt:lpstr>
      <vt:lpstr>'415'!OSRRefH22_13x_0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'315'!OSRRefH22_14x_0</vt:lpstr>
      <vt:lpstr>'325'!OSRRefH22_14x_0</vt:lpstr>
      <vt:lpstr>'326'!OSRRefH22_14x_0</vt:lpstr>
      <vt:lpstr>'331'!OSRRefH22_14x_0</vt:lpstr>
      <vt:lpstr>'405'!OSRRefH22_14x_0</vt:lpstr>
      <vt:lpstr>'411'!OSRRefH22_14x_0</vt:lpstr>
      <vt:lpstr>'415'!OSRRefH22_14x_0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'326'!OSRRefH22_15x_0</vt:lpstr>
      <vt:lpstr>'331'!OSRRefH22_15x_0</vt:lpstr>
      <vt:lpstr>'405'!OSRRefH22_15x_0</vt:lpstr>
      <vt:lpstr>'415'!OSRRefH22_15x_0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'326'!OSRRefH22_16x_0</vt:lpstr>
      <vt:lpstr>'331'!OSRRefH22_16x_0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 &amp; 491'!OSRRefH22_17x_0</vt:lpstr>
      <vt:lpstr>'326'!OSRRefH22_17x_0</vt:lpstr>
      <vt:lpstr>'331'!OSRRefH22_17x_0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 &amp; 491'!OSRRefH22_18x_0</vt:lpstr>
      <vt:lpstr>'331'!OSRRefH22_18x_0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'321'!OSRRefH22_1x_0</vt:lpstr>
      <vt:lpstr>'322'!OSRRefH22_1x_0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 &amp; 491'!OSRRefH22_20x_0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'413'!OSRRefH22_5x_0</vt:lpstr>
      <vt:lpstr>'415'!OSRRefH22_5x_0</vt:lpstr>
      <vt:lpstr>'418'!OSRRefH22_5x_0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'415'!OSRRefH22_6x_0</vt:lpstr>
      <vt:lpstr>'418'!OSRRefH22_6x_0</vt:lpstr>
      <vt:lpstr>'425'!OSRRefH22_6x_0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'415'!OSRRefH22_7x_0</vt:lpstr>
      <vt:lpstr>'418'!OSRRefH22_7x_0</vt:lpstr>
      <vt:lpstr>'425'!OSRRefH22_7x_0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'415'!OSRRefH22_8x_0</vt:lpstr>
      <vt:lpstr>'418'!OSRRefH22_8x_0</vt:lpstr>
      <vt:lpstr>'425'!OSRRefH22_8x_0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'321'!OSRRefH22_9x_0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'405'!OSRRefH25x_0</vt:lpstr>
      <vt:lpstr>'411'!OSRRefH25x_0</vt:lpstr>
      <vt:lpstr>'415'!OSRRefH25x_0</vt:lpstr>
      <vt:lpstr>'418'!OSRRefH25x_0</vt:lpstr>
      <vt:lpstr>'423'!OSRRefH25x_0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'414'!OSRRefP13x_0</vt:lpstr>
      <vt:lpstr>'415'!OSRRefP13x_0</vt:lpstr>
      <vt:lpstr>'420'!OSRRefP13x_0</vt:lpstr>
      <vt:lpstr>'425'!OSRRefP13x_0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'316'!OSRRefP16x_0</vt:lpstr>
      <vt:lpstr>'317'!OSRRefP16x_0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'415'!OSRRefP16x_0</vt:lpstr>
      <vt:lpstr>'418'!OSRRefP16x_0</vt:lpstr>
      <vt:lpstr>'425'!OSRRefP16x_0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'310'!OSRRefP22_10x_0</vt:lpstr>
      <vt:lpstr>'310 &amp; 491'!OSRRefP22_10x_0</vt:lpstr>
      <vt:lpstr>'311'!OSRRefP22_10x_0</vt:lpstr>
      <vt:lpstr>'315'!OSRRefP22_10x_0</vt:lpstr>
      <vt:lpstr>'316'!OSRRefP22_10x_0</vt:lpstr>
      <vt:lpstr>'317'!OSRRefP22_10x_0</vt:lpstr>
      <vt:lpstr>'321'!OSRRefP22_10x_0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'315'!OSRRefP22_11x_0</vt:lpstr>
      <vt:lpstr>'316'!OSRRefP22_11x_0</vt:lpstr>
      <vt:lpstr>'321'!OSRRefP22_11x_0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'411'!OSRRefP22_11x_0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'Div 2'!OSRRefP22_11x_0</vt:lpstr>
      <vt:lpstr>'Div 3'!OSRRefP22_11x_0</vt:lpstr>
      <vt:lpstr>'Div 4'!OSRRefP22_11x_0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'310'!OSRRefP22_12x_0</vt:lpstr>
      <vt:lpstr>'310 &amp; 491'!OSRRefP22_12x_0</vt:lpstr>
      <vt:lpstr>'311'!OSRRefP22_12x_0</vt:lpstr>
      <vt:lpstr>'315'!OSRRefP22_12x_0</vt:lpstr>
      <vt:lpstr>'316'!OSRRefP22_12x_0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'411'!OSRRefP22_12x_0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'325'!OSRRefP22_13x_0</vt:lpstr>
      <vt:lpstr>'326'!OSRRefP22_13x_0</vt:lpstr>
      <vt:lpstr>'331'!OSRRefP22_13x_0</vt:lpstr>
      <vt:lpstr>'405'!OSRRefP22_13x_0</vt:lpstr>
      <vt:lpstr>'411'!OSRRefP22_13x_0</vt:lpstr>
      <vt:lpstr>'415'!OSRRefP22_13x_0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'315'!OSRRefP22_14x_0</vt:lpstr>
      <vt:lpstr>'325'!OSRRefP22_14x_0</vt:lpstr>
      <vt:lpstr>'326'!OSRRefP22_14x_0</vt:lpstr>
      <vt:lpstr>'331'!OSRRefP22_14x_0</vt:lpstr>
      <vt:lpstr>'405'!OSRRefP22_14x_0</vt:lpstr>
      <vt:lpstr>'411'!OSRRefP22_14x_0</vt:lpstr>
      <vt:lpstr>'415'!OSRRefP22_14x_0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'326'!OSRRefP22_15x_0</vt:lpstr>
      <vt:lpstr>'331'!OSRRefP22_15x_0</vt:lpstr>
      <vt:lpstr>'405'!OSRRefP22_15x_0</vt:lpstr>
      <vt:lpstr>'415'!OSRRefP22_15x_0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'326'!OSRRefP22_16x_0</vt:lpstr>
      <vt:lpstr>'331'!OSRRefP22_16x_0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 &amp; 491'!OSRRefP22_17x_0</vt:lpstr>
      <vt:lpstr>'326'!OSRRefP22_17x_0</vt:lpstr>
      <vt:lpstr>'331'!OSRRefP22_17x_0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 &amp; 491'!OSRRefP22_18x_0</vt:lpstr>
      <vt:lpstr>'331'!OSRRefP22_18x_0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'321'!OSRRefP22_1x_0</vt:lpstr>
      <vt:lpstr>'322'!OSRRefP22_1x_0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 &amp; 491'!OSRRefP22_20x_0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'413'!OSRRefP22_5x_0</vt:lpstr>
      <vt:lpstr>'415'!OSRRefP22_5x_0</vt:lpstr>
      <vt:lpstr>'418'!OSRRefP22_5x_0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'415'!OSRRefP22_6x_0</vt:lpstr>
      <vt:lpstr>'418'!OSRRefP22_6x_0</vt:lpstr>
      <vt:lpstr>'425'!OSRRefP22_6x_0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'415'!OSRRefP22_7x_0</vt:lpstr>
      <vt:lpstr>'418'!OSRRefP22_7x_0</vt:lpstr>
      <vt:lpstr>'425'!OSRRefP22_7x_0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'415'!OSRRefP22_8x_0</vt:lpstr>
      <vt:lpstr>'418'!OSRRefP22_8x_0</vt:lpstr>
      <vt:lpstr>'425'!OSRRefP22_8x_0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'321'!OSRRefP22_9x_0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'405'!OSRRefP25x_0</vt:lpstr>
      <vt:lpstr>'411'!OSRRefP25x_0</vt:lpstr>
      <vt:lpstr>'415'!OSRRefP25x_0</vt:lpstr>
      <vt:lpstr>'418'!OSRRefP25x_0</vt:lpstr>
      <vt:lpstr>'423'!OSRRefP25x_0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'414'!OSRRefT13x_0</vt:lpstr>
      <vt:lpstr>'415'!OSRRefT13x_0</vt:lpstr>
      <vt:lpstr>'420'!OSRRefT13x_0</vt:lpstr>
      <vt:lpstr>'425'!OSRRefT13x_0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'316'!OSRRefT16x_0</vt:lpstr>
      <vt:lpstr>'317'!OSRRefT16x_0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'415'!OSRRefT16x_0</vt:lpstr>
      <vt:lpstr>'418'!OSRRefT16x_0</vt:lpstr>
      <vt:lpstr>'425'!OSRRefT16x_0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'310'!OSRRefT22_10x_0</vt:lpstr>
      <vt:lpstr>'310 &amp; 491'!OSRRefT22_10x_0</vt:lpstr>
      <vt:lpstr>'311'!OSRRefT22_10x_0</vt:lpstr>
      <vt:lpstr>'315'!OSRRefT22_10x_0</vt:lpstr>
      <vt:lpstr>'316'!OSRRefT22_10x_0</vt:lpstr>
      <vt:lpstr>'317'!OSRRefT22_10x_0</vt:lpstr>
      <vt:lpstr>'321'!OSRRefT22_10x_0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'315'!OSRRefT22_11x_0</vt:lpstr>
      <vt:lpstr>'316'!OSRRefT22_11x_0</vt:lpstr>
      <vt:lpstr>'321'!OSRRefT22_11x_0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'411'!OSRRefT22_11x_0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'Div 2'!OSRRefT22_11x_0</vt:lpstr>
      <vt:lpstr>'Div 3'!OSRRefT22_11x_0</vt:lpstr>
      <vt:lpstr>'Div 4'!OSRRefT22_11x_0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'310'!OSRRefT22_12x_0</vt:lpstr>
      <vt:lpstr>'310 &amp; 491'!OSRRefT22_12x_0</vt:lpstr>
      <vt:lpstr>'311'!OSRRefT22_12x_0</vt:lpstr>
      <vt:lpstr>'315'!OSRRefT22_12x_0</vt:lpstr>
      <vt:lpstr>'316'!OSRRefT22_12x_0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'411'!OSRRefT22_12x_0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'325'!OSRRefT22_13x_0</vt:lpstr>
      <vt:lpstr>'326'!OSRRefT22_13x_0</vt:lpstr>
      <vt:lpstr>'331'!OSRRefT22_13x_0</vt:lpstr>
      <vt:lpstr>'405'!OSRRefT22_13x_0</vt:lpstr>
      <vt:lpstr>'411'!OSRRefT22_13x_0</vt:lpstr>
      <vt:lpstr>'415'!OSRRefT22_13x_0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'315'!OSRRefT22_14x_0</vt:lpstr>
      <vt:lpstr>'325'!OSRRefT22_14x_0</vt:lpstr>
      <vt:lpstr>'326'!OSRRefT22_14x_0</vt:lpstr>
      <vt:lpstr>'331'!OSRRefT22_14x_0</vt:lpstr>
      <vt:lpstr>'405'!OSRRefT22_14x_0</vt:lpstr>
      <vt:lpstr>'411'!OSRRefT22_14x_0</vt:lpstr>
      <vt:lpstr>'415'!OSRRefT22_14x_0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'326'!OSRRefT22_15x_0</vt:lpstr>
      <vt:lpstr>'331'!OSRRefT22_15x_0</vt:lpstr>
      <vt:lpstr>'405'!OSRRefT22_15x_0</vt:lpstr>
      <vt:lpstr>'415'!OSRRefT22_15x_0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'326'!OSRRefT22_16x_0</vt:lpstr>
      <vt:lpstr>'331'!OSRRefT22_16x_0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 &amp; 491'!OSRRefT22_17x_0</vt:lpstr>
      <vt:lpstr>'326'!OSRRefT22_17x_0</vt:lpstr>
      <vt:lpstr>'331'!OSRRefT22_17x_0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 &amp; 491'!OSRRefT22_18x_0</vt:lpstr>
      <vt:lpstr>'331'!OSRRefT22_18x_0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'321'!OSRRefT22_1x_0</vt:lpstr>
      <vt:lpstr>'322'!OSRRefT22_1x_0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 &amp; 491'!OSRRefT22_20x_0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'413'!OSRRefT22_5x_0</vt:lpstr>
      <vt:lpstr>'415'!OSRRefT22_5x_0</vt:lpstr>
      <vt:lpstr>'418'!OSRRefT22_5x_0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'415'!OSRRefT22_6x_0</vt:lpstr>
      <vt:lpstr>'418'!OSRRefT22_6x_0</vt:lpstr>
      <vt:lpstr>'425'!OSRRefT22_6x_0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'415'!OSRRefT22_7x_0</vt:lpstr>
      <vt:lpstr>'418'!OSRRefT22_7x_0</vt:lpstr>
      <vt:lpstr>'425'!OSRRefT22_7x_0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'415'!OSRRefT22_8x_0</vt:lpstr>
      <vt:lpstr>'418'!OSRRefT22_8x_0</vt:lpstr>
      <vt:lpstr>'425'!OSRRefT22_8x_0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'321'!OSRRefT22_9x_0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'405'!OSRRefT25x_0</vt:lpstr>
      <vt:lpstr>'411'!OSRRefT25x_0</vt:lpstr>
      <vt:lpstr>'415'!OSRRefT25x_0</vt:lpstr>
      <vt:lpstr>'418'!OSRRefT25x_0</vt:lpstr>
      <vt:lpstr>'423'!OSRRefT25x_0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2022-01-14T20:38:10Z</dcterms:created>
  <dcterms:modified xsi:type="dcterms:W3CDTF">2022-01-14T20:54:00Z</dcterms:modified>
</cp:coreProperties>
</file>